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d.docs.live.net/d307cc636e71e5ed/Desktop/LSE coursework/AC444 - Valuation/"/>
    </mc:Choice>
  </mc:AlternateContent>
  <xr:revisionPtr revIDLastSave="1002" documentId="8_{6CD5AB2D-E9EC-471A-8C32-CF5DB542055F}" xr6:coauthVersionLast="47" xr6:coauthVersionMax="47" xr10:uidLastSave="{F7B9CB46-4687-49CF-8FBE-455BD809EE65}"/>
  <bookViews>
    <workbookView xWindow="-98" yWindow="-98" windowWidth="17115" windowHeight="10755" firstSheet="5" activeTab="5" xr2:uid="{6455B5FD-802A-4585-9B8D-3ED1B264C383}"/>
  </bookViews>
  <sheets>
    <sheet name="BioNTech Financial Analysis&gt;&gt;&gt;" sheetId="84" r:id="rId1"/>
    <sheet name="Adjustments Slide Output" sheetId="79" r:id="rId2"/>
    <sheet name="Dashboard Slide Output" sheetId="80" r:id="rId3"/>
    <sheet name="Football field" sheetId="82" r:id="rId4"/>
    <sheet name="&gt;&gt;&gt;Valuation&gt;&gt;&gt;" sheetId="70" r:id="rId5"/>
    <sheet name="DCF Model with IRR" sheetId="74" r:id="rId6"/>
    <sheet name="Revenue forecasts" sheetId="78" r:id="rId7"/>
    <sheet name="Public comps" sheetId="77" r:id="rId8"/>
    <sheet name="WACC Analysis" sheetId="68" r:id="rId9"/>
    <sheet name="&gt;&gt;&gt;Adjusted Statements&gt;&gt;&gt;" sheetId="31" r:id="rId10"/>
    <sheet name="BionTech Adjusted" sheetId="32" r:id="rId11"/>
    <sheet name="Astra Zeneca Adjusted" sheetId="54" r:id="rId12"/>
    <sheet name="Moderna Adjusted" sheetId="55" r:id="rId13"/>
    <sheet name="Sanofi Adjusted" sheetId="56" r:id="rId14"/>
    <sheet name="GSK Adjusted" sheetId="57" r:id="rId15"/>
    <sheet name="Takeda Adjusted" sheetId="61" r:id="rId16"/>
    <sheet name="&gt;&gt;&gt;Ratios&gt;&gt;&gt;" sheetId="27" r:id="rId17"/>
    <sheet name="BionTech Ratios" sheetId="30" r:id="rId18"/>
    <sheet name="Astra Zeneca Ratios" sheetId="71" r:id="rId19"/>
    <sheet name="Moderna Ratios" sheetId="72" r:id="rId20"/>
    <sheet name="Sanofi Ratios" sheetId="73" r:id="rId21"/>
    <sheet name="GSK Ratios" sheetId="75" r:id="rId22"/>
    <sheet name="Takeda Ratios" sheetId="81" r:id="rId23"/>
    <sheet name="&gt;&gt;&gt;Standardized Statements&gt;&gt;&gt;" sheetId="24" r:id="rId24"/>
    <sheet name="BionTech Standardized" sheetId="29" r:id="rId25"/>
    <sheet name="Astra Zeneca Standardized" sheetId="45" r:id="rId26"/>
    <sheet name="Moderna Standardized" sheetId="43" r:id="rId27"/>
    <sheet name="Sanofi Standardized" sheetId="44" r:id="rId28"/>
    <sheet name="GSK Standardized" sheetId="49" r:id="rId29"/>
    <sheet name="Takeda Standardized" sheetId="59" r:id="rId30"/>
    <sheet name="&gt;&gt;&gt;Financial Statements&gt;&gt;&gt;" sheetId="85" r:id="rId31"/>
    <sheet name="BionTech FS" sheetId="86" r:id="rId32"/>
    <sheet name="Astra Zeneca FS" sheetId="87" r:id="rId33"/>
    <sheet name="Moderna FS" sheetId="88" r:id="rId34"/>
    <sheet name="Sanofi FS" sheetId="89" r:id="rId35"/>
    <sheet name="GSK FS" sheetId="90" r:id="rId36"/>
    <sheet name="Takeda FS" sheetId="91" r:id="rId37"/>
    <sheet name="Capital IQ Data Pull" sheetId="92" r:id="rId38"/>
    <sheet name="BionTech as reported" sheetId="93" r:id="rId39"/>
    <sheet name="AstraZeneca" sheetId="94" r:id="rId40"/>
    <sheet name="GSK" sheetId="95" r:id="rId41"/>
    <sheet name="Moderna" sheetId="96" r:id="rId42"/>
    <sheet name="Sanofi" sheetId="97" r:id="rId43"/>
    <sheet name="Takeda" sheetId="98" r:id="rId44"/>
  </sheets>
  <definedNames>
    <definedName name="asd">#REF!</definedName>
    <definedName name="CIQWBGuid" hidden="1">"2cd8126d-26c3-430c-b7fa-a069e3a1fc62"</definedName>
    <definedName name="Forecast" localSheetId="5">#REF!</definedName>
    <definedName name="Forecast">#REF!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3" hidden="1">41666.7099189815</definedName>
    <definedName name="IQ_NAMES_REVISION_DATE_" hidden="1">"10/01/2018 15:52:08"</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5">'DCF Model with IRR'!$A$2:$L$125</definedName>
    <definedName name="_xlnm.Print_Titles" localSheetId="5">'DCF Model with IRR'!$2:$4</definedName>
    <definedName name="rampup">#REF!</definedName>
    <definedName name="Step_1" localSheetId="5">#REF!</definedName>
    <definedName name="Step_1">#REF!</definedName>
    <definedName name="Step_2" localSheetId="5">#REF!</definedName>
    <definedName name="Step_2">#REF!</definedName>
    <definedName name="Step_3" localSheetId="5">#REF!</definedName>
    <definedName name="Step_3">#REF!</definedName>
    <definedName name="Step_4" localSheetId="5">#REF!</definedName>
    <definedName name="Step_4">#REF!</definedName>
    <definedName name="Step_5" localSheetId="5">#REF!</definedName>
    <definedName name="Step_5">#REF!</definedName>
    <definedName name="Step_6" localSheetId="5">#REF!</definedName>
    <definedName name="Step_6">#REF!</definedName>
    <definedName name="Step1">#REF!</definedName>
    <definedName name="Step2">#REF!</definedName>
    <definedName name="Step3">#REF!</definedName>
    <definedName name="Step4">#REF!</definedName>
    <definedName name="Step5">#REF!</definedName>
    <definedName name="Step6">#REF!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7" i="30" l="1"/>
  <c r="T2" i="32"/>
  <c r="U2" i="32" s="1"/>
  <c r="V2" i="32" s="1"/>
  <c r="W2" i="32" s="1"/>
  <c r="X2" i="32" s="1"/>
  <c r="Y2" i="32" s="1"/>
  <c r="Z2" i="32" s="1"/>
  <c r="AA2" i="32" s="1"/>
  <c r="AB2" i="32" s="1"/>
  <c r="AC2" i="32" s="1"/>
  <c r="AD2" i="32" s="1"/>
  <c r="AE2" i="32" s="1"/>
  <c r="S10" i="32"/>
  <c r="S15" i="32" s="1"/>
  <c r="S17" i="32" s="1"/>
  <c r="T10" i="32"/>
  <c r="T15" i="32" s="1"/>
  <c r="T17" i="32" s="1"/>
  <c r="U10" i="32"/>
  <c r="V10" i="32"/>
  <c r="W10" i="32"/>
  <c r="X10" i="32"/>
  <c r="Y10" i="32"/>
  <c r="Z10" i="32"/>
  <c r="Z15" i="32" s="1"/>
  <c r="Z17" i="32" s="1"/>
  <c r="AA10" i="32"/>
  <c r="AA15" i="32" s="1"/>
  <c r="AA17" i="32" s="1"/>
  <c r="AB10" i="32"/>
  <c r="AB15" i="32" s="1"/>
  <c r="AB17" i="32" s="1"/>
  <c r="AC10" i="32"/>
  <c r="AD10" i="32"/>
  <c r="AE10" i="32"/>
  <c r="U15" i="32"/>
  <c r="U17" i="32" s="1"/>
  <c r="V15" i="32"/>
  <c r="V17" i="32" s="1"/>
  <c r="W15" i="32"/>
  <c r="W17" i="32" s="1"/>
  <c r="X15" i="32"/>
  <c r="Y15" i="32"/>
  <c r="AC15" i="32"/>
  <c r="AC17" i="32" s="1"/>
  <c r="AD15" i="32"/>
  <c r="AD17" i="32" s="1"/>
  <c r="AE15" i="32"/>
  <c r="AE17" i="32" s="1"/>
  <c r="X17" i="32"/>
  <c r="X20" i="32" s="1"/>
  <c r="Y17" i="32"/>
  <c r="Y20" i="32" s="1"/>
  <c r="S40" i="32"/>
  <c r="S49" i="32" s="1"/>
  <c r="AG49" i="32" s="1"/>
  <c r="T40" i="32"/>
  <c r="U40" i="32"/>
  <c r="V40" i="32"/>
  <c r="W40" i="32"/>
  <c r="W49" i="32" s="1"/>
  <c r="AK49" i="32" s="1"/>
  <c r="X40" i="32"/>
  <c r="X49" i="32" s="1"/>
  <c r="AL49" i="32" s="1"/>
  <c r="Y40" i="32"/>
  <c r="Z40" i="32"/>
  <c r="AA40" i="32"/>
  <c r="AA49" i="32" s="1"/>
  <c r="AB40" i="32"/>
  <c r="AC40" i="32"/>
  <c r="AD40" i="32"/>
  <c r="AE40" i="32"/>
  <c r="AE49" i="32" s="1"/>
  <c r="S46" i="32"/>
  <c r="T46" i="32"/>
  <c r="U46" i="32"/>
  <c r="V46" i="32"/>
  <c r="W46" i="32"/>
  <c r="X46" i="32"/>
  <c r="Y46" i="32"/>
  <c r="Z46" i="32"/>
  <c r="Z49" i="32" s="1"/>
  <c r="AA46" i="32"/>
  <c r="AB46" i="32"/>
  <c r="AC46" i="32"/>
  <c r="AD46" i="32"/>
  <c r="AE46" i="32"/>
  <c r="T49" i="32"/>
  <c r="AH49" i="32" s="1"/>
  <c r="U49" i="32"/>
  <c r="AI49" i="32" s="1"/>
  <c r="V49" i="32"/>
  <c r="Y49" i="32"/>
  <c r="AM49" i="32" s="1"/>
  <c r="AB49" i="32"/>
  <c r="AC49" i="32"/>
  <c r="AD49" i="32"/>
  <c r="S60" i="32"/>
  <c r="T60" i="32"/>
  <c r="U60" i="32"/>
  <c r="V60" i="32"/>
  <c r="W60" i="32"/>
  <c r="X60" i="32"/>
  <c r="AL60" i="32" s="1"/>
  <c r="Y60" i="32"/>
  <c r="Z60" i="32"/>
  <c r="AA60" i="32"/>
  <c r="AB60" i="32"/>
  <c r="AC60" i="32"/>
  <c r="AD60" i="32"/>
  <c r="AE60" i="32"/>
  <c r="S65" i="32"/>
  <c r="AG65" i="32" s="1"/>
  <c r="T65" i="32"/>
  <c r="U65" i="32"/>
  <c r="V65" i="32"/>
  <c r="W65" i="32"/>
  <c r="AK65" i="32" s="1"/>
  <c r="X65" i="32"/>
  <c r="Y65" i="32"/>
  <c r="Z65" i="32"/>
  <c r="AA65" i="32"/>
  <c r="AB65" i="32"/>
  <c r="AC65" i="32"/>
  <c r="AD65" i="32"/>
  <c r="AE65" i="32"/>
  <c r="S75" i="32"/>
  <c r="T75" i="32"/>
  <c r="U75" i="32"/>
  <c r="U78" i="32" s="1"/>
  <c r="U83" i="32" s="1"/>
  <c r="U87" i="32" s="1"/>
  <c r="U92" i="32" s="1"/>
  <c r="V75" i="32"/>
  <c r="V78" i="32" s="1"/>
  <c r="V83" i="32" s="1"/>
  <c r="V87" i="32" s="1"/>
  <c r="V92" i="32" s="1"/>
  <c r="W75" i="32"/>
  <c r="W78" i="32" s="1"/>
  <c r="W83" i="32" s="1"/>
  <c r="W87" i="32" s="1"/>
  <c r="W92" i="32" s="1"/>
  <c r="X75" i="32"/>
  <c r="Y75" i="32"/>
  <c r="Z75" i="32"/>
  <c r="AA75" i="32"/>
  <c r="AB75" i="32"/>
  <c r="AC75" i="32"/>
  <c r="AC78" i="32" s="1"/>
  <c r="AC83" i="32" s="1"/>
  <c r="AC87" i="32" s="1"/>
  <c r="AC92" i="32" s="1"/>
  <c r="AD75" i="32"/>
  <c r="AD78" i="32" s="1"/>
  <c r="AD83" i="32" s="1"/>
  <c r="AD87" i="32" s="1"/>
  <c r="AD92" i="32" s="1"/>
  <c r="AE75" i="32"/>
  <c r="AE78" i="32" s="1"/>
  <c r="AE83" i="32" s="1"/>
  <c r="AE87" i="32" s="1"/>
  <c r="AE92" i="32" s="1"/>
  <c r="S78" i="32"/>
  <c r="T78" i="32"/>
  <c r="X78" i="32"/>
  <c r="X83" i="32" s="1"/>
  <c r="X87" i="32" s="1"/>
  <c r="X92" i="32" s="1"/>
  <c r="Y78" i="32"/>
  <c r="Y83" i="32" s="1"/>
  <c r="Y87" i="32" s="1"/>
  <c r="Y92" i="32" s="1"/>
  <c r="Z78" i="32"/>
  <c r="Z83" i="32" s="1"/>
  <c r="Z87" i="32" s="1"/>
  <c r="Z92" i="32" s="1"/>
  <c r="AA78" i="32"/>
  <c r="AB78" i="32"/>
  <c r="S83" i="32"/>
  <c r="S87" i="32" s="1"/>
  <c r="T83" i="32"/>
  <c r="T87" i="32" s="1"/>
  <c r="T92" i="32" s="1"/>
  <c r="AA83" i="32"/>
  <c r="AA87" i="32" s="1"/>
  <c r="AA92" i="32" s="1"/>
  <c r="AB83" i="32"/>
  <c r="AB87" i="32" s="1"/>
  <c r="AB92" i="32" s="1"/>
  <c r="S85" i="32"/>
  <c r="T85" i="32"/>
  <c r="U85" i="32"/>
  <c r="V85" i="32"/>
  <c r="W85" i="32"/>
  <c r="X85" i="32"/>
  <c r="Y85" i="32"/>
  <c r="Z85" i="32"/>
  <c r="AA85" i="32"/>
  <c r="AB85" i="32"/>
  <c r="AC85" i="32"/>
  <c r="AD85" i="32"/>
  <c r="AE85" i="32"/>
  <c r="S86" i="32"/>
  <c r="T86" i="32"/>
  <c r="U86" i="32"/>
  <c r="V86" i="32"/>
  <c r="W86" i="32"/>
  <c r="X86" i="32"/>
  <c r="Y86" i="32"/>
  <c r="Z86" i="32"/>
  <c r="AA86" i="32"/>
  <c r="AB86" i="32"/>
  <c r="AC86" i="32"/>
  <c r="AD86" i="32"/>
  <c r="AE86" i="32"/>
  <c r="S95" i="32"/>
  <c r="T95" i="32"/>
  <c r="U95" i="32"/>
  <c r="V95" i="32"/>
  <c r="W95" i="32"/>
  <c r="X95" i="32"/>
  <c r="Y95" i="32"/>
  <c r="Z95" i="32"/>
  <c r="AA95" i="32"/>
  <c r="AB95" i="32"/>
  <c r="AC95" i="32"/>
  <c r="AD95" i="32"/>
  <c r="AE95" i="32"/>
  <c r="X97" i="32"/>
  <c r="Y97" i="32"/>
  <c r="Y100" i="32" s="1"/>
  <c r="U101" i="32"/>
  <c r="V101" i="32"/>
  <c r="AC101" i="32"/>
  <c r="AD101" i="32"/>
  <c r="S102" i="32"/>
  <c r="T102" i="32"/>
  <c r="U102" i="32"/>
  <c r="V102" i="32"/>
  <c r="W102" i="32"/>
  <c r="X102" i="32"/>
  <c r="X104" i="32" s="1"/>
  <c r="X101" i="32" s="1"/>
  <c r="Y102" i="32"/>
  <c r="Y104" i="32" s="1"/>
  <c r="Y101" i="32" s="1"/>
  <c r="Z102" i="32"/>
  <c r="AA102" i="32"/>
  <c r="AB102" i="32"/>
  <c r="AC102" i="32"/>
  <c r="AD102" i="32"/>
  <c r="AE102" i="32"/>
  <c r="S104" i="32"/>
  <c r="S101" i="32" s="1"/>
  <c r="T104" i="32"/>
  <c r="T101" i="32" s="1"/>
  <c r="U104" i="32"/>
  <c r="V104" i="32"/>
  <c r="W104" i="32"/>
  <c r="W101" i="32" s="1"/>
  <c r="Z104" i="32"/>
  <c r="Z101" i="32" s="1"/>
  <c r="AA104" i="32"/>
  <c r="AA101" i="32" s="1"/>
  <c r="AB104" i="32"/>
  <c r="AB101" i="32" s="1"/>
  <c r="AC104" i="32"/>
  <c r="AD104" i="32"/>
  <c r="AE104" i="32"/>
  <c r="AE101" i="32" s="1"/>
  <c r="V105" i="32"/>
  <c r="V98" i="32" s="1"/>
  <c r="W105" i="32"/>
  <c r="W98" i="32" s="1"/>
  <c r="AD105" i="32"/>
  <c r="AD98" i="32" s="1"/>
  <c r="AE105" i="32"/>
  <c r="AE98" i="32" s="1"/>
  <c r="S106" i="32"/>
  <c r="T106" i="32"/>
  <c r="U106" i="32"/>
  <c r="V106" i="32"/>
  <c r="W106" i="32"/>
  <c r="X106" i="32"/>
  <c r="Y106" i="32"/>
  <c r="Y108" i="32" s="1"/>
  <c r="Y105" i="32" s="1"/>
  <c r="Y98" i="32" s="1"/>
  <c r="Z106" i="32"/>
  <c r="Z108" i="32" s="1"/>
  <c r="Z105" i="32" s="1"/>
  <c r="Z98" i="32" s="1"/>
  <c r="AA106" i="32"/>
  <c r="AB106" i="32"/>
  <c r="AC106" i="32"/>
  <c r="AD106" i="32"/>
  <c r="AE106" i="32"/>
  <c r="S108" i="32"/>
  <c r="S105" i="32" s="1"/>
  <c r="S98" i="32" s="1"/>
  <c r="T108" i="32"/>
  <c r="T105" i="32" s="1"/>
  <c r="T98" i="32" s="1"/>
  <c r="U108" i="32"/>
  <c r="U105" i="32" s="1"/>
  <c r="U98" i="32" s="1"/>
  <c r="V108" i="32"/>
  <c r="W108" i="32"/>
  <c r="X108" i="32"/>
  <c r="X105" i="32" s="1"/>
  <c r="X98" i="32" s="1"/>
  <c r="AA108" i="32"/>
  <c r="AA105" i="32" s="1"/>
  <c r="AA98" i="32" s="1"/>
  <c r="AB108" i="32"/>
  <c r="AB105" i="32" s="1"/>
  <c r="AB98" i="32" s="1"/>
  <c r="AC108" i="32"/>
  <c r="AC105" i="32" s="1"/>
  <c r="AC98" i="32" s="1"/>
  <c r="AD108" i="32"/>
  <c r="AE108" i="32"/>
  <c r="W109" i="32"/>
  <c r="W99" i="32" s="1"/>
  <c r="X109" i="32"/>
  <c r="X99" i="32" s="1"/>
  <c r="AE109" i="32"/>
  <c r="AE99" i="32" s="1"/>
  <c r="S110" i="32"/>
  <c r="S112" i="32" s="1"/>
  <c r="S109" i="32" s="1"/>
  <c r="S99" i="32" s="1"/>
  <c r="T110" i="32"/>
  <c r="U110" i="32"/>
  <c r="V110" i="32"/>
  <c r="W110" i="32"/>
  <c r="X110" i="32"/>
  <c r="Y110" i="32"/>
  <c r="Z110" i="32"/>
  <c r="Z112" i="32" s="1"/>
  <c r="Z109" i="32" s="1"/>
  <c r="Z99" i="32" s="1"/>
  <c r="AA110" i="32"/>
  <c r="AA112" i="32" s="1"/>
  <c r="AA109" i="32" s="1"/>
  <c r="AA99" i="32" s="1"/>
  <c r="AB110" i="32"/>
  <c r="AC110" i="32"/>
  <c r="AD110" i="32"/>
  <c r="AE110" i="32"/>
  <c r="T112" i="32"/>
  <c r="T109" i="32" s="1"/>
  <c r="T99" i="32" s="1"/>
  <c r="U112" i="32"/>
  <c r="U109" i="32" s="1"/>
  <c r="U99" i="32" s="1"/>
  <c r="V112" i="32"/>
  <c r="V109" i="32" s="1"/>
  <c r="V99" i="32" s="1"/>
  <c r="W112" i="32"/>
  <c r="X112" i="32"/>
  <c r="Y112" i="32"/>
  <c r="Y109" i="32" s="1"/>
  <c r="Y99" i="32" s="1"/>
  <c r="AB112" i="32"/>
  <c r="AB109" i="32" s="1"/>
  <c r="AB99" i="32" s="1"/>
  <c r="AC112" i="32"/>
  <c r="AC109" i="32" s="1"/>
  <c r="AC99" i="32" s="1"/>
  <c r="AD112" i="32"/>
  <c r="AD109" i="32" s="1"/>
  <c r="AD99" i="32" s="1"/>
  <c r="AE112" i="32"/>
  <c r="L60" i="32"/>
  <c r="L65" i="32"/>
  <c r="L69" i="32"/>
  <c r="AN143" i="32"/>
  <c r="E143" i="32"/>
  <c r="F131" i="32"/>
  <c r="D131" i="32"/>
  <c r="AG71" i="32"/>
  <c r="AG67" i="32"/>
  <c r="AH67" i="32"/>
  <c r="AI67" i="32"/>
  <c r="AJ67" i="32"/>
  <c r="AK67" i="32"/>
  <c r="AL67" i="32"/>
  <c r="AM67" i="32"/>
  <c r="AG68" i="32"/>
  <c r="AH68" i="32"/>
  <c r="AI68" i="32"/>
  <c r="AJ68" i="32"/>
  <c r="AK68" i="32"/>
  <c r="AL68" i="32"/>
  <c r="AM68" i="32"/>
  <c r="AG60" i="32"/>
  <c r="AH60" i="32"/>
  <c r="AI60" i="32"/>
  <c r="AJ60" i="32"/>
  <c r="AK60" i="32"/>
  <c r="AM60" i="32"/>
  <c r="AG61" i="32"/>
  <c r="AH61" i="32"/>
  <c r="AI61" i="32"/>
  <c r="AJ61" i="32"/>
  <c r="AK61" i="32"/>
  <c r="AL61" i="32"/>
  <c r="AM61" i="32"/>
  <c r="AG62" i="32"/>
  <c r="AH62" i="32"/>
  <c r="AI62" i="32"/>
  <c r="AJ62" i="32"/>
  <c r="AK62" i="32"/>
  <c r="AL62" i="32"/>
  <c r="AM62" i="32"/>
  <c r="AG63" i="32"/>
  <c r="AH63" i="32"/>
  <c r="AI63" i="32"/>
  <c r="AJ63" i="32"/>
  <c r="AK63" i="32"/>
  <c r="AL63" i="32"/>
  <c r="AM63" i="32"/>
  <c r="AG64" i="32"/>
  <c r="AH64" i="32"/>
  <c r="AI64" i="32"/>
  <c r="AJ64" i="32"/>
  <c r="AK64" i="32"/>
  <c r="AL64" i="32"/>
  <c r="AM64" i="32"/>
  <c r="AH65" i="32"/>
  <c r="AI65" i="32"/>
  <c r="AJ65" i="32"/>
  <c r="AL65" i="32"/>
  <c r="AM65" i="32"/>
  <c r="AG55" i="32"/>
  <c r="AH55" i="32"/>
  <c r="AI55" i="32"/>
  <c r="AJ55" i="32"/>
  <c r="AK55" i="32"/>
  <c r="AL55" i="32"/>
  <c r="AM55" i="32"/>
  <c r="AG56" i="32"/>
  <c r="AH56" i="32"/>
  <c r="AI56" i="32"/>
  <c r="AJ56" i="32"/>
  <c r="AK56" i="32"/>
  <c r="AL56" i="32"/>
  <c r="AM56" i="32"/>
  <c r="AG57" i="32"/>
  <c r="AH57" i="32"/>
  <c r="AI57" i="32"/>
  <c r="AJ57" i="32"/>
  <c r="AK57" i="32"/>
  <c r="AL57" i="32"/>
  <c r="AM57" i="32"/>
  <c r="AG58" i="32"/>
  <c r="AH58" i="32"/>
  <c r="AI58" i="32"/>
  <c r="AJ58" i="32"/>
  <c r="AK58" i="32"/>
  <c r="AL58" i="32"/>
  <c r="AM58" i="32"/>
  <c r="AG59" i="32"/>
  <c r="AH59" i="32"/>
  <c r="AI59" i="32"/>
  <c r="AJ59" i="32"/>
  <c r="AK59" i="32"/>
  <c r="AL59" i="32"/>
  <c r="AM59" i="32"/>
  <c r="AG53" i="32"/>
  <c r="AH53" i="32"/>
  <c r="AI53" i="32"/>
  <c r="AJ53" i="32"/>
  <c r="AK53" i="32"/>
  <c r="AL53" i="32"/>
  <c r="AM53" i="32"/>
  <c r="AG54" i="32"/>
  <c r="AH54" i="32"/>
  <c r="AI54" i="32"/>
  <c r="AJ54" i="32"/>
  <c r="AK54" i="32"/>
  <c r="AL54" i="32"/>
  <c r="AM54" i="32"/>
  <c r="AH52" i="32"/>
  <c r="AI52" i="32"/>
  <c r="AJ52" i="32"/>
  <c r="AK52" i="32"/>
  <c r="AL52" i="32"/>
  <c r="AM52" i="32"/>
  <c r="AG52" i="32"/>
  <c r="AJ49" i="32"/>
  <c r="AG8" i="32"/>
  <c r="D117" i="32"/>
  <c r="B40" i="96"/>
  <c r="C40" i="96"/>
  <c r="D40" i="96"/>
  <c r="E40" i="96"/>
  <c r="F40" i="96"/>
  <c r="G40" i="96"/>
  <c r="H40" i="96"/>
  <c r="I40" i="96"/>
  <c r="J40" i="96"/>
  <c r="F6" i="91"/>
  <c r="G6" i="91"/>
  <c r="H6" i="91"/>
  <c r="I6" i="91"/>
  <c r="J6" i="91"/>
  <c r="K6" i="91"/>
  <c r="L6" i="91"/>
  <c r="M6" i="91" s="1"/>
  <c r="N6" i="91" s="1"/>
  <c r="O6" i="91" s="1"/>
  <c r="P6" i="91" s="1"/>
  <c r="Q6" i="91" s="1"/>
  <c r="R6" i="91" s="1"/>
  <c r="S6" i="91" s="1"/>
  <c r="E9" i="91"/>
  <c r="E10" i="91" s="1"/>
  <c r="F9" i="91"/>
  <c r="G9" i="91"/>
  <c r="H9" i="91"/>
  <c r="I9" i="91"/>
  <c r="J9" i="91"/>
  <c r="K9" i="91"/>
  <c r="L9" i="91"/>
  <c r="L10" i="91" s="1"/>
  <c r="L13" i="91" s="1"/>
  <c r="M9" i="91"/>
  <c r="M10" i="91" s="1"/>
  <c r="N9" i="91"/>
  <c r="N10" i="91" s="1"/>
  <c r="N13" i="91" s="1"/>
  <c r="N20" i="91" s="1"/>
  <c r="N36" i="91" s="1"/>
  <c r="N40" i="91" s="1"/>
  <c r="F10" i="91"/>
  <c r="G10" i="91"/>
  <c r="H10" i="91"/>
  <c r="I10" i="91"/>
  <c r="J10" i="91"/>
  <c r="K10" i="91"/>
  <c r="E12" i="91"/>
  <c r="F12" i="91"/>
  <c r="G12" i="91"/>
  <c r="H12" i="91"/>
  <c r="I12" i="91"/>
  <c r="J12" i="91"/>
  <c r="K12" i="91"/>
  <c r="L12" i="91"/>
  <c r="M12" i="91"/>
  <c r="N12" i="91"/>
  <c r="F13" i="91"/>
  <c r="G13" i="91"/>
  <c r="E15" i="91"/>
  <c r="F15" i="91"/>
  <c r="G15" i="91"/>
  <c r="H15" i="91"/>
  <c r="I15" i="91"/>
  <c r="J15" i="91"/>
  <c r="K15" i="91"/>
  <c r="L15" i="91"/>
  <c r="M15" i="91"/>
  <c r="N15" i="91"/>
  <c r="E16" i="91"/>
  <c r="F16" i="91"/>
  <c r="G16" i="91"/>
  <c r="H16" i="91"/>
  <c r="I16" i="91"/>
  <c r="J16" i="91"/>
  <c r="K16" i="91"/>
  <c r="L16" i="91"/>
  <c r="M16" i="91"/>
  <c r="N16" i="91"/>
  <c r="E17" i="91"/>
  <c r="F17" i="91"/>
  <c r="G17" i="91"/>
  <c r="H17" i="91"/>
  <c r="I17" i="91"/>
  <c r="J17" i="91"/>
  <c r="K17" i="91"/>
  <c r="L17" i="91"/>
  <c r="M17" i="91"/>
  <c r="N17" i="91"/>
  <c r="E18" i="91"/>
  <c r="F18" i="91"/>
  <c r="G18" i="91"/>
  <c r="H18" i="91"/>
  <c r="I18" i="91"/>
  <c r="J18" i="91"/>
  <c r="K18" i="91"/>
  <c r="L18" i="91"/>
  <c r="M18" i="91"/>
  <c r="N18" i="91"/>
  <c r="E19" i="91"/>
  <c r="F19" i="91"/>
  <c r="G19" i="91"/>
  <c r="H19" i="91"/>
  <c r="I19" i="91"/>
  <c r="J19" i="91"/>
  <c r="K19" i="91"/>
  <c r="L19" i="91"/>
  <c r="M19" i="91"/>
  <c r="N19" i="91"/>
  <c r="E23" i="91"/>
  <c r="F23" i="91"/>
  <c r="G23" i="91"/>
  <c r="H23" i="91"/>
  <c r="I23" i="91"/>
  <c r="J23" i="91"/>
  <c r="J109" i="91" s="1"/>
  <c r="K23" i="91"/>
  <c r="K110" i="91" s="1"/>
  <c r="L23" i="91"/>
  <c r="M23" i="91"/>
  <c r="N23" i="91"/>
  <c r="E24" i="91"/>
  <c r="E112" i="91" s="1"/>
  <c r="F24" i="91"/>
  <c r="F112" i="91" s="1"/>
  <c r="G24" i="91"/>
  <c r="G112" i="91" s="1"/>
  <c r="H24" i="91"/>
  <c r="H112" i="91" s="1"/>
  <c r="I24" i="91"/>
  <c r="I112" i="91" s="1"/>
  <c r="J24" i="91"/>
  <c r="K24" i="91"/>
  <c r="L24" i="91"/>
  <c r="M24" i="91"/>
  <c r="M112" i="91" s="1"/>
  <c r="N24" i="91"/>
  <c r="N112" i="91" s="1"/>
  <c r="E25" i="91"/>
  <c r="F25" i="91"/>
  <c r="G25" i="91"/>
  <c r="H25" i="91"/>
  <c r="I25" i="91"/>
  <c r="J25" i="91"/>
  <c r="K25" i="91"/>
  <c r="L25" i="91"/>
  <c r="M25" i="91"/>
  <c r="N25" i="91"/>
  <c r="E26" i="91"/>
  <c r="F26" i="91"/>
  <c r="G26" i="91"/>
  <c r="H26" i="91"/>
  <c r="I26" i="91"/>
  <c r="J26" i="91"/>
  <c r="K26" i="91"/>
  <c r="L26" i="91"/>
  <c r="M26" i="91"/>
  <c r="N26" i="91"/>
  <c r="E27" i="91"/>
  <c r="F27" i="91"/>
  <c r="G27" i="91"/>
  <c r="H27" i="91"/>
  <c r="I27" i="91"/>
  <c r="J27" i="91"/>
  <c r="K27" i="91"/>
  <c r="L27" i="91"/>
  <c r="M27" i="91"/>
  <c r="N27" i="91"/>
  <c r="E28" i="91"/>
  <c r="F28" i="91"/>
  <c r="G28" i="91"/>
  <c r="H28" i="91"/>
  <c r="I28" i="91"/>
  <c r="J28" i="91"/>
  <c r="K28" i="91"/>
  <c r="L28" i="91"/>
  <c r="M28" i="91"/>
  <c r="N28" i="91"/>
  <c r="E29" i="91"/>
  <c r="F29" i="91"/>
  <c r="G29" i="91"/>
  <c r="H29" i="91"/>
  <c r="I29" i="91"/>
  <c r="J29" i="91"/>
  <c r="K29" i="91"/>
  <c r="L29" i="91"/>
  <c r="M29" i="91"/>
  <c r="N29" i="91"/>
  <c r="E30" i="91"/>
  <c r="F30" i="91"/>
  <c r="G30" i="91"/>
  <c r="H30" i="91"/>
  <c r="I30" i="91"/>
  <c r="J30" i="91"/>
  <c r="K30" i="91"/>
  <c r="L30" i="91"/>
  <c r="M30" i="91"/>
  <c r="N30" i="91"/>
  <c r="E31" i="91"/>
  <c r="F31" i="91"/>
  <c r="G31" i="91"/>
  <c r="H31" i="91"/>
  <c r="I31" i="91"/>
  <c r="J31" i="91"/>
  <c r="K31" i="91"/>
  <c r="L31" i="91"/>
  <c r="M31" i="91"/>
  <c r="N31" i="91"/>
  <c r="E32" i="91"/>
  <c r="F32" i="91"/>
  <c r="G32" i="91"/>
  <c r="H32" i="91"/>
  <c r="I32" i="91"/>
  <c r="J32" i="91"/>
  <c r="K32" i="91"/>
  <c r="L32" i="91"/>
  <c r="M32" i="91"/>
  <c r="N32" i="91"/>
  <c r="E33" i="91"/>
  <c r="F33" i="91"/>
  <c r="G33" i="91"/>
  <c r="H33" i="91"/>
  <c r="I33" i="91"/>
  <c r="J33" i="91"/>
  <c r="K33" i="91"/>
  <c r="L33" i="91"/>
  <c r="M33" i="91"/>
  <c r="N33" i="91"/>
  <c r="E34" i="91"/>
  <c r="F34" i="91"/>
  <c r="G34" i="91"/>
  <c r="H34" i="91"/>
  <c r="I34" i="91"/>
  <c r="J34" i="91"/>
  <c r="K34" i="91"/>
  <c r="L34" i="91"/>
  <c r="M34" i="91"/>
  <c r="N34" i="91"/>
  <c r="E35" i="91"/>
  <c r="F35" i="91"/>
  <c r="G35" i="91"/>
  <c r="H35" i="91"/>
  <c r="I35" i="91"/>
  <c r="J35" i="91"/>
  <c r="K35" i="91"/>
  <c r="L35" i="91"/>
  <c r="M35" i="91"/>
  <c r="N35" i="91"/>
  <c r="E38" i="91"/>
  <c r="E111" i="91" s="1"/>
  <c r="F38" i="91"/>
  <c r="G38" i="91"/>
  <c r="G111" i="91" s="1"/>
  <c r="H38" i="91"/>
  <c r="H111" i="91" s="1"/>
  <c r="I38" i="91"/>
  <c r="I111" i="91" s="1"/>
  <c r="J38" i="91"/>
  <c r="J111" i="91" s="1"/>
  <c r="K38" i="91"/>
  <c r="K111" i="91" s="1"/>
  <c r="L38" i="91"/>
  <c r="L111" i="91" s="1"/>
  <c r="M38" i="91"/>
  <c r="M111" i="91" s="1"/>
  <c r="N38" i="91"/>
  <c r="N111" i="91" s="1"/>
  <c r="E39" i="91"/>
  <c r="F39" i="91"/>
  <c r="G39" i="91"/>
  <c r="H39" i="91"/>
  <c r="I39" i="91"/>
  <c r="J39" i="91"/>
  <c r="K39" i="91"/>
  <c r="L39" i="91"/>
  <c r="M39" i="91"/>
  <c r="N39" i="91"/>
  <c r="E45" i="91"/>
  <c r="F45" i="91"/>
  <c r="G45" i="91"/>
  <c r="H45" i="91"/>
  <c r="I45" i="91"/>
  <c r="J45" i="91"/>
  <c r="K45" i="91"/>
  <c r="L45" i="91"/>
  <c r="M45" i="91"/>
  <c r="N45" i="91"/>
  <c r="E46" i="91"/>
  <c r="F46" i="91"/>
  <c r="G46" i="91"/>
  <c r="H46" i="91"/>
  <c r="I46" i="91"/>
  <c r="J46" i="91"/>
  <c r="K46" i="91"/>
  <c r="L46" i="91"/>
  <c r="M46" i="91"/>
  <c r="N46" i="91"/>
  <c r="E47" i="91"/>
  <c r="F47" i="91"/>
  <c r="G47" i="91"/>
  <c r="H47" i="91"/>
  <c r="I47" i="91"/>
  <c r="J47" i="91"/>
  <c r="K47" i="91"/>
  <c r="L47" i="91"/>
  <c r="M47" i="91"/>
  <c r="N47" i="91"/>
  <c r="E48" i="91"/>
  <c r="F48" i="91"/>
  <c r="G48" i="91"/>
  <c r="H48" i="91"/>
  <c r="I48" i="91"/>
  <c r="J48" i="91"/>
  <c r="K48" i="91"/>
  <c r="L48" i="91"/>
  <c r="M48" i="91"/>
  <c r="N48" i="91"/>
  <c r="E49" i="91"/>
  <c r="F49" i="91"/>
  <c r="G49" i="91"/>
  <c r="H49" i="91"/>
  <c r="I49" i="91"/>
  <c r="J49" i="91"/>
  <c r="K49" i="91"/>
  <c r="L49" i="91"/>
  <c r="M49" i="91"/>
  <c r="N49" i="91"/>
  <c r="E50" i="91"/>
  <c r="F50" i="91"/>
  <c r="G50" i="91"/>
  <c r="H50" i="91"/>
  <c r="I50" i="91"/>
  <c r="J50" i="91"/>
  <c r="K50" i="91"/>
  <c r="L50" i="91"/>
  <c r="M50" i="91"/>
  <c r="N50" i="91"/>
  <c r="E62" i="91"/>
  <c r="F62" i="91"/>
  <c r="G62" i="91"/>
  <c r="H62" i="91"/>
  <c r="I62" i="91"/>
  <c r="J62" i="91"/>
  <c r="K62" i="91"/>
  <c r="L62" i="91"/>
  <c r="M62" i="91"/>
  <c r="N62" i="91"/>
  <c r="N68" i="91" s="1"/>
  <c r="E63" i="91"/>
  <c r="F63" i="91"/>
  <c r="G63" i="91"/>
  <c r="H63" i="91"/>
  <c r="I63" i="91"/>
  <c r="J63" i="91"/>
  <c r="K63" i="91"/>
  <c r="L63" i="91"/>
  <c r="M63" i="91"/>
  <c r="N63" i="91"/>
  <c r="E64" i="91"/>
  <c r="F64" i="91"/>
  <c r="G64" i="91"/>
  <c r="H64" i="91"/>
  <c r="I64" i="91"/>
  <c r="J64" i="91"/>
  <c r="K64" i="91"/>
  <c r="L64" i="91"/>
  <c r="M64" i="91"/>
  <c r="N64" i="91"/>
  <c r="E65" i="91"/>
  <c r="F65" i="91"/>
  <c r="G65" i="91"/>
  <c r="H65" i="91"/>
  <c r="I65" i="91"/>
  <c r="J65" i="91"/>
  <c r="K65" i="91"/>
  <c r="L65" i="91"/>
  <c r="M65" i="91"/>
  <c r="N65" i="91"/>
  <c r="E66" i="91"/>
  <c r="F66" i="91"/>
  <c r="G66" i="91"/>
  <c r="H66" i="91"/>
  <c r="I66" i="91"/>
  <c r="J66" i="91"/>
  <c r="K66" i="91"/>
  <c r="L66" i="91"/>
  <c r="M66" i="91"/>
  <c r="N66" i="91"/>
  <c r="E67" i="91"/>
  <c r="F67" i="91"/>
  <c r="G67" i="91"/>
  <c r="H67" i="91"/>
  <c r="I67" i="91"/>
  <c r="J67" i="91"/>
  <c r="K67" i="91"/>
  <c r="L67" i="91"/>
  <c r="M67" i="91"/>
  <c r="N67" i="91"/>
  <c r="F68" i="91"/>
  <c r="E70" i="91"/>
  <c r="F70" i="91"/>
  <c r="G70" i="91"/>
  <c r="H70" i="91"/>
  <c r="I70" i="91"/>
  <c r="J70" i="91"/>
  <c r="K70" i="91"/>
  <c r="L70" i="91"/>
  <c r="M70" i="91"/>
  <c r="N70" i="91"/>
  <c r="E71" i="91"/>
  <c r="F71" i="91"/>
  <c r="G71" i="91"/>
  <c r="H71" i="91"/>
  <c r="H76" i="91" s="1"/>
  <c r="I71" i="91"/>
  <c r="J71" i="91"/>
  <c r="K71" i="91"/>
  <c r="L71" i="91"/>
  <c r="M71" i="91"/>
  <c r="N71" i="91"/>
  <c r="E72" i="91"/>
  <c r="F72" i="91"/>
  <c r="G72" i="91"/>
  <c r="H72" i="91"/>
  <c r="I72" i="91"/>
  <c r="J72" i="91"/>
  <c r="K72" i="91"/>
  <c r="L72" i="91"/>
  <c r="M72" i="91"/>
  <c r="N72" i="91"/>
  <c r="E73" i="91"/>
  <c r="F73" i="91"/>
  <c r="G73" i="91"/>
  <c r="H73" i="91"/>
  <c r="I73" i="91"/>
  <c r="J73" i="91"/>
  <c r="K73" i="91"/>
  <c r="L73" i="91"/>
  <c r="M73" i="91"/>
  <c r="N73" i="91"/>
  <c r="E74" i="91"/>
  <c r="F74" i="91"/>
  <c r="G74" i="91"/>
  <c r="H74" i="91"/>
  <c r="I74" i="91"/>
  <c r="J74" i="91"/>
  <c r="K74" i="91"/>
  <c r="L74" i="91"/>
  <c r="M74" i="91"/>
  <c r="N74" i="91"/>
  <c r="E75" i="91"/>
  <c r="F75" i="91"/>
  <c r="G75" i="91"/>
  <c r="H75" i="91"/>
  <c r="I75" i="91"/>
  <c r="J75" i="91"/>
  <c r="K75" i="91"/>
  <c r="L75" i="91"/>
  <c r="M75" i="91"/>
  <c r="N75" i="91"/>
  <c r="E80" i="91"/>
  <c r="F80" i="91"/>
  <c r="G80" i="91"/>
  <c r="H80" i="91"/>
  <c r="I80" i="91"/>
  <c r="J80" i="91"/>
  <c r="K80" i="91"/>
  <c r="L80" i="91"/>
  <c r="M80" i="91"/>
  <c r="N80" i="91"/>
  <c r="E81" i="91"/>
  <c r="F81" i="91"/>
  <c r="G81" i="91"/>
  <c r="H81" i="91"/>
  <c r="H86" i="91" s="1"/>
  <c r="I81" i="91"/>
  <c r="I86" i="91" s="1"/>
  <c r="J81" i="91"/>
  <c r="K81" i="91"/>
  <c r="L81" i="91"/>
  <c r="M81" i="91"/>
  <c r="N81" i="91"/>
  <c r="E82" i="91"/>
  <c r="F82" i="91"/>
  <c r="G82" i="91"/>
  <c r="H82" i="91"/>
  <c r="I82" i="91"/>
  <c r="J82" i="91"/>
  <c r="K82" i="91"/>
  <c r="L82" i="91"/>
  <c r="M82" i="91"/>
  <c r="N82" i="91"/>
  <c r="E83" i="91"/>
  <c r="F83" i="91"/>
  <c r="G83" i="91"/>
  <c r="G86" i="91" s="1"/>
  <c r="H83" i="91"/>
  <c r="I83" i="91"/>
  <c r="J83" i="91"/>
  <c r="K83" i="91"/>
  <c r="L83" i="91"/>
  <c r="M83" i="91"/>
  <c r="N83" i="91"/>
  <c r="E84" i="91"/>
  <c r="F84" i="91"/>
  <c r="G84" i="91"/>
  <c r="H84" i="91"/>
  <c r="I84" i="91"/>
  <c r="J84" i="91"/>
  <c r="K84" i="91"/>
  <c r="L84" i="91"/>
  <c r="M84" i="91"/>
  <c r="N84" i="91"/>
  <c r="E85" i="91"/>
  <c r="F85" i="91"/>
  <c r="G85" i="91"/>
  <c r="H85" i="91"/>
  <c r="I85" i="91"/>
  <c r="J85" i="91"/>
  <c r="K85" i="91"/>
  <c r="L85" i="91"/>
  <c r="M85" i="91"/>
  <c r="N85" i="91"/>
  <c r="E88" i="91"/>
  <c r="F88" i="91"/>
  <c r="G88" i="91"/>
  <c r="H88" i="91"/>
  <c r="I88" i="91"/>
  <c r="J88" i="91"/>
  <c r="K88" i="91"/>
  <c r="L88" i="91"/>
  <c r="M88" i="91"/>
  <c r="N88" i="91"/>
  <c r="E89" i="91"/>
  <c r="F89" i="91"/>
  <c r="G89" i="91"/>
  <c r="H89" i="91"/>
  <c r="I89" i="91"/>
  <c r="J89" i="91"/>
  <c r="K89" i="91"/>
  <c r="L89" i="91"/>
  <c r="M89" i="91"/>
  <c r="M93" i="91" s="1"/>
  <c r="N89" i="91"/>
  <c r="E90" i="91"/>
  <c r="F90" i="91"/>
  <c r="G90" i="91"/>
  <c r="H90" i="91"/>
  <c r="I90" i="91"/>
  <c r="J90" i="91"/>
  <c r="K90" i="91"/>
  <c r="K93" i="91" s="1"/>
  <c r="L90" i="91"/>
  <c r="M90" i="91"/>
  <c r="N90" i="91"/>
  <c r="E91" i="91"/>
  <c r="F91" i="91"/>
  <c r="G91" i="91"/>
  <c r="H91" i="91"/>
  <c r="I91" i="91"/>
  <c r="J91" i="91"/>
  <c r="K91" i="91"/>
  <c r="L91" i="91"/>
  <c r="M91" i="91"/>
  <c r="N91" i="91"/>
  <c r="E92" i="91"/>
  <c r="F92" i="91"/>
  <c r="G92" i="91"/>
  <c r="H92" i="91"/>
  <c r="I92" i="91"/>
  <c r="J92" i="91"/>
  <c r="K92" i="91"/>
  <c r="L92" i="91"/>
  <c r="M92" i="91"/>
  <c r="N92" i="91"/>
  <c r="E93" i="91"/>
  <c r="L93" i="91"/>
  <c r="E95" i="91"/>
  <c r="F95" i="91"/>
  <c r="G95" i="91"/>
  <c r="H95" i="91"/>
  <c r="H100" i="91" s="1"/>
  <c r="I95" i="91"/>
  <c r="J95" i="91"/>
  <c r="K95" i="91"/>
  <c r="L95" i="91"/>
  <c r="M95" i="91"/>
  <c r="N95" i="91"/>
  <c r="E96" i="91"/>
  <c r="F96" i="91"/>
  <c r="G96" i="91"/>
  <c r="H96" i="91"/>
  <c r="I96" i="91"/>
  <c r="I100" i="91" s="1"/>
  <c r="J96" i="91"/>
  <c r="K96" i="91"/>
  <c r="L96" i="91"/>
  <c r="M96" i="91"/>
  <c r="N96" i="91"/>
  <c r="E97" i="91"/>
  <c r="F97" i="91"/>
  <c r="G97" i="91"/>
  <c r="G100" i="91" s="1"/>
  <c r="H97" i="91"/>
  <c r="I97" i="91"/>
  <c r="J97" i="91"/>
  <c r="K97" i="91"/>
  <c r="L97" i="91"/>
  <c r="M97" i="91"/>
  <c r="N97" i="91"/>
  <c r="E98" i="91"/>
  <c r="F98" i="91"/>
  <c r="G98" i="91"/>
  <c r="H98" i="91"/>
  <c r="I98" i="91"/>
  <c r="J98" i="91"/>
  <c r="K98" i="91"/>
  <c r="L98" i="91"/>
  <c r="M98" i="91"/>
  <c r="N98" i="91"/>
  <c r="E99" i="91"/>
  <c r="F99" i="91"/>
  <c r="G99" i="91"/>
  <c r="H99" i="91"/>
  <c r="I99" i="91"/>
  <c r="J99" i="91"/>
  <c r="K99" i="91"/>
  <c r="L99" i="91"/>
  <c r="M99" i="91"/>
  <c r="N99" i="91"/>
  <c r="E110" i="91"/>
  <c r="F110" i="91"/>
  <c r="G110" i="91"/>
  <c r="L110" i="91"/>
  <c r="M110" i="91"/>
  <c r="N110" i="91"/>
  <c r="F111" i="91"/>
  <c r="J112" i="91"/>
  <c r="K112" i="91"/>
  <c r="L112" i="91"/>
  <c r="E113" i="91"/>
  <c r="F113" i="91"/>
  <c r="G113" i="91"/>
  <c r="H113" i="91"/>
  <c r="I113" i="91"/>
  <c r="J113" i="91"/>
  <c r="K113" i="91"/>
  <c r="L113" i="91"/>
  <c r="M113" i="91"/>
  <c r="N113" i="91"/>
  <c r="E114" i="91"/>
  <c r="F114" i="91"/>
  <c r="G114" i="91"/>
  <c r="H114" i="91"/>
  <c r="I114" i="91"/>
  <c r="J114" i="91"/>
  <c r="K114" i="91"/>
  <c r="L114" i="91"/>
  <c r="M114" i="91"/>
  <c r="N114" i="91"/>
  <c r="E115" i="91"/>
  <c r="F115" i="91"/>
  <c r="G115" i="91"/>
  <c r="H115" i="91"/>
  <c r="I115" i="91"/>
  <c r="J115" i="91"/>
  <c r="K115" i="91"/>
  <c r="L115" i="91"/>
  <c r="M115" i="91"/>
  <c r="N115" i="91"/>
  <c r="E116" i="91"/>
  <c r="F116" i="91"/>
  <c r="G116" i="91"/>
  <c r="H116" i="91"/>
  <c r="I116" i="91"/>
  <c r="J116" i="91"/>
  <c r="K116" i="91"/>
  <c r="L116" i="91"/>
  <c r="M116" i="91"/>
  <c r="N116" i="91"/>
  <c r="E117" i="91"/>
  <c r="F117" i="91"/>
  <c r="G117" i="91"/>
  <c r="H117" i="91"/>
  <c r="I117" i="91"/>
  <c r="J117" i="91"/>
  <c r="K117" i="91"/>
  <c r="L117" i="91"/>
  <c r="M117" i="91"/>
  <c r="N117" i="91"/>
  <c r="E118" i="91"/>
  <c r="F118" i="91"/>
  <c r="G118" i="91"/>
  <c r="H118" i="91"/>
  <c r="I118" i="91"/>
  <c r="J118" i="91"/>
  <c r="K118" i="91"/>
  <c r="L118" i="91"/>
  <c r="M118" i="91"/>
  <c r="N118" i="91"/>
  <c r="E119" i="91"/>
  <c r="F119" i="91"/>
  <c r="G119" i="91"/>
  <c r="H119" i="91"/>
  <c r="I119" i="91"/>
  <c r="J119" i="91"/>
  <c r="K119" i="91"/>
  <c r="L119" i="91"/>
  <c r="M119" i="91"/>
  <c r="N119" i="91"/>
  <c r="E120" i="91"/>
  <c r="F120" i="91"/>
  <c r="G120" i="91"/>
  <c r="H120" i="91"/>
  <c r="I120" i="91"/>
  <c r="J120" i="91"/>
  <c r="K120" i="91"/>
  <c r="L120" i="91"/>
  <c r="M120" i="91"/>
  <c r="N120" i="91"/>
  <c r="E121" i="91"/>
  <c r="F121" i="91"/>
  <c r="G121" i="91"/>
  <c r="H121" i="91"/>
  <c r="I121" i="91"/>
  <c r="J121" i="91"/>
  <c r="K121" i="91"/>
  <c r="L121" i="91"/>
  <c r="M121" i="91"/>
  <c r="N121" i="91"/>
  <c r="E122" i="91"/>
  <c r="F122" i="91"/>
  <c r="G122" i="91"/>
  <c r="H122" i="91"/>
  <c r="I122" i="91"/>
  <c r="J122" i="91"/>
  <c r="K122" i="91"/>
  <c r="L122" i="91"/>
  <c r="M122" i="91"/>
  <c r="N122" i="91"/>
  <c r="E123" i="91"/>
  <c r="F123" i="91"/>
  <c r="G123" i="91"/>
  <c r="H123" i="91"/>
  <c r="I123" i="91"/>
  <c r="J123" i="91"/>
  <c r="K123" i="91"/>
  <c r="L123" i="91"/>
  <c r="M123" i="91"/>
  <c r="N123" i="91"/>
  <c r="E124" i="91"/>
  <c r="F124" i="91"/>
  <c r="G124" i="91"/>
  <c r="H124" i="91"/>
  <c r="I124" i="91"/>
  <c r="J124" i="91"/>
  <c r="K124" i="91"/>
  <c r="L124" i="91"/>
  <c r="M124" i="91"/>
  <c r="N124" i="91"/>
  <c r="E125" i="91"/>
  <c r="F125" i="91"/>
  <c r="G125" i="91"/>
  <c r="H125" i="91"/>
  <c r="I125" i="91"/>
  <c r="J125" i="91"/>
  <c r="K125" i="91"/>
  <c r="L125" i="91"/>
  <c r="M125" i="91"/>
  <c r="N125" i="91"/>
  <c r="E131" i="91"/>
  <c r="F131" i="91"/>
  <c r="G131" i="91"/>
  <c r="H131" i="91"/>
  <c r="H138" i="91" s="1"/>
  <c r="I131" i="91"/>
  <c r="J131" i="91"/>
  <c r="K131" i="91"/>
  <c r="L131" i="91"/>
  <c r="M131" i="91"/>
  <c r="N131" i="91"/>
  <c r="E132" i="91"/>
  <c r="F132" i="91"/>
  <c r="G132" i="91"/>
  <c r="H132" i="91"/>
  <c r="I132" i="91"/>
  <c r="J132" i="91"/>
  <c r="K132" i="91"/>
  <c r="L132" i="91"/>
  <c r="M132" i="91"/>
  <c r="N132" i="91"/>
  <c r="E133" i="91"/>
  <c r="F133" i="91"/>
  <c r="G133" i="91"/>
  <c r="H133" i="91"/>
  <c r="I133" i="91"/>
  <c r="J133" i="91"/>
  <c r="K133" i="91"/>
  <c r="L133" i="91"/>
  <c r="M133" i="91"/>
  <c r="N133" i="91"/>
  <c r="E134" i="91"/>
  <c r="F134" i="91"/>
  <c r="G134" i="91"/>
  <c r="H134" i="91"/>
  <c r="I134" i="91"/>
  <c r="J134" i="91"/>
  <c r="K134" i="91"/>
  <c r="L134" i="91"/>
  <c r="M134" i="91"/>
  <c r="N134" i="91"/>
  <c r="E135" i="91"/>
  <c r="F135" i="91"/>
  <c r="G135" i="91"/>
  <c r="H135" i="91"/>
  <c r="I135" i="91"/>
  <c r="J135" i="91"/>
  <c r="K135" i="91"/>
  <c r="L135" i="91"/>
  <c r="M135" i="91"/>
  <c r="N135" i="91"/>
  <c r="E136" i="91"/>
  <c r="F136" i="91"/>
  <c r="G136" i="91"/>
  <c r="H136" i="91"/>
  <c r="I136" i="91"/>
  <c r="J136" i="91"/>
  <c r="K136" i="91"/>
  <c r="L136" i="91"/>
  <c r="M136" i="91"/>
  <c r="N136" i="91"/>
  <c r="E137" i="91"/>
  <c r="F137" i="91"/>
  <c r="G137" i="91"/>
  <c r="H137" i="91"/>
  <c r="I137" i="91"/>
  <c r="J137" i="91"/>
  <c r="K137" i="91"/>
  <c r="L137" i="91"/>
  <c r="M137" i="91"/>
  <c r="N137" i="91"/>
  <c r="E141" i="91"/>
  <c r="F141" i="91"/>
  <c r="G141" i="91"/>
  <c r="H141" i="91"/>
  <c r="I141" i="91"/>
  <c r="J141" i="91"/>
  <c r="K141" i="91"/>
  <c r="L141" i="91"/>
  <c r="M141" i="91"/>
  <c r="N141" i="91"/>
  <c r="E142" i="91"/>
  <c r="F142" i="91"/>
  <c r="G142" i="91"/>
  <c r="H142" i="91"/>
  <c r="I142" i="91"/>
  <c r="J142" i="91"/>
  <c r="K142" i="91"/>
  <c r="L142" i="91"/>
  <c r="M142" i="91"/>
  <c r="N142" i="91"/>
  <c r="E143" i="91"/>
  <c r="F143" i="91"/>
  <c r="G143" i="91"/>
  <c r="H143" i="91"/>
  <c r="I143" i="91"/>
  <c r="J143" i="91"/>
  <c r="K143" i="91"/>
  <c r="L143" i="91"/>
  <c r="M143" i="91"/>
  <c r="N143" i="91"/>
  <c r="E144" i="91"/>
  <c r="F144" i="91"/>
  <c r="G144" i="91"/>
  <c r="H144" i="91"/>
  <c r="I144" i="91"/>
  <c r="J144" i="91"/>
  <c r="K144" i="91"/>
  <c r="L144" i="91"/>
  <c r="M144" i="91"/>
  <c r="N144" i="91"/>
  <c r="E145" i="91"/>
  <c r="F145" i="91"/>
  <c r="G145" i="91"/>
  <c r="H145" i="91"/>
  <c r="I145" i="91"/>
  <c r="J145" i="91"/>
  <c r="K145" i="91"/>
  <c r="L145" i="91"/>
  <c r="M145" i="91"/>
  <c r="N145" i="91"/>
  <c r="E146" i="91"/>
  <c r="F146" i="91"/>
  <c r="G146" i="91"/>
  <c r="H146" i="91"/>
  <c r="I146" i="91"/>
  <c r="J146" i="91"/>
  <c r="K146" i="91"/>
  <c r="L146" i="91"/>
  <c r="M146" i="91"/>
  <c r="N146" i="91"/>
  <c r="E151" i="91"/>
  <c r="F151" i="91"/>
  <c r="G151" i="91"/>
  <c r="H151" i="91"/>
  <c r="I151" i="91"/>
  <c r="J151" i="91"/>
  <c r="K151" i="91"/>
  <c r="L151" i="91"/>
  <c r="M151" i="91"/>
  <c r="N151" i="91"/>
  <c r="E152" i="91"/>
  <c r="F152" i="91"/>
  <c r="G152" i="91"/>
  <c r="H152" i="91"/>
  <c r="I152" i="91"/>
  <c r="J152" i="91"/>
  <c r="K152" i="91"/>
  <c r="L152" i="91"/>
  <c r="M152" i="91"/>
  <c r="N152" i="91"/>
  <c r="F6" i="90"/>
  <c r="G6" i="90"/>
  <c r="H6" i="90"/>
  <c r="I6" i="90"/>
  <c r="J6" i="90"/>
  <c r="K6" i="90"/>
  <c r="L6" i="90"/>
  <c r="M6" i="90" s="1"/>
  <c r="N6" i="90" s="1"/>
  <c r="O6" i="90" s="1"/>
  <c r="P6" i="90" s="1"/>
  <c r="Q6" i="90"/>
  <c r="R6" i="90" s="1"/>
  <c r="S6" i="90" s="1"/>
  <c r="E9" i="90"/>
  <c r="E10" i="90" s="1"/>
  <c r="F9" i="90"/>
  <c r="F10" i="90" s="1"/>
  <c r="F13" i="90" s="1"/>
  <c r="G9" i="90"/>
  <c r="G10" i="90" s="1"/>
  <c r="G13" i="90" s="1"/>
  <c r="H9" i="90"/>
  <c r="H10" i="90" s="1"/>
  <c r="H13" i="90" s="1"/>
  <c r="I9" i="90"/>
  <c r="I10" i="90" s="1"/>
  <c r="I13" i="90" s="1"/>
  <c r="J9" i="90"/>
  <c r="J10" i="90" s="1"/>
  <c r="J13" i="90" s="1"/>
  <c r="K9" i="90"/>
  <c r="K10" i="90" s="1"/>
  <c r="L9" i="90"/>
  <c r="M9" i="90"/>
  <c r="N9" i="90"/>
  <c r="O9" i="90"/>
  <c r="P9" i="90"/>
  <c r="Q9" i="90"/>
  <c r="R9" i="90"/>
  <c r="S9" i="90"/>
  <c r="L10" i="90"/>
  <c r="M10" i="90"/>
  <c r="N10" i="90"/>
  <c r="E12" i="90"/>
  <c r="F12" i="90"/>
  <c r="G12" i="90"/>
  <c r="H12" i="90"/>
  <c r="I12" i="90"/>
  <c r="J12" i="90"/>
  <c r="K12" i="90"/>
  <c r="K13" i="90" s="1"/>
  <c r="L12" i="90"/>
  <c r="M12" i="90"/>
  <c r="N12" i="90"/>
  <c r="E15" i="90"/>
  <c r="F15" i="90"/>
  <c r="G15" i="90"/>
  <c r="H15" i="90"/>
  <c r="I15" i="90"/>
  <c r="J15" i="90"/>
  <c r="K15" i="90"/>
  <c r="L15" i="90"/>
  <c r="M15" i="90"/>
  <c r="N15" i="90"/>
  <c r="E16" i="90"/>
  <c r="F16" i="90"/>
  <c r="G16" i="90"/>
  <c r="H16" i="90"/>
  <c r="I16" i="90"/>
  <c r="J16" i="90"/>
  <c r="K16" i="90"/>
  <c r="L16" i="90"/>
  <c r="M16" i="90"/>
  <c r="N16" i="90"/>
  <c r="E17" i="90"/>
  <c r="F17" i="90"/>
  <c r="G17" i="90"/>
  <c r="H17" i="90"/>
  <c r="I17" i="90"/>
  <c r="J17" i="90"/>
  <c r="K17" i="90"/>
  <c r="L17" i="90"/>
  <c r="M17" i="90"/>
  <c r="N17" i="90"/>
  <c r="E21" i="90"/>
  <c r="E111" i="90" s="1"/>
  <c r="F21" i="90"/>
  <c r="F112" i="90" s="1"/>
  <c r="G21" i="90"/>
  <c r="H21" i="90"/>
  <c r="I21" i="90"/>
  <c r="I112" i="90" s="1"/>
  <c r="J21" i="90"/>
  <c r="J112" i="90" s="1"/>
  <c r="K21" i="90"/>
  <c r="K112" i="90" s="1"/>
  <c r="L21" i="90"/>
  <c r="L112" i="90" s="1"/>
  <c r="M21" i="90"/>
  <c r="M111" i="90" s="1"/>
  <c r="N21" i="90"/>
  <c r="N112" i="90" s="1"/>
  <c r="E22" i="90"/>
  <c r="F22" i="90"/>
  <c r="F113" i="90" s="1"/>
  <c r="G22" i="90"/>
  <c r="G113" i="90" s="1"/>
  <c r="H22" i="90"/>
  <c r="H113" i="90" s="1"/>
  <c r="I22" i="90"/>
  <c r="I111" i="90" s="1"/>
  <c r="J22" i="90"/>
  <c r="J113" i="90" s="1"/>
  <c r="K22" i="90"/>
  <c r="K113" i="90" s="1"/>
  <c r="L22" i="90"/>
  <c r="L113" i="90" s="1"/>
  <c r="M22" i="90"/>
  <c r="N22" i="90"/>
  <c r="N113" i="90" s="1"/>
  <c r="E23" i="90"/>
  <c r="F23" i="90"/>
  <c r="G23" i="90"/>
  <c r="H23" i="90"/>
  <c r="I23" i="90"/>
  <c r="J23" i="90"/>
  <c r="K23" i="90"/>
  <c r="L23" i="90"/>
  <c r="M23" i="90"/>
  <c r="N23" i="90"/>
  <c r="E24" i="90"/>
  <c r="F24" i="90"/>
  <c r="G24" i="90"/>
  <c r="H24" i="90"/>
  <c r="I24" i="90"/>
  <c r="J24" i="90"/>
  <c r="K24" i="90"/>
  <c r="L24" i="90"/>
  <c r="M24" i="90"/>
  <c r="N24" i="90"/>
  <c r="E25" i="90"/>
  <c r="F25" i="90"/>
  <c r="G25" i="90"/>
  <c r="H25" i="90"/>
  <c r="I25" i="90"/>
  <c r="J25" i="90"/>
  <c r="K25" i="90"/>
  <c r="L25" i="90"/>
  <c r="M25" i="90"/>
  <c r="N25" i="90"/>
  <c r="E26" i="90"/>
  <c r="F26" i="90"/>
  <c r="G26" i="90"/>
  <c r="H26" i="90"/>
  <c r="I26" i="90"/>
  <c r="J26" i="90"/>
  <c r="K26" i="90"/>
  <c r="L26" i="90"/>
  <c r="M26" i="90"/>
  <c r="N26" i="90"/>
  <c r="E27" i="90"/>
  <c r="F27" i="90"/>
  <c r="G27" i="90"/>
  <c r="H27" i="90"/>
  <c r="I27" i="90"/>
  <c r="J27" i="90"/>
  <c r="K27" i="90"/>
  <c r="L27" i="90"/>
  <c r="M27" i="90"/>
  <c r="N27" i="90"/>
  <c r="E28" i="90"/>
  <c r="F28" i="90"/>
  <c r="G28" i="90"/>
  <c r="H28" i="90"/>
  <c r="I28" i="90"/>
  <c r="J28" i="90"/>
  <c r="K28" i="90"/>
  <c r="L28" i="90"/>
  <c r="M28" i="90"/>
  <c r="N28" i="90"/>
  <c r="E29" i="90"/>
  <c r="F29" i="90"/>
  <c r="G29" i="90"/>
  <c r="H29" i="90"/>
  <c r="I29" i="90"/>
  <c r="J29" i="90"/>
  <c r="K29" i="90"/>
  <c r="L29" i="90"/>
  <c r="M29" i="90"/>
  <c r="N29" i="90"/>
  <c r="E30" i="90"/>
  <c r="F30" i="90"/>
  <c r="G30" i="90"/>
  <c r="H30" i="90"/>
  <c r="I30" i="90"/>
  <c r="J30" i="90"/>
  <c r="K30" i="90"/>
  <c r="L30" i="90"/>
  <c r="M30" i="90"/>
  <c r="N30" i="90"/>
  <c r="E33" i="90"/>
  <c r="F33" i="90"/>
  <c r="F114" i="90" s="1"/>
  <c r="G33" i="90"/>
  <c r="G114" i="90" s="1"/>
  <c r="H33" i="90"/>
  <c r="H114" i="90" s="1"/>
  <c r="I33" i="90"/>
  <c r="I114" i="90" s="1"/>
  <c r="J33" i="90"/>
  <c r="J111" i="90" s="1"/>
  <c r="K33" i="90"/>
  <c r="K114" i="90" s="1"/>
  <c r="L33" i="90"/>
  <c r="M33" i="90"/>
  <c r="N33" i="90"/>
  <c r="E34" i="90"/>
  <c r="F34" i="90"/>
  <c r="G34" i="90"/>
  <c r="H34" i="90"/>
  <c r="I34" i="90"/>
  <c r="J34" i="90"/>
  <c r="K34" i="90"/>
  <c r="L34" i="90"/>
  <c r="M34" i="90"/>
  <c r="N34" i="90"/>
  <c r="E35" i="90"/>
  <c r="F35" i="90"/>
  <c r="G35" i="90"/>
  <c r="H35" i="90"/>
  <c r="I35" i="90"/>
  <c r="J35" i="90"/>
  <c r="K35" i="90"/>
  <c r="L35" i="90"/>
  <c r="M35" i="90"/>
  <c r="N35" i="90"/>
  <c r="E41" i="90"/>
  <c r="F41" i="90"/>
  <c r="G41" i="90"/>
  <c r="H41" i="90"/>
  <c r="I41" i="90"/>
  <c r="J41" i="90"/>
  <c r="K41" i="90"/>
  <c r="L41" i="90"/>
  <c r="M41" i="90"/>
  <c r="N41" i="90"/>
  <c r="E42" i="90"/>
  <c r="F42" i="90"/>
  <c r="G42" i="90"/>
  <c r="H42" i="90"/>
  <c r="I42" i="90"/>
  <c r="J42" i="90"/>
  <c r="K42" i="90"/>
  <c r="L42" i="90"/>
  <c r="M42" i="90"/>
  <c r="N42" i="90"/>
  <c r="E43" i="90"/>
  <c r="F43" i="90"/>
  <c r="G43" i="90"/>
  <c r="H43" i="90"/>
  <c r="I43" i="90"/>
  <c r="J43" i="90"/>
  <c r="K43" i="90"/>
  <c r="L43" i="90"/>
  <c r="M43" i="90"/>
  <c r="N43" i="90"/>
  <c r="E44" i="90"/>
  <c r="F44" i="90"/>
  <c r="G44" i="90"/>
  <c r="H44" i="90"/>
  <c r="I44" i="90"/>
  <c r="J44" i="90"/>
  <c r="K44" i="90"/>
  <c r="L44" i="90"/>
  <c r="M44" i="90"/>
  <c r="N44" i="90"/>
  <c r="E45" i="90"/>
  <c r="F45" i="90"/>
  <c r="G45" i="90"/>
  <c r="H45" i="90"/>
  <c r="I45" i="90"/>
  <c r="J45" i="90"/>
  <c r="K45" i="90"/>
  <c r="L45" i="90"/>
  <c r="M45" i="90"/>
  <c r="N45" i="90"/>
  <c r="E46" i="90"/>
  <c r="F46" i="90"/>
  <c r="G46" i="90"/>
  <c r="H46" i="90"/>
  <c r="I46" i="90"/>
  <c r="J46" i="90"/>
  <c r="K46" i="90"/>
  <c r="L46" i="90"/>
  <c r="M46" i="90"/>
  <c r="N46" i="90"/>
  <c r="E47" i="90"/>
  <c r="F47" i="90"/>
  <c r="G47" i="90"/>
  <c r="H47" i="90"/>
  <c r="I47" i="90"/>
  <c r="J47" i="90"/>
  <c r="K47" i="90"/>
  <c r="L47" i="90"/>
  <c r="M47" i="90"/>
  <c r="N47" i="90"/>
  <c r="E48" i="90"/>
  <c r="F48" i="90"/>
  <c r="G48" i="90"/>
  <c r="H48" i="90"/>
  <c r="I48" i="90"/>
  <c r="J48" i="90"/>
  <c r="K48" i="90"/>
  <c r="L48" i="90"/>
  <c r="M48" i="90"/>
  <c r="N48" i="90"/>
  <c r="E49" i="90"/>
  <c r="F49" i="90"/>
  <c r="G49" i="90"/>
  <c r="H49" i="90"/>
  <c r="I49" i="90"/>
  <c r="J49" i="90"/>
  <c r="K49" i="90"/>
  <c r="L49" i="90"/>
  <c r="M49" i="90"/>
  <c r="N49" i="90"/>
  <c r="E50" i="90"/>
  <c r="F50" i="90"/>
  <c r="G50" i="90"/>
  <c r="H50" i="90"/>
  <c r="I50" i="90"/>
  <c r="J50" i="90"/>
  <c r="K50" i="90"/>
  <c r="L50" i="90"/>
  <c r="M50" i="90"/>
  <c r="N50" i="90"/>
  <c r="E58" i="90"/>
  <c r="F58" i="90"/>
  <c r="G58" i="90"/>
  <c r="H58" i="90"/>
  <c r="I58" i="90"/>
  <c r="J58" i="90"/>
  <c r="J64" i="90" s="1"/>
  <c r="K58" i="90"/>
  <c r="K64" i="90" s="1"/>
  <c r="K77" i="90" s="1"/>
  <c r="L58" i="90"/>
  <c r="M58" i="90"/>
  <c r="N58" i="90"/>
  <c r="E59" i="90"/>
  <c r="F59" i="90"/>
  <c r="G59" i="90"/>
  <c r="H59" i="90"/>
  <c r="I59" i="90"/>
  <c r="J59" i="90"/>
  <c r="K59" i="90"/>
  <c r="L59" i="90"/>
  <c r="M59" i="90"/>
  <c r="N59" i="90"/>
  <c r="E60" i="90"/>
  <c r="F60" i="90"/>
  <c r="G60" i="90"/>
  <c r="H60" i="90"/>
  <c r="I60" i="90"/>
  <c r="J60" i="90"/>
  <c r="K60" i="90"/>
  <c r="L60" i="90"/>
  <c r="M60" i="90"/>
  <c r="N60" i="90"/>
  <c r="E61" i="90"/>
  <c r="F61" i="90"/>
  <c r="G61" i="90"/>
  <c r="H61" i="90"/>
  <c r="I61" i="90"/>
  <c r="J61" i="90"/>
  <c r="K61" i="90"/>
  <c r="L61" i="90"/>
  <c r="M61" i="90"/>
  <c r="N61" i="90"/>
  <c r="E62" i="90"/>
  <c r="F62" i="90"/>
  <c r="G62" i="90"/>
  <c r="H62" i="90"/>
  <c r="I62" i="90"/>
  <c r="J62" i="90"/>
  <c r="K62" i="90"/>
  <c r="L62" i="90"/>
  <c r="M62" i="90"/>
  <c r="N62" i="90"/>
  <c r="E63" i="90"/>
  <c r="F63" i="90"/>
  <c r="G63" i="90"/>
  <c r="H63" i="90"/>
  <c r="I63" i="90"/>
  <c r="J63" i="90"/>
  <c r="K63" i="90"/>
  <c r="L63" i="90"/>
  <c r="M63" i="90"/>
  <c r="N63" i="90"/>
  <c r="E66" i="90"/>
  <c r="F66" i="90"/>
  <c r="G66" i="90"/>
  <c r="H66" i="90"/>
  <c r="I66" i="90"/>
  <c r="J66" i="90"/>
  <c r="K66" i="90"/>
  <c r="L66" i="90"/>
  <c r="M66" i="90"/>
  <c r="M75" i="90" s="1"/>
  <c r="N66" i="90"/>
  <c r="E67" i="90"/>
  <c r="F67" i="90"/>
  <c r="F75" i="90" s="1"/>
  <c r="G67" i="90"/>
  <c r="G75" i="90" s="1"/>
  <c r="H67" i="90"/>
  <c r="I67" i="90"/>
  <c r="J67" i="90"/>
  <c r="K67" i="90"/>
  <c r="L67" i="90"/>
  <c r="M67" i="90"/>
  <c r="N67" i="90"/>
  <c r="E68" i="90"/>
  <c r="F68" i="90"/>
  <c r="G68" i="90"/>
  <c r="H68" i="90"/>
  <c r="I68" i="90"/>
  <c r="J68" i="90"/>
  <c r="K68" i="90"/>
  <c r="L68" i="90"/>
  <c r="M68" i="90"/>
  <c r="N68" i="90"/>
  <c r="E69" i="90"/>
  <c r="F69" i="90"/>
  <c r="G69" i="90"/>
  <c r="H69" i="90"/>
  <c r="I69" i="90"/>
  <c r="J69" i="90"/>
  <c r="K69" i="90"/>
  <c r="L69" i="90"/>
  <c r="M69" i="90"/>
  <c r="N69" i="90"/>
  <c r="E70" i="90"/>
  <c r="F70" i="90"/>
  <c r="G70" i="90"/>
  <c r="H70" i="90"/>
  <c r="I70" i="90"/>
  <c r="J70" i="90"/>
  <c r="K70" i="90"/>
  <c r="L70" i="90"/>
  <c r="M70" i="90"/>
  <c r="N70" i="90"/>
  <c r="E71" i="90"/>
  <c r="F71" i="90"/>
  <c r="G71" i="90"/>
  <c r="H71" i="90"/>
  <c r="I71" i="90"/>
  <c r="J71" i="90"/>
  <c r="K71" i="90"/>
  <c r="L71" i="90"/>
  <c r="M71" i="90"/>
  <c r="N71" i="90"/>
  <c r="E72" i="90"/>
  <c r="F72" i="90"/>
  <c r="G72" i="90"/>
  <c r="H72" i="90"/>
  <c r="I72" i="90"/>
  <c r="J72" i="90"/>
  <c r="K72" i="90"/>
  <c r="L72" i="90"/>
  <c r="M72" i="90"/>
  <c r="N72" i="90"/>
  <c r="E73" i="90"/>
  <c r="F73" i="90"/>
  <c r="G73" i="90"/>
  <c r="H73" i="90"/>
  <c r="I73" i="90"/>
  <c r="J73" i="90"/>
  <c r="K73" i="90"/>
  <c r="L73" i="90"/>
  <c r="M73" i="90"/>
  <c r="N73" i="90"/>
  <c r="E74" i="90"/>
  <c r="F74" i="90"/>
  <c r="G74" i="90"/>
  <c r="H74" i="90"/>
  <c r="I74" i="90"/>
  <c r="J74" i="90"/>
  <c r="K74" i="90"/>
  <c r="L74" i="90"/>
  <c r="M74" i="90"/>
  <c r="N74" i="90"/>
  <c r="K75" i="90"/>
  <c r="L75" i="90"/>
  <c r="E79" i="90"/>
  <c r="F79" i="90"/>
  <c r="G79" i="90"/>
  <c r="H79" i="90"/>
  <c r="H84" i="90" s="1"/>
  <c r="I79" i="90"/>
  <c r="I84" i="90" s="1"/>
  <c r="J79" i="90"/>
  <c r="K79" i="90"/>
  <c r="L79" i="90"/>
  <c r="M79" i="90"/>
  <c r="N79" i="90"/>
  <c r="E80" i="90"/>
  <c r="F80" i="90"/>
  <c r="G80" i="90"/>
  <c r="H80" i="90"/>
  <c r="I80" i="90"/>
  <c r="J80" i="90"/>
  <c r="K80" i="90"/>
  <c r="L80" i="90"/>
  <c r="M80" i="90"/>
  <c r="N80" i="90"/>
  <c r="E81" i="90"/>
  <c r="F81" i="90"/>
  <c r="F84" i="90" s="1"/>
  <c r="G81" i="90"/>
  <c r="G84" i="90" s="1"/>
  <c r="H81" i="90"/>
  <c r="I81" i="90"/>
  <c r="J81" i="90"/>
  <c r="K81" i="90"/>
  <c r="L81" i="90"/>
  <c r="M81" i="90"/>
  <c r="N81" i="90"/>
  <c r="E82" i="90"/>
  <c r="F82" i="90"/>
  <c r="G82" i="90"/>
  <c r="H82" i="90"/>
  <c r="I82" i="90"/>
  <c r="J82" i="90"/>
  <c r="K82" i="90"/>
  <c r="L82" i="90"/>
  <c r="M82" i="90"/>
  <c r="M84" i="90" s="1"/>
  <c r="N82" i="90"/>
  <c r="E83" i="90"/>
  <c r="F83" i="90"/>
  <c r="G83" i="90"/>
  <c r="H83" i="90"/>
  <c r="I83" i="90"/>
  <c r="J83" i="90"/>
  <c r="K83" i="90"/>
  <c r="L83" i="90"/>
  <c r="M83" i="90"/>
  <c r="N83" i="90"/>
  <c r="N84" i="90"/>
  <c r="E86" i="90"/>
  <c r="F86" i="90"/>
  <c r="G86" i="90"/>
  <c r="H86" i="90"/>
  <c r="I86" i="90"/>
  <c r="J86" i="90"/>
  <c r="K86" i="90"/>
  <c r="L86" i="90"/>
  <c r="M86" i="90"/>
  <c r="N86" i="90"/>
  <c r="E87" i="90"/>
  <c r="F87" i="90"/>
  <c r="G87" i="90"/>
  <c r="H87" i="90"/>
  <c r="I87" i="90"/>
  <c r="I92" i="90" s="1"/>
  <c r="J87" i="90"/>
  <c r="J92" i="90" s="1"/>
  <c r="K87" i="90"/>
  <c r="L87" i="90"/>
  <c r="M87" i="90"/>
  <c r="N87" i="90"/>
  <c r="E88" i="90"/>
  <c r="F88" i="90"/>
  <c r="G88" i="90"/>
  <c r="H88" i="90"/>
  <c r="H92" i="90" s="1"/>
  <c r="I88" i="90"/>
  <c r="J88" i="90"/>
  <c r="K88" i="90"/>
  <c r="L88" i="90"/>
  <c r="M88" i="90"/>
  <c r="N88" i="90"/>
  <c r="E89" i="90"/>
  <c r="F89" i="90"/>
  <c r="G89" i="90"/>
  <c r="H89" i="90"/>
  <c r="I89" i="90"/>
  <c r="J89" i="90"/>
  <c r="K89" i="90"/>
  <c r="L89" i="90"/>
  <c r="M89" i="90"/>
  <c r="N89" i="90"/>
  <c r="E90" i="90"/>
  <c r="F90" i="90"/>
  <c r="G90" i="90"/>
  <c r="H90" i="90"/>
  <c r="I90" i="90"/>
  <c r="J90" i="90"/>
  <c r="K90" i="90"/>
  <c r="L90" i="90"/>
  <c r="M90" i="90"/>
  <c r="N90" i="90"/>
  <c r="E91" i="90"/>
  <c r="F91" i="90"/>
  <c r="G91" i="90"/>
  <c r="H91" i="90"/>
  <c r="I91" i="90"/>
  <c r="J91" i="90"/>
  <c r="K91" i="90"/>
  <c r="L91" i="90"/>
  <c r="M91" i="90"/>
  <c r="N91" i="90"/>
  <c r="E94" i="90"/>
  <c r="F94" i="90"/>
  <c r="G94" i="90"/>
  <c r="H94" i="90"/>
  <c r="I94" i="90"/>
  <c r="J94" i="90"/>
  <c r="K94" i="90"/>
  <c r="L94" i="90"/>
  <c r="M94" i="90"/>
  <c r="N94" i="90"/>
  <c r="N102" i="90" s="1"/>
  <c r="E95" i="90"/>
  <c r="F95" i="90"/>
  <c r="G95" i="90"/>
  <c r="H95" i="90"/>
  <c r="I95" i="90"/>
  <c r="J95" i="90"/>
  <c r="K95" i="90"/>
  <c r="L95" i="90"/>
  <c r="M95" i="90"/>
  <c r="N95" i="90"/>
  <c r="E96" i="90"/>
  <c r="F96" i="90"/>
  <c r="G96" i="90"/>
  <c r="H96" i="90"/>
  <c r="I96" i="90"/>
  <c r="J96" i="90"/>
  <c r="K96" i="90"/>
  <c r="L96" i="90"/>
  <c r="M96" i="90"/>
  <c r="N96" i="90"/>
  <c r="E97" i="90"/>
  <c r="F97" i="90"/>
  <c r="G97" i="90"/>
  <c r="H97" i="90"/>
  <c r="H102" i="90" s="1"/>
  <c r="I97" i="90"/>
  <c r="I102" i="90" s="1"/>
  <c r="J97" i="90"/>
  <c r="K97" i="90"/>
  <c r="L97" i="90"/>
  <c r="M97" i="90"/>
  <c r="N97" i="90"/>
  <c r="E98" i="90"/>
  <c r="F98" i="90"/>
  <c r="G98" i="90"/>
  <c r="H98" i="90"/>
  <c r="I98" i="90"/>
  <c r="J98" i="90"/>
  <c r="K98" i="90"/>
  <c r="L98" i="90"/>
  <c r="M98" i="90"/>
  <c r="N98" i="90"/>
  <c r="E99" i="90"/>
  <c r="F99" i="90"/>
  <c r="G99" i="90"/>
  <c r="H99" i="90"/>
  <c r="I99" i="90"/>
  <c r="J99" i="90"/>
  <c r="K99" i="90"/>
  <c r="L99" i="90"/>
  <c r="M99" i="90"/>
  <c r="N99" i="90"/>
  <c r="E100" i="90"/>
  <c r="F100" i="90"/>
  <c r="G100" i="90"/>
  <c r="H100" i="90"/>
  <c r="I100" i="90"/>
  <c r="J100" i="90"/>
  <c r="K100" i="90"/>
  <c r="L100" i="90"/>
  <c r="M100" i="90"/>
  <c r="N100" i="90"/>
  <c r="E101" i="90"/>
  <c r="F101" i="90"/>
  <c r="G101" i="90"/>
  <c r="H101" i="90"/>
  <c r="I101" i="90"/>
  <c r="J101" i="90"/>
  <c r="K101" i="90"/>
  <c r="L101" i="90"/>
  <c r="M101" i="90"/>
  <c r="N101" i="90"/>
  <c r="M102" i="90"/>
  <c r="D112" i="90"/>
  <c r="G112" i="90"/>
  <c r="H112" i="90"/>
  <c r="D113" i="90"/>
  <c r="E113" i="90"/>
  <c r="M113" i="90"/>
  <c r="D114" i="90"/>
  <c r="E114" i="90"/>
  <c r="L114" i="90"/>
  <c r="M114" i="90"/>
  <c r="N114" i="90"/>
  <c r="E115" i="90"/>
  <c r="F115" i="90"/>
  <c r="G115" i="90"/>
  <c r="H115" i="90"/>
  <c r="I115" i="90"/>
  <c r="J115" i="90"/>
  <c r="K115" i="90"/>
  <c r="L115" i="90"/>
  <c r="M115" i="90"/>
  <c r="N115" i="90"/>
  <c r="E116" i="90"/>
  <c r="F116" i="90"/>
  <c r="G116" i="90"/>
  <c r="H116" i="90"/>
  <c r="I116" i="90"/>
  <c r="J116" i="90"/>
  <c r="K116" i="90"/>
  <c r="L116" i="90"/>
  <c r="M116" i="90"/>
  <c r="N116" i="90"/>
  <c r="E117" i="90"/>
  <c r="F117" i="90"/>
  <c r="G117" i="90"/>
  <c r="H117" i="90"/>
  <c r="I117" i="90"/>
  <c r="J117" i="90"/>
  <c r="K117" i="90"/>
  <c r="L117" i="90"/>
  <c r="M117" i="90"/>
  <c r="N117" i="90"/>
  <c r="E118" i="90"/>
  <c r="F118" i="90"/>
  <c r="G118" i="90"/>
  <c r="H118" i="90"/>
  <c r="I118" i="90"/>
  <c r="J118" i="90"/>
  <c r="K118" i="90"/>
  <c r="L118" i="90"/>
  <c r="M118" i="90"/>
  <c r="N118" i="90"/>
  <c r="E119" i="90"/>
  <c r="F119" i="90"/>
  <c r="G119" i="90"/>
  <c r="H119" i="90"/>
  <c r="I119" i="90"/>
  <c r="J119" i="90"/>
  <c r="K119" i="90"/>
  <c r="L119" i="90"/>
  <c r="M119" i="90"/>
  <c r="N119" i="90"/>
  <c r="E120" i="90"/>
  <c r="F120" i="90"/>
  <c r="G120" i="90"/>
  <c r="H120" i="90"/>
  <c r="I120" i="90"/>
  <c r="J120" i="90"/>
  <c r="K120" i="90"/>
  <c r="L120" i="90"/>
  <c r="M120" i="90"/>
  <c r="N120" i="90"/>
  <c r="E121" i="90"/>
  <c r="F121" i="90"/>
  <c r="G121" i="90"/>
  <c r="H121" i="90"/>
  <c r="I121" i="90"/>
  <c r="J121" i="90"/>
  <c r="K121" i="90"/>
  <c r="L121" i="90"/>
  <c r="M121" i="90"/>
  <c r="N121" i="90"/>
  <c r="E122" i="90"/>
  <c r="F122" i="90"/>
  <c r="G122" i="90"/>
  <c r="H122" i="90"/>
  <c r="I122" i="90"/>
  <c r="J122" i="90"/>
  <c r="K122" i="90"/>
  <c r="L122" i="90"/>
  <c r="M122" i="90"/>
  <c r="N122" i="90"/>
  <c r="E123" i="90"/>
  <c r="F123" i="90"/>
  <c r="G123" i="90"/>
  <c r="H123" i="90"/>
  <c r="I123" i="90"/>
  <c r="J123" i="90"/>
  <c r="K123" i="90"/>
  <c r="L123" i="90"/>
  <c r="M123" i="90"/>
  <c r="N123" i="90"/>
  <c r="E124" i="90"/>
  <c r="F124" i="90"/>
  <c r="G124" i="90"/>
  <c r="H124" i="90"/>
  <c r="I124" i="90"/>
  <c r="J124" i="90"/>
  <c r="K124" i="90"/>
  <c r="L124" i="90"/>
  <c r="M124" i="90"/>
  <c r="N124" i="90"/>
  <c r="E125" i="90"/>
  <c r="F125" i="90"/>
  <c r="G125" i="90"/>
  <c r="H125" i="90"/>
  <c r="I125" i="90"/>
  <c r="J125" i="90"/>
  <c r="K125" i="90"/>
  <c r="L125" i="90"/>
  <c r="M125" i="90"/>
  <c r="N125" i="90"/>
  <c r="E126" i="90"/>
  <c r="F126" i="90"/>
  <c r="G126" i="90"/>
  <c r="H126" i="90"/>
  <c r="I126" i="90"/>
  <c r="J126" i="90"/>
  <c r="K126" i="90"/>
  <c r="L126" i="90"/>
  <c r="M126" i="90"/>
  <c r="N126" i="90"/>
  <c r="E127" i="90"/>
  <c r="F127" i="90"/>
  <c r="G127" i="90"/>
  <c r="H127" i="90"/>
  <c r="I127" i="90"/>
  <c r="J127" i="90"/>
  <c r="K127" i="90"/>
  <c r="L127" i="90"/>
  <c r="M127" i="90"/>
  <c r="N127" i="90"/>
  <c r="E128" i="90"/>
  <c r="F128" i="90"/>
  <c r="G128" i="90"/>
  <c r="H128" i="90"/>
  <c r="I128" i="90"/>
  <c r="J128" i="90"/>
  <c r="K128" i="90"/>
  <c r="L128" i="90"/>
  <c r="M128" i="90"/>
  <c r="N128" i="90"/>
  <c r="E143" i="90"/>
  <c r="F143" i="90"/>
  <c r="G143" i="90"/>
  <c r="H143" i="90"/>
  <c r="I143" i="90"/>
  <c r="I151" i="90" s="1"/>
  <c r="J143" i="90"/>
  <c r="J151" i="90" s="1"/>
  <c r="K143" i="90"/>
  <c r="L143" i="90"/>
  <c r="M143" i="90"/>
  <c r="N143" i="90"/>
  <c r="E144" i="90"/>
  <c r="F144" i="90"/>
  <c r="G144" i="90"/>
  <c r="H144" i="90"/>
  <c r="I144" i="90"/>
  <c r="J144" i="90"/>
  <c r="K144" i="90"/>
  <c r="L144" i="90"/>
  <c r="M144" i="90"/>
  <c r="N144" i="90"/>
  <c r="E145" i="90"/>
  <c r="F145" i="90"/>
  <c r="G145" i="90"/>
  <c r="H145" i="90"/>
  <c r="I145" i="90"/>
  <c r="J145" i="90"/>
  <c r="K145" i="90"/>
  <c r="L145" i="90"/>
  <c r="M145" i="90"/>
  <c r="N145" i="90"/>
  <c r="E146" i="90"/>
  <c r="F146" i="90"/>
  <c r="G146" i="90"/>
  <c r="H146" i="90"/>
  <c r="I146" i="90"/>
  <c r="J146" i="90"/>
  <c r="K146" i="90"/>
  <c r="L146" i="90"/>
  <c r="M146" i="90"/>
  <c r="N146" i="90"/>
  <c r="E147" i="90"/>
  <c r="F147" i="90"/>
  <c r="G147" i="90"/>
  <c r="H147" i="90"/>
  <c r="I147" i="90"/>
  <c r="J147" i="90"/>
  <c r="K147" i="90"/>
  <c r="L147" i="90"/>
  <c r="M147" i="90"/>
  <c r="N147" i="90"/>
  <c r="E148" i="90"/>
  <c r="F148" i="90"/>
  <c r="G148" i="90"/>
  <c r="H148" i="90"/>
  <c r="I148" i="90"/>
  <c r="J148" i="90"/>
  <c r="K148" i="90"/>
  <c r="L148" i="90"/>
  <c r="M148" i="90"/>
  <c r="N148" i="90"/>
  <c r="E149" i="90"/>
  <c r="F149" i="90"/>
  <c r="G149" i="90"/>
  <c r="H149" i="90"/>
  <c r="I149" i="90"/>
  <c r="J149" i="90"/>
  <c r="K149" i="90"/>
  <c r="L149" i="90"/>
  <c r="M149" i="90"/>
  <c r="N149" i="90"/>
  <c r="H151" i="90"/>
  <c r="E153" i="90"/>
  <c r="F153" i="90"/>
  <c r="G153" i="90"/>
  <c r="H153" i="90"/>
  <c r="I153" i="90"/>
  <c r="J153" i="90"/>
  <c r="K153" i="90"/>
  <c r="L153" i="90"/>
  <c r="M153" i="90"/>
  <c r="N153" i="90"/>
  <c r="E154" i="90"/>
  <c r="F154" i="90"/>
  <c r="G154" i="90"/>
  <c r="G162" i="90" s="1"/>
  <c r="H154" i="90"/>
  <c r="H162" i="90" s="1"/>
  <c r="I154" i="90"/>
  <c r="J154" i="90"/>
  <c r="K154" i="90"/>
  <c r="L154" i="90"/>
  <c r="M154" i="90"/>
  <c r="N154" i="90"/>
  <c r="E155" i="90"/>
  <c r="F155" i="90"/>
  <c r="G155" i="90"/>
  <c r="H155" i="90"/>
  <c r="I155" i="90"/>
  <c r="J155" i="90"/>
  <c r="K155" i="90"/>
  <c r="L155" i="90"/>
  <c r="M155" i="90"/>
  <c r="N155" i="90"/>
  <c r="E156" i="90"/>
  <c r="F156" i="90"/>
  <c r="G156" i="90"/>
  <c r="H156" i="90"/>
  <c r="I156" i="90"/>
  <c r="J156" i="90"/>
  <c r="K156" i="90"/>
  <c r="L156" i="90"/>
  <c r="M156" i="90"/>
  <c r="N156" i="90"/>
  <c r="E157" i="90"/>
  <c r="F157" i="90"/>
  <c r="G157" i="90"/>
  <c r="H157" i="90"/>
  <c r="I157" i="90"/>
  <c r="J157" i="90"/>
  <c r="K157" i="90"/>
  <c r="L157" i="90"/>
  <c r="M157" i="90"/>
  <c r="N157" i="90"/>
  <c r="E158" i="90"/>
  <c r="F158" i="90"/>
  <c r="G158" i="90"/>
  <c r="H158" i="90"/>
  <c r="I158" i="90"/>
  <c r="J158" i="90"/>
  <c r="K158" i="90"/>
  <c r="L158" i="90"/>
  <c r="M158" i="90"/>
  <c r="N158" i="90"/>
  <c r="E159" i="90"/>
  <c r="F159" i="90"/>
  <c r="G159" i="90"/>
  <c r="H159" i="90"/>
  <c r="I159" i="90"/>
  <c r="J159" i="90"/>
  <c r="K159" i="90"/>
  <c r="L159" i="90"/>
  <c r="M159" i="90"/>
  <c r="N159" i="90"/>
  <c r="E160" i="90"/>
  <c r="F160" i="90"/>
  <c r="G160" i="90"/>
  <c r="H160" i="90"/>
  <c r="I160" i="90"/>
  <c r="J160" i="90"/>
  <c r="K160" i="90"/>
  <c r="L160" i="90"/>
  <c r="M160" i="90"/>
  <c r="N160" i="90"/>
  <c r="E161" i="90"/>
  <c r="F161" i="90"/>
  <c r="G161" i="90"/>
  <c r="H161" i="90"/>
  <c r="I161" i="90"/>
  <c r="J161" i="90"/>
  <c r="K161" i="90"/>
  <c r="L161" i="90"/>
  <c r="M161" i="90"/>
  <c r="N161" i="90"/>
  <c r="E167" i="90"/>
  <c r="F167" i="90"/>
  <c r="G167" i="90"/>
  <c r="H167" i="90"/>
  <c r="I167" i="90"/>
  <c r="J167" i="90"/>
  <c r="K167" i="90"/>
  <c r="L167" i="90"/>
  <c r="M167" i="90"/>
  <c r="N167" i="90"/>
  <c r="F6" i="89"/>
  <c r="G6" i="89"/>
  <c r="H6" i="89"/>
  <c r="I6" i="89"/>
  <c r="J6" i="89"/>
  <c r="K6" i="89"/>
  <c r="L6" i="89"/>
  <c r="M6" i="89" s="1"/>
  <c r="N6" i="89" s="1"/>
  <c r="O6" i="89" s="1"/>
  <c r="P6" i="89" s="1"/>
  <c r="Q6" i="89" s="1"/>
  <c r="R6" i="89" s="1"/>
  <c r="S6" i="89" s="1"/>
  <c r="E9" i="89"/>
  <c r="F9" i="89"/>
  <c r="F11" i="89" s="1"/>
  <c r="F14" i="89" s="1"/>
  <c r="F20" i="89" s="1"/>
  <c r="F35" i="89" s="1"/>
  <c r="F40" i="89" s="1"/>
  <c r="F114" i="89" s="1"/>
  <c r="G9" i="89"/>
  <c r="G11" i="89" s="1"/>
  <c r="G14" i="89" s="1"/>
  <c r="G20" i="89" s="1"/>
  <c r="G35" i="89" s="1"/>
  <c r="G40" i="89" s="1"/>
  <c r="G114" i="89" s="1"/>
  <c r="H9" i="89"/>
  <c r="I9" i="89"/>
  <c r="J9" i="89"/>
  <c r="K9" i="89"/>
  <c r="K11" i="89" s="1"/>
  <c r="L9" i="89"/>
  <c r="L11" i="89" s="1"/>
  <c r="L14" i="89" s="1"/>
  <c r="L20" i="89" s="1"/>
  <c r="L35" i="89" s="1"/>
  <c r="L40" i="89" s="1"/>
  <c r="L114" i="89" s="1"/>
  <c r="M9" i="89"/>
  <c r="N9" i="89"/>
  <c r="N11" i="89" s="1"/>
  <c r="N14" i="89" s="1"/>
  <c r="N20" i="89" s="1"/>
  <c r="N35" i="89" s="1"/>
  <c r="N40" i="89" s="1"/>
  <c r="N114" i="89" s="1"/>
  <c r="E10" i="89"/>
  <c r="F10" i="89"/>
  <c r="G10" i="89"/>
  <c r="H10" i="89"/>
  <c r="I10" i="89"/>
  <c r="J10" i="89"/>
  <c r="K10" i="89"/>
  <c r="L10" i="89"/>
  <c r="M10" i="89"/>
  <c r="N10" i="89"/>
  <c r="H11" i="89"/>
  <c r="H14" i="89" s="1"/>
  <c r="I11" i="89"/>
  <c r="I14" i="89" s="1"/>
  <c r="E13" i="89"/>
  <c r="F13" i="89"/>
  <c r="G13" i="89"/>
  <c r="H13" i="89"/>
  <c r="I13" i="89"/>
  <c r="J13" i="89"/>
  <c r="K13" i="89"/>
  <c r="L13" i="89"/>
  <c r="M13" i="89"/>
  <c r="N13" i="89"/>
  <c r="E16" i="89"/>
  <c r="F16" i="89"/>
  <c r="G16" i="89"/>
  <c r="H16" i="89"/>
  <c r="I16" i="89"/>
  <c r="J16" i="89"/>
  <c r="K16" i="89"/>
  <c r="L16" i="89"/>
  <c r="M16" i="89"/>
  <c r="N16" i="89"/>
  <c r="E17" i="89"/>
  <c r="F17" i="89"/>
  <c r="G17" i="89"/>
  <c r="H17" i="89"/>
  <c r="I17" i="89"/>
  <c r="J17" i="89"/>
  <c r="K17" i="89"/>
  <c r="L17" i="89"/>
  <c r="M17" i="89"/>
  <c r="N17" i="89"/>
  <c r="E18" i="89"/>
  <c r="F18" i="89"/>
  <c r="G18" i="89"/>
  <c r="H18" i="89"/>
  <c r="I18" i="89"/>
  <c r="J18" i="89"/>
  <c r="K18" i="89"/>
  <c r="L18" i="89"/>
  <c r="M18" i="89"/>
  <c r="N18" i="89"/>
  <c r="E19" i="89"/>
  <c r="F19" i="89"/>
  <c r="G19" i="89"/>
  <c r="H19" i="89"/>
  <c r="I19" i="89"/>
  <c r="J19" i="89"/>
  <c r="K19" i="89"/>
  <c r="L19" i="89"/>
  <c r="M19" i="89"/>
  <c r="N19" i="89"/>
  <c r="E23" i="89"/>
  <c r="E115" i="89" s="1" a="1"/>
  <c r="E115" i="89" s="1"/>
  <c r="F23" i="89"/>
  <c r="G23" i="89"/>
  <c r="H23" i="89"/>
  <c r="H115" i="89" s="1" a="1"/>
  <c r="H115" i="89" s="1"/>
  <c r="I23" i="89"/>
  <c r="I115" i="89" s="1" a="1"/>
  <c r="I115" i="89" s="1"/>
  <c r="J23" i="89"/>
  <c r="K23" i="89"/>
  <c r="L23" i="89"/>
  <c r="L115" i="89" s="1" a="1"/>
  <c r="L115" i="89" s="1"/>
  <c r="M23" i="89"/>
  <c r="M115" i="89" s="1" a="1"/>
  <c r="M115" i="89" s="1"/>
  <c r="N23" i="89"/>
  <c r="E24" i="89"/>
  <c r="E116" i="89" s="1"/>
  <c r="F24" i="89"/>
  <c r="F116" i="89" s="1" a="1"/>
  <c r="F116" i="89" s="1"/>
  <c r="G24" i="89"/>
  <c r="G116" i="89" s="1" a="1"/>
  <c r="G116" i="89" s="1"/>
  <c r="H24" i="89"/>
  <c r="I24" i="89"/>
  <c r="I116" i="89" s="1" a="1"/>
  <c r="I116" i="89" s="1"/>
  <c r="J24" i="89"/>
  <c r="J116" i="89" s="1" a="1"/>
  <c r="J116" i="89" s="1"/>
  <c r="K24" i="89"/>
  <c r="K116" i="89" s="1" a="1"/>
  <c r="K116" i="89" s="1"/>
  <c r="L24" i="89"/>
  <c r="M24" i="89"/>
  <c r="M116" i="89" s="1" a="1"/>
  <c r="M116" i="89" s="1"/>
  <c r="N24" i="89"/>
  <c r="N116" i="89" s="1" a="1"/>
  <c r="N116" i="89" s="1"/>
  <c r="E25" i="89"/>
  <c r="F25" i="89"/>
  <c r="G25" i="89"/>
  <c r="H25" i="89"/>
  <c r="I25" i="89"/>
  <c r="J25" i="89"/>
  <c r="K25" i="89"/>
  <c r="L25" i="89"/>
  <c r="M25" i="89"/>
  <c r="N25" i="89"/>
  <c r="E26" i="89"/>
  <c r="F26" i="89"/>
  <c r="G26" i="89"/>
  <c r="H26" i="89"/>
  <c r="I26" i="89"/>
  <c r="J26" i="89"/>
  <c r="K26" i="89"/>
  <c r="L26" i="89"/>
  <c r="M26" i="89"/>
  <c r="N26" i="89"/>
  <c r="E27" i="89"/>
  <c r="F27" i="89"/>
  <c r="G27" i="89"/>
  <c r="H27" i="89"/>
  <c r="I27" i="89"/>
  <c r="J27" i="89"/>
  <c r="K27" i="89"/>
  <c r="L27" i="89"/>
  <c r="M27" i="89"/>
  <c r="N27" i="89"/>
  <c r="E28" i="89"/>
  <c r="F28" i="89"/>
  <c r="G28" i="89"/>
  <c r="H28" i="89"/>
  <c r="I28" i="89"/>
  <c r="J28" i="89"/>
  <c r="K28" i="89"/>
  <c r="L28" i="89"/>
  <c r="M28" i="89"/>
  <c r="N28" i="89"/>
  <c r="E29" i="89"/>
  <c r="F29" i="89"/>
  <c r="G29" i="89"/>
  <c r="H29" i="89"/>
  <c r="I29" i="89"/>
  <c r="J29" i="89"/>
  <c r="K29" i="89"/>
  <c r="L29" i="89"/>
  <c r="M29" i="89"/>
  <c r="N29" i="89"/>
  <c r="E30" i="89"/>
  <c r="F30" i="89"/>
  <c r="G30" i="89"/>
  <c r="H30" i="89"/>
  <c r="I30" i="89"/>
  <c r="J30" i="89"/>
  <c r="K30" i="89"/>
  <c r="L30" i="89"/>
  <c r="M30" i="89"/>
  <c r="N30" i="89"/>
  <c r="E31" i="89"/>
  <c r="F31" i="89"/>
  <c r="G31" i="89"/>
  <c r="H31" i="89"/>
  <c r="I31" i="89"/>
  <c r="J31" i="89"/>
  <c r="K31" i="89"/>
  <c r="L31" i="89"/>
  <c r="M31" i="89"/>
  <c r="N31" i="89"/>
  <c r="E32" i="89"/>
  <c r="F32" i="89"/>
  <c r="G32" i="89"/>
  <c r="H32" i="89"/>
  <c r="I32" i="89"/>
  <c r="J32" i="89"/>
  <c r="K32" i="89"/>
  <c r="L32" i="89"/>
  <c r="M32" i="89"/>
  <c r="N32" i="89"/>
  <c r="E33" i="89"/>
  <c r="F33" i="89"/>
  <c r="G33" i="89"/>
  <c r="H33" i="89"/>
  <c r="I33" i="89"/>
  <c r="J33" i="89"/>
  <c r="K33" i="89"/>
  <c r="L33" i="89"/>
  <c r="M33" i="89"/>
  <c r="N33" i="89"/>
  <c r="E34" i="89"/>
  <c r="F34" i="89"/>
  <c r="G34" i="89"/>
  <c r="H34" i="89"/>
  <c r="I34" i="89"/>
  <c r="J34" i="89"/>
  <c r="K34" i="89"/>
  <c r="L34" i="89"/>
  <c r="M34" i="89"/>
  <c r="N34" i="89"/>
  <c r="E37" i="89"/>
  <c r="E117" i="89" s="1"/>
  <c r="F37" i="89"/>
  <c r="G37" i="89"/>
  <c r="G117" i="89" s="1"/>
  <c r="H37" i="89"/>
  <c r="H117" i="89" s="1"/>
  <c r="I37" i="89"/>
  <c r="I117" i="89" s="1"/>
  <c r="J37" i="89"/>
  <c r="K37" i="89"/>
  <c r="K117" i="89" s="1"/>
  <c r="L37" i="89"/>
  <c r="M37" i="89"/>
  <c r="M117" i="89" s="1"/>
  <c r="N37" i="89"/>
  <c r="E38" i="89"/>
  <c r="F38" i="89"/>
  <c r="G38" i="89"/>
  <c r="H38" i="89"/>
  <c r="I38" i="89"/>
  <c r="J38" i="89"/>
  <c r="K38" i="89"/>
  <c r="L38" i="89"/>
  <c r="M38" i="89"/>
  <c r="N38" i="89"/>
  <c r="E39" i="89"/>
  <c r="F39" i="89"/>
  <c r="G39" i="89"/>
  <c r="H39" i="89"/>
  <c r="I39" i="89"/>
  <c r="J39" i="89"/>
  <c r="K39" i="89"/>
  <c r="L39" i="89"/>
  <c r="M39" i="89"/>
  <c r="N39" i="89"/>
  <c r="E45" i="89"/>
  <c r="F45" i="89"/>
  <c r="G45" i="89"/>
  <c r="H45" i="89"/>
  <c r="I45" i="89"/>
  <c r="J45" i="89"/>
  <c r="K45" i="89"/>
  <c r="L45" i="89"/>
  <c r="M45" i="89"/>
  <c r="N45" i="89"/>
  <c r="E46" i="89"/>
  <c r="F46" i="89"/>
  <c r="G46" i="89"/>
  <c r="H46" i="89"/>
  <c r="I46" i="89"/>
  <c r="J46" i="89"/>
  <c r="K46" i="89"/>
  <c r="L46" i="89"/>
  <c r="M46" i="89"/>
  <c r="N46" i="89"/>
  <c r="E47" i="89"/>
  <c r="F47" i="89"/>
  <c r="G47" i="89"/>
  <c r="H47" i="89"/>
  <c r="I47" i="89"/>
  <c r="J47" i="89"/>
  <c r="K47" i="89"/>
  <c r="L47" i="89"/>
  <c r="M47" i="89"/>
  <c r="N47" i="89"/>
  <c r="E48" i="89"/>
  <c r="F48" i="89"/>
  <c r="G48" i="89"/>
  <c r="H48" i="89"/>
  <c r="I48" i="89"/>
  <c r="J48" i="89"/>
  <c r="K48" i="89"/>
  <c r="L48" i="89"/>
  <c r="M48" i="89"/>
  <c r="N48" i="89"/>
  <c r="E49" i="89"/>
  <c r="F49" i="89"/>
  <c r="G49" i="89"/>
  <c r="H49" i="89"/>
  <c r="I49" i="89"/>
  <c r="J49" i="89"/>
  <c r="K49" i="89"/>
  <c r="L49" i="89"/>
  <c r="M49" i="89"/>
  <c r="N49" i="89"/>
  <c r="E50" i="89"/>
  <c r="F50" i="89"/>
  <c r="G50" i="89"/>
  <c r="H50" i="89"/>
  <c r="I50" i="89"/>
  <c r="J50" i="89"/>
  <c r="K50" i="89"/>
  <c r="L50" i="89"/>
  <c r="M50" i="89"/>
  <c r="N50" i="89"/>
  <c r="E51" i="89"/>
  <c r="F51" i="89"/>
  <c r="G51" i="89"/>
  <c r="H51" i="89"/>
  <c r="I51" i="89"/>
  <c r="J51" i="89"/>
  <c r="K51" i="89"/>
  <c r="L51" i="89"/>
  <c r="M51" i="89"/>
  <c r="N51" i="89"/>
  <c r="E52" i="89"/>
  <c r="F52" i="89"/>
  <c r="G52" i="89"/>
  <c r="H52" i="89"/>
  <c r="I52" i="89"/>
  <c r="J52" i="89"/>
  <c r="K52" i="89"/>
  <c r="L52" i="89"/>
  <c r="M52" i="89"/>
  <c r="N52" i="89"/>
  <c r="E62" i="89"/>
  <c r="F62" i="89"/>
  <c r="F70" i="89" s="1"/>
  <c r="G62" i="89"/>
  <c r="G70" i="89" s="1"/>
  <c r="H62" i="89"/>
  <c r="I62" i="89"/>
  <c r="J62" i="89"/>
  <c r="K62" i="89"/>
  <c r="L62" i="89"/>
  <c r="M62" i="89"/>
  <c r="N62" i="89"/>
  <c r="E63" i="89"/>
  <c r="F63" i="89"/>
  <c r="G63" i="89"/>
  <c r="H63" i="89"/>
  <c r="I63" i="89"/>
  <c r="J63" i="89"/>
  <c r="K63" i="89"/>
  <c r="L63" i="89"/>
  <c r="M63" i="89"/>
  <c r="N63" i="89"/>
  <c r="E64" i="89"/>
  <c r="F64" i="89"/>
  <c r="G64" i="89"/>
  <c r="H64" i="89"/>
  <c r="I64" i="89"/>
  <c r="J64" i="89"/>
  <c r="K64" i="89"/>
  <c r="L64" i="89"/>
  <c r="M64" i="89"/>
  <c r="N64" i="89"/>
  <c r="N70" i="89" s="1"/>
  <c r="N81" i="89" s="1"/>
  <c r="E65" i="89"/>
  <c r="F65" i="89"/>
  <c r="G65" i="89"/>
  <c r="H65" i="89"/>
  <c r="I65" i="89"/>
  <c r="J65" i="89"/>
  <c r="K65" i="89"/>
  <c r="L65" i="89"/>
  <c r="M65" i="89"/>
  <c r="N65" i="89"/>
  <c r="E66" i="89"/>
  <c r="F66" i="89"/>
  <c r="G66" i="89"/>
  <c r="H66" i="89"/>
  <c r="I66" i="89"/>
  <c r="J66" i="89"/>
  <c r="K66" i="89"/>
  <c r="L66" i="89"/>
  <c r="M66" i="89"/>
  <c r="N66" i="89"/>
  <c r="E67" i="89"/>
  <c r="F67" i="89"/>
  <c r="G67" i="89"/>
  <c r="H67" i="89"/>
  <c r="I67" i="89"/>
  <c r="J67" i="89"/>
  <c r="K67" i="89"/>
  <c r="L67" i="89"/>
  <c r="M67" i="89"/>
  <c r="N67" i="89"/>
  <c r="E68" i="89"/>
  <c r="F68" i="89"/>
  <c r="G68" i="89"/>
  <c r="H68" i="89"/>
  <c r="I68" i="89"/>
  <c r="J68" i="89"/>
  <c r="K68" i="89"/>
  <c r="L68" i="89"/>
  <c r="M68" i="89"/>
  <c r="N68" i="89"/>
  <c r="E69" i="89"/>
  <c r="F69" i="89"/>
  <c r="G69" i="89"/>
  <c r="H69" i="89"/>
  <c r="I69" i="89"/>
  <c r="J69" i="89"/>
  <c r="K69" i="89"/>
  <c r="L69" i="89"/>
  <c r="M69" i="89"/>
  <c r="N69" i="89"/>
  <c r="E72" i="89"/>
  <c r="F72" i="89"/>
  <c r="F79" i="89" s="1"/>
  <c r="G72" i="89"/>
  <c r="G79" i="89" s="1"/>
  <c r="H72" i="89"/>
  <c r="I72" i="89"/>
  <c r="J72" i="89"/>
  <c r="K72" i="89"/>
  <c r="L72" i="89"/>
  <c r="M72" i="89"/>
  <c r="N72" i="89"/>
  <c r="N79" i="89" s="1"/>
  <c r="E73" i="89"/>
  <c r="F73" i="89"/>
  <c r="G73" i="89"/>
  <c r="H73" i="89"/>
  <c r="I73" i="89"/>
  <c r="J73" i="89"/>
  <c r="K73" i="89"/>
  <c r="L73" i="89"/>
  <c r="M73" i="89"/>
  <c r="N73" i="89"/>
  <c r="E74" i="89"/>
  <c r="F74" i="89"/>
  <c r="G74" i="89"/>
  <c r="H74" i="89"/>
  <c r="I74" i="89"/>
  <c r="J74" i="89"/>
  <c r="K74" i="89"/>
  <c r="L74" i="89"/>
  <c r="M74" i="89"/>
  <c r="N74" i="89"/>
  <c r="E75" i="89"/>
  <c r="F75" i="89"/>
  <c r="G75" i="89"/>
  <c r="H75" i="89"/>
  <c r="I75" i="89"/>
  <c r="J75" i="89"/>
  <c r="K75" i="89"/>
  <c r="L75" i="89"/>
  <c r="M75" i="89"/>
  <c r="N75" i="89"/>
  <c r="E76" i="89"/>
  <c r="F76" i="89"/>
  <c r="G76" i="89"/>
  <c r="H76" i="89"/>
  <c r="I76" i="89"/>
  <c r="J76" i="89"/>
  <c r="K76" i="89"/>
  <c r="L76" i="89"/>
  <c r="M76" i="89"/>
  <c r="N76" i="89"/>
  <c r="E77" i="89"/>
  <c r="F77" i="89"/>
  <c r="G77" i="89"/>
  <c r="H77" i="89"/>
  <c r="I77" i="89"/>
  <c r="J77" i="89"/>
  <c r="K77" i="89"/>
  <c r="L77" i="89"/>
  <c r="M77" i="89"/>
  <c r="N77" i="89"/>
  <c r="E78" i="89"/>
  <c r="F78" i="89"/>
  <c r="G78" i="89"/>
  <c r="H78" i="89"/>
  <c r="I78" i="89"/>
  <c r="J78" i="89"/>
  <c r="K78" i="89"/>
  <c r="L78" i="89"/>
  <c r="M78" i="89"/>
  <c r="N78" i="89"/>
  <c r="E83" i="89"/>
  <c r="F83" i="89"/>
  <c r="G83" i="89"/>
  <c r="H83" i="89"/>
  <c r="I83" i="89"/>
  <c r="I88" i="89" s="1"/>
  <c r="J83" i="89"/>
  <c r="K83" i="89"/>
  <c r="L83" i="89"/>
  <c r="M83" i="89"/>
  <c r="N83" i="89"/>
  <c r="E84" i="89"/>
  <c r="F84" i="89"/>
  <c r="G84" i="89"/>
  <c r="H84" i="89"/>
  <c r="I84" i="89"/>
  <c r="J84" i="89"/>
  <c r="K84" i="89"/>
  <c r="L84" i="89"/>
  <c r="M84" i="89"/>
  <c r="N84" i="89"/>
  <c r="E85" i="89"/>
  <c r="F85" i="89"/>
  <c r="G85" i="89"/>
  <c r="H85" i="89"/>
  <c r="I85" i="89"/>
  <c r="J85" i="89"/>
  <c r="K85" i="89"/>
  <c r="L85" i="89"/>
  <c r="M85" i="89"/>
  <c r="N85" i="89"/>
  <c r="E86" i="89"/>
  <c r="F86" i="89"/>
  <c r="G86" i="89"/>
  <c r="H86" i="89"/>
  <c r="I86" i="89"/>
  <c r="J86" i="89"/>
  <c r="K86" i="89"/>
  <c r="L86" i="89"/>
  <c r="M86" i="89"/>
  <c r="N86" i="89"/>
  <c r="E87" i="89"/>
  <c r="F87" i="89"/>
  <c r="G87" i="89"/>
  <c r="H87" i="89"/>
  <c r="I87" i="89"/>
  <c r="J87" i="89"/>
  <c r="K87" i="89"/>
  <c r="L87" i="89"/>
  <c r="M87" i="89"/>
  <c r="N87" i="89"/>
  <c r="H88" i="89"/>
  <c r="E90" i="89"/>
  <c r="F90" i="89"/>
  <c r="G90" i="89"/>
  <c r="H90" i="89"/>
  <c r="I90" i="89"/>
  <c r="J90" i="89"/>
  <c r="K90" i="89"/>
  <c r="L90" i="89"/>
  <c r="L95" i="89" s="1"/>
  <c r="M90" i="89"/>
  <c r="N90" i="89"/>
  <c r="E91" i="89"/>
  <c r="F91" i="89"/>
  <c r="G91" i="89"/>
  <c r="H91" i="89"/>
  <c r="I91" i="89"/>
  <c r="J91" i="89"/>
  <c r="K91" i="89"/>
  <c r="L91" i="89"/>
  <c r="M91" i="89"/>
  <c r="M95" i="89" s="1"/>
  <c r="N91" i="89"/>
  <c r="E92" i="89"/>
  <c r="F92" i="89"/>
  <c r="G92" i="89"/>
  <c r="H92" i="89"/>
  <c r="I92" i="89"/>
  <c r="J92" i="89"/>
  <c r="K92" i="89"/>
  <c r="L92" i="89"/>
  <c r="M92" i="89"/>
  <c r="N92" i="89"/>
  <c r="E93" i="89"/>
  <c r="E95" i="89" s="1"/>
  <c r="F93" i="89"/>
  <c r="G93" i="89"/>
  <c r="H93" i="89"/>
  <c r="I93" i="89"/>
  <c r="J93" i="89"/>
  <c r="K93" i="89"/>
  <c r="L93" i="89"/>
  <c r="M93" i="89"/>
  <c r="N93" i="89"/>
  <c r="E94" i="89"/>
  <c r="F94" i="89"/>
  <c r="G94" i="89"/>
  <c r="H94" i="89"/>
  <c r="I94" i="89"/>
  <c r="J94" i="89"/>
  <c r="K94" i="89"/>
  <c r="L94" i="89"/>
  <c r="M94" i="89"/>
  <c r="N94" i="89"/>
  <c r="E97" i="89"/>
  <c r="F97" i="89"/>
  <c r="G97" i="89"/>
  <c r="H97" i="89"/>
  <c r="I97" i="89"/>
  <c r="J97" i="89"/>
  <c r="K97" i="89"/>
  <c r="L97" i="89"/>
  <c r="M97" i="89"/>
  <c r="N97" i="89"/>
  <c r="E98" i="89"/>
  <c r="F98" i="89"/>
  <c r="G98" i="89"/>
  <c r="H98" i="89"/>
  <c r="I98" i="89"/>
  <c r="J98" i="89"/>
  <c r="K98" i="89"/>
  <c r="L98" i="89"/>
  <c r="M98" i="89"/>
  <c r="N98" i="89"/>
  <c r="E99" i="89"/>
  <c r="F99" i="89"/>
  <c r="G99" i="89"/>
  <c r="H99" i="89"/>
  <c r="I99" i="89"/>
  <c r="J99" i="89"/>
  <c r="J105" i="89" s="1"/>
  <c r="K99" i="89"/>
  <c r="L99" i="89"/>
  <c r="M99" i="89"/>
  <c r="N99" i="89"/>
  <c r="E100" i="89"/>
  <c r="F100" i="89"/>
  <c r="G100" i="89"/>
  <c r="H100" i="89"/>
  <c r="I100" i="89"/>
  <c r="J100" i="89"/>
  <c r="K100" i="89"/>
  <c r="L100" i="89"/>
  <c r="M100" i="89"/>
  <c r="N100" i="89"/>
  <c r="E101" i="89"/>
  <c r="F101" i="89"/>
  <c r="G101" i="89"/>
  <c r="H101" i="89"/>
  <c r="I101" i="89"/>
  <c r="J101" i="89"/>
  <c r="K101" i="89"/>
  <c r="L101" i="89"/>
  <c r="M101" i="89"/>
  <c r="N101" i="89"/>
  <c r="E102" i="89"/>
  <c r="F102" i="89"/>
  <c r="G102" i="89"/>
  <c r="H102" i="89"/>
  <c r="I102" i="89"/>
  <c r="J102" i="89"/>
  <c r="K102" i="89"/>
  <c r="L102" i="89"/>
  <c r="M102" i="89"/>
  <c r="N102" i="89"/>
  <c r="E103" i="89"/>
  <c r="F103" i="89"/>
  <c r="G103" i="89"/>
  <c r="H103" i="89"/>
  <c r="I103" i="89"/>
  <c r="J103" i="89"/>
  <c r="K103" i="89"/>
  <c r="L103" i="89"/>
  <c r="M103" i="89"/>
  <c r="N103" i="89"/>
  <c r="E104" i="89"/>
  <c r="F104" i="89"/>
  <c r="G104" i="89"/>
  <c r="H104" i="89"/>
  <c r="I104" i="89"/>
  <c r="J104" i="89"/>
  <c r="K104" i="89"/>
  <c r="L104" i="89"/>
  <c r="M104" i="89"/>
  <c r="N104" i="89"/>
  <c r="K105" i="89"/>
  <c r="D115" i="89"/>
  <c r="F115" i="89" a="1"/>
  <c r="F115" i="89" s="1"/>
  <c r="G115" i="89" a="1"/>
  <c r="G115" i="89" s="1"/>
  <c r="J115" i="89" a="1"/>
  <c r="J115" i="89" s="1"/>
  <c r="K115" i="89" a="1"/>
  <c r="K115" i="89" s="1"/>
  <c r="N115" i="89" a="1"/>
  <c r="N115" i="89" s="1"/>
  <c r="D116" i="89"/>
  <c r="H116" i="89" a="1"/>
  <c r="H116" i="89" s="1"/>
  <c r="L116" i="89" a="1"/>
  <c r="L116" i="89" s="1"/>
  <c r="D117" i="89"/>
  <c r="F117" i="89"/>
  <c r="J117" i="89"/>
  <c r="L117" i="89"/>
  <c r="N117" i="89"/>
  <c r="E118" i="89"/>
  <c r="F118" i="89"/>
  <c r="G118" i="89"/>
  <c r="H118" i="89"/>
  <c r="I118" i="89"/>
  <c r="J118" i="89"/>
  <c r="K118" i="89"/>
  <c r="L118" i="89"/>
  <c r="M118" i="89"/>
  <c r="N118" i="89"/>
  <c r="E119" i="89"/>
  <c r="F119" i="89"/>
  <c r="G119" i="89"/>
  <c r="H119" i="89"/>
  <c r="I119" i="89"/>
  <c r="J119" i="89"/>
  <c r="K119" i="89"/>
  <c r="L119" i="89"/>
  <c r="M119" i="89"/>
  <c r="N119" i="89"/>
  <c r="E120" i="89"/>
  <c r="F120" i="89"/>
  <c r="G120" i="89"/>
  <c r="H120" i="89"/>
  <c r="I120" i="89"/>
  <c r="J120" i="89"/>
  <c r="K120" i="89"/>
  <c r="L120" i="89"/>
  <c r="M120" i="89"/>
  <c r="N120" i="89"/>
  <c r="E121" i="89"/>
  <c r="F121" i="89"/>
  <c r="G121" i="89"/>
  <c r="H121" i="89"/>
  <c r="I121" i="89"/>
  <c r="J121" i="89"/>
  <c r="K121" i="89"/>
  <c r="L121" i="89"/>
  <c r="M121" i="89"/>
  <c r="N121" i="89"/>
  <c r="E122" i="89"/>
  <c r="F122" i="89"/>
  <c r="G122" i="89"/>
  <c r="H122" i="89"/>
  <c r="I122" i="89"/>
  <c r="J122" i="89"/>
  <c r="K122" i="89"/>
  <c r="L122" i="89"/>
  <c r="M122" i="89"/>
  <c r="N122" i="89"/>
  <c r="E123" i="89"/>
  <c r="F123" i="89"/>
  <c r="G123" i="89"/>
  <c r="H123" i="89"/>
  <c r="I123" i="89"/>
  <c r="J123" i="89"/>
  <c r="K123" i="89"/>
  <c r="L123" i="89"/>
  <c r="M123" i="89"/>
  <c r="N123" i="89"/>
  <c r="E124" i="89"/>
  <c r="F124" i="89"/>
  <c r="G124" i="89"/>
  <c r="H124" i="89"/>
  <c r="I124" i="89"/>
  <c r="J124" i="89"/>
  <c r="K124" i="89"/>
  <c r="L124" i="89"/>
  <c r="M124" i="89"/>
  <c r="N124" i="89"/>
  <c r="E125" i="89"/>
  <c r="F125" i="89"/>
  <c r="G125" i="89"/>
  <c r="H125" i="89"/>
  <c r="I125" i="89"/>
  <c r="J125" i="89"/>
  <c r="K125" i="89"/>
  <c r="L125" i="89"/>
  <c r="M125" i="89"/>
  <c r="N125" i="89"/>
  <c r="E126" i="89"/>
  <c r="F126" i="89"/>
  <c r="G126" i="89"/>
  <c r="H126" i="89"/>
  <c r="I126" i="89"/>
  <c r="J126" i="89"/>
  <c r="K126" i="89"/>
  <c r="L126" i="89"/>
  <c r="M126" i="89"/>
  <c r="N126" i="89"/>
  <c r="E127" i="89"/>
  <c r="F127" i="89"/>
  <c r="G127" i="89"/>
  <c r="H127" i="89"/>
  <c r="I127" i="89"/>
  <c r="J127" i="89"/>
  <c r="K127" i="89"/>
  <c r="L127" i="89"/>
  <c r="M127" i="89"/>
  <c r="N127" i="89"/>
  <c r="E128" i="89"/>
  <c r="F128" i="89"/>
  <c r="G128" i="89"/>
  <c r="H128" i="89"/>
  <c r="I128" i="89"/>
  <c r="J128" i="89"/>
  <c r="K128" i="89"/>
  <c r="L128" i="89"/>
  <c r="M128" i="89"/>
  <c r="N128" i="89"/>
  <c r="E129" i="89"/>
  <c r="F129" i="89"/>
  <c r="G129" i="89"/>
  <c r="H129" i="89"/>
  <c r="I129" i="89"/>
  <c r="J129" i="89"/>
  <c r="K129" i="89"/>
  <c r="L129" i="89"/>
  <c r="M129" i="89"/>
  <c r="N129" i="89"/>
  <c r="E130" i="89"/>
  <c r="F130" i="89"/>
  <c r="G130" i="89"/>
  <c r="H130" i="89"/>
  <c r="I130" i="89"/>
  <c r="J130" i="89"/>
  <c r="K130" i="89"/>
  <c r="L130" i="89"/>
  <c r="M130" i="89"/>
  <c r="N130" i="89"/>
  <c r="E131" i="89"/>
  <c r="F131" i="89"/>
  <c r="G131" i="89"/>
  <c r="H131" i="89"/>
  <c r="I131" i="89"/>
  <c r="J131" i="89"/>
  <c r="K131" i="89"/>
  <c r="L131" i="89"/>
  <c r="M131" i="89"/>
  <c r="N131" i="89"/>
  <c r="E132" i="89"/>
  <c r="F132" i="89"/>
  <c r="G132" i="89"/>
  <c r="H132" i="89"/>
  <c r="I132" i="89"/>
  <c r="J132" i="89"/>
  <c r="K132" i="89"/>
  <c r="L132" i="89"/>
  <c r="M132" i="89"/>
  <c r="N132" i="89"/>
  <c r="E146" i="89"/>
  <c r="F146" i="89"/>
  <c r="G146" i="89"/>
  <c r="H146" i="89"/>
  <c r="H154" i="89" s="1"/>
  <c r="I146" i="89"/>
  <c r="I154" i="89" s="1"/>
  <c r="J146" i="89"/>
  <c r="K146" i="89"/>
  <c r="L146" i="89"/>
  <c r="M146" i="89"/>
  <c r="N146" i="89"/>
  <c r="E147" i="89"/>
  <c r="F147" i="89"/>
  <c r="G147" i="89"/>
  <c r="H147" i="89"/>
  <c r="I147" i="89"/>
  <c r="J147" i="89"/>
  <c r="K147" i="89"/>
  <c r="L147" i="89"/>
  <c r="M147" i="89"/>
  <c r="N147" i="89"/>
  <c r="E148" i="89"/>
  <c r="F148" i="89"/>
  <c r="G148" i="89"/>
  <c r="H148" i="89"/>
  <c r="I148" i="89"/>
  <c r="J148" i="89"/>
  <c r="K148" i="89"/>
  <c r="L148" i="89"/>
  <c r="M148" i="89"/>
  <c r="N148" i="89"/>
  <c r="E149" i="89"/>
  <c r="F149" i="89"/>
  <c r="G149" i="89"/>
  <c r="H149" i="89"/>
  <c r="I149" i="89"/>
  <c r="J149" i="89"/>
  <c r="K149" i="89"/>
  <c r="L149" i="89"/>
  <c r="M149" i="89"/>
  <c r="N149" i="89"/>
  <c r="E150" i="89"/>
  <c r="F150" i="89"/>
  <c r="G150" i="89"/>
  <c r="H150" i="89"/>
  <c r="I150" i="89"/>
  <c r="J150" i="89"/>
  <c r="K150" i="89"/>
  <c r="L150" i="89"/>
  <c r="M150" i="89"/>
  <c r="N150" i="89"/>
  <c r="E151" i="89"/>
  <c r="F151" i="89"/>
  <c r="G151" i="89"/>
  <c r="H151" i="89"/>
  <c r="I151" i="89"/>
  <c r="J151" i="89"/>
  <c r="K151" i="89"/>
  <c r="L151" i="89"/>
  <c r="M151" i="89"/>
  <c r="N151" i="89"/>
  <c r="E152" i="89"/>
  <c r="F152" i="89"/>
  <c r="G152" i="89"/>
  <c r="H152" i="89"/>
  <c r="I152" i="89"/>
  <c r="J152" i="89"/>
  <c r="K152" i="89"/>
  <c r="L152" i="89"/>
  <c r="M152" i="89"/>
  <c r="N152" i="89"/>
  <c r="E156" i="89"/>
  <c r="F156" i="89"/>
  <c r="G156" i="89"/>
  <c r="G164" i="89" s="1"/>
  <c r="H156" i="89"/>
  <c r="I156" i="89"/>
  <c r="J156" i="89"/>
  <c r="K156" i="89"/>
  <c r="L156" i="89"/>
  <c r="M156" i="89"/>
  <c r="N156" i="89"/>
  <c r="E157" i="89"/>
  <c r="F157" i="89"/>
  <c r="F164" i="89" s="1"/>
  <c r="G157" i="89"/>
  <c r="H157" i="89"/>
  <c r="I157" i="89"/>
  <c r="J157" i="89"/>
  <c r="K157" i="89"/>
  <c r="L157" i="89"/>
  <c r="M157" i="89"/>
  <c r="N157" i="89"/>
  <c r="N164" i="89" s="1"/>
  <c r="E158" i="89"/>
  <c r="F158" i="89"/>
  <c r="G158" i="89"/>
  <c r="H158" i="89"/>
  <c r="I158" i="89"/>
  <c r="J158" i="89"/>
  <c r="K158" i="89"/>
  <c r="L158" i="89"/>
  <c r="M158" i="89"/>
  <c r="N158" i="89"/>
  <c r="E159" i="89"/>
  <c r="F159" i="89"/>
  <c r="G159" i="89"/>
  <c r="H159" i="89"/>
  <c r="I159" i="89"/>
  <c r="J159" i="89"/>
  <c r="K159" i="89"/>
  <c r="L159" i="89"/>
  <c r="M159" i="89"/>
  <c r="N159" i="89"/>
  <c r="E160" i="89"/>
  <c r="F160" i="89"/>
  <c r="G160" i="89"/>
  <c r="H160" i="89"/>
  <c r="I160" i="89"/>
  <c r="J160" i="89"/>
  <c r="K160" i="89"/>
  <c r="L160" i="89"/>
  <c r="M160" i="89"/>
  <c r="N160" i="89"/>
  <c r="E161" i="89"/>
  <c r="F161" i="89"/>
  <c r="G161" i="89"/>
  <c r="H161" i="89"/>
  <c r="I161" i="89"/>
  <c r="J161" i="89"/>
  <c r="K161" i="89"/>
  <c r="L161" i="89"/>
  <c r="M161" i="89"/>
  <c r="N161" i="89"/>
  <c r="E162" i="89"/>
  <c r="F162" i="89"/>
  <c r="G162" i="89"/>
  <c r="H162" i="89"/>
  <c r="I162" i="89"/>
  <c r="J162" i="89"/>
  <c r="K162" i="89"/>
  <c r="L162" i="89"/>
  <c r="M162" i="89"/>
  <c r="N162" i="89"/>
  <c r="E163" i="89"/>
  <c r="F163" i="89"/>
  <c r="G163" i="89"/>
  <c r="H163" i="89"/>
  <c r="I163" i="89"/>
  <c r="J163" i="89"/>
  <c r="K163" i="89"/>
  <c r="L163" i="89"/>
  <c r="M163" i="89"/>
  <c r="N163" i="89"/>
  <c r="E169" i="89"/>
  <c r="F169" i="89"/>
  <c r="G169" i="89"/>
  <c r="H169" i="89"/>
  <c r="I169" i="89"/>
  <c r="J169" i="89"/>
  <c r="K169" i="89"/>
  <c r="L169" i="89"/>
  <c r="M169" i="89"/>
  <c r="N169" i="89"/>
  <c r="E170" i="89"/>
  <c r="F170" i="89"/>
  <c r="G170" i="89"/>
  <c r="H170" i="89"/>
  <c r="I170" i="89"/>
  <c r="J170" i="89"/>
  <c r="K170" i="89"/>
  <c r="L170" i="89"/>
  <c r="M170" i="89"/>
  <c r="N170" i="89"/>
  <c r="F6" i="88"/>
  <c r="G6" i="88"/>
  <c r="H6" i="88"/>
  <c r="I6" i="88"/>
  <c r="J6" i="88"/>
  <c r="K6" i="88"/>
  <c r="L6" i="88"/>
  <c r="M6" i="88" s="1"/>
  <c r="N6" i="88" s="1"/>
  <c r="O6" i="88" s="1"/>
  <c r="P6" i="88" s="1"/>
  <c r="Q6" i="88" s="1"/>
  <c r="R6" i="88" s="1"/>
  <c r="S6" i="88" s="1"/>
  <c r="F9" i="88"/>
  <c r="G9" i="88"/>
  <c r="H9" i="88"/>
  <c r="H11" i="88" s="1"/>
  <c r="H14" i="88" s="1"/>
  <c r="H17" i="88" s="1"/>
  <c r="H24" i="88" s="1"/>
  <c r="H27" i="88" s="1"/>
  <c r="H99" i="88" s="1"/>
  <c r="I9" i="88"/>
  <c r="J9" i="88"/>
  <c r="K9" i="88"/>
  <c r="L9" i="88"/>
  <c r="L11" i="88" s="1"/>
  <c r="L14" i="88" s="1"/>
  <c r="L17" i="88" s="1"/>
  <c r="L24" i="88" s="1"/>
  <c r="L27" i="88" s="1"/>
  <c r="L99" i="88" s="1"/>
  <c r="M9" i="88"/>
  <c r="N9" i="88"/>
  <c r="F10" i="88"/>
  <c r="G10" i="88"/>
  <c r="H10" i="88"/>
  <c r="I10" i="88"/>
  <c r="J10" i="88"/>
  <c r="K10" i="88"/>
  <c r="L10" i="88"/>
  <c r="M10" i="88"/>
  <c r="N10" i="88"/>
  <c r="G11" i="88"/>
  <c r="G14" i="88" s="1"/>
  <c r="G17" i="88" s="1"/>
  <c r="G24" i="88" s="1"/>
  <c r="G27" i="88" s="1"/>
  <c r="G99" i="88" s="1"/>
  <c r="I11" i="88"/>
  <c r="J11" i="88"/>
  <c r="K11" i="88"/>
  <c r="K14" i="88" s="1"/>
  <c r="F13" i="88"/>
  <c r="G13" i="88"/>
  <c r="H13" i="88"/>
  <c r="I13" i="88"/>
  <c r="J13" i="88"/>
  <c r="K13" i="88"/>
  <c r="L13" i="88"/>
  <c r="M13" i="88"/>
  <c r="N13" i="88"/>
  <c r="I14" i="88"/>
  <c r="J14" i="88"/>
  <c r="F16" i="88"/>
  <c r="G16" i="88"/>
  <c r="H16" i="88"/>
  <c r="I16" i="88"/>
  <c r="J16" i="88"/>
  <c r="K16" i="88"/>
  <c r="L16" i="88"/>
  <c r="M16" i="88"/>
  <c r="N16" i="88"/>
  <c r="F20" i="88"/>
  <c r="F100" i="88" s="1"/>
  <c r="G20" i="88"/>
  <c r="G100" i="88" s="1"/>
  <c r="H20" i="88"/>
  <c r="H100" i="88" s="1"/>
  <c r="I20" i="88"/>
  <c r="J20" i="88"/>
  <c r="K20" i="88"/>
  <c r="L20" i="88"/>
  <c r="M20" i="88"/>
  <c r="M100" i="88" s="1"/>
  <c r="N20" i="88"/>
  <c r="N100" i="88" s="1"/>
  <c r="F21" i="88"/>
  <c r="F101" i="88" s="1"/>
  <c r="G21" i="88"/>
  <c r="G101" i="88" s="1"/>
  <c r="H21" i="88"/>
  <c r="I21" i="88"/>
  <c r="J21" i="88"/>
  <c r="K21" i="88"/>
  <c r="K101" i="88" s="1"/>
  <c r="L21" i="88"/>
  <c r="L101" i="88" s="1"/>
  <c r="M21" i="88"/>
  <c r="M101" i="88" s="1"/>
  <c r="N21" i="88"/>
  <c r="N101" i="88" s="1"/>
  <c r="F22" i="88"/>
  <c r="G22" i="88"/>
  <c r="H22" i="88"/>
  <c r="I22" i="88"/>
  <c r="J22" i="88"/>
  <c r="K22" i="88"/>
  <c r="L22" i="88"/>
  <c r="M22" i="88"/>
  <c r="N22" i="88"/>
  <c r="F23" i="88"/>
  <c r="G23" i="88"/>
  <c r="H23" i="88"/>
  <c r="I23" i="88"/>
  <c r="J23" i="88"/>
  <c r="K23" i="88"/>
  <c r="L23" i="88"/>
  <c r="M23" i="88"/>
  <c r="N23" i="88"/>
  <c r="F26" i="88"/>
  <c r="G26" i="88"/>
  <c r="H26" i="88"/>
  <c r="I26" i="88"/>
  <c r="J26" i="88"/>
  <c r="J102" i="88" s="1"/>
  <c r="K26" i="88"/>
  <c r="K102" i="88" s="1"/>
  <c r="L26" i="88"/>
  <c r="L102" i="88" s="1"/>
  <c r="M26" i="88"/>
  <c r="N26" i="88"/>
  <c r="F32" i="88"/>
  <c r="G32" i="88"/>
  <c r="H32" i="88"/>
  <c r="I32" i="88"/>
  <c r="J32" i="88"/>
  <c r="K32" i="88"/>
  <c r="L32" i="88"/>
  <c r="M32" i="88"/>
  <c r="N32" i="88"/>
  <c r="F33" i="88"/>
  <c r="G33" i="88"/>
  <c r="H33" i="88"/>
  <c r="I33" i="88"/>
  <c r="J33" i="88"/>
  <c r="K33" i="88"/>
  <c r="L33" i="88"/>
  <c r="M33" i="88"/>
  <c r="N33" i="88"/>
  <c r="F34" i="88"/>
  <c r="G34" i="88"/>
  <c r="H34" i="88"/>
  <c r="I34" i="88"/>
  <c r="J34" i="88"/>
  <c r="K34" i="88"/>
  <c r="L34" i="88"/>
  <c r="M34" i="88"/>
  <c r="N34" i="88"/>
  <c r="F35" i="88"/>
  <c r="G35" i="88"/>
  <c r="H35" i="88"/>
  <c r="I35" i="88"/>
  <c r="J35" i="88"/>
  <c r="K35" i="88"/>
  <c r="L35" i="88"/>
  <c r="M35" i="88"/>
  <c r="N35" i="88"/>
  <c r="F36" i="88"/>
  <c r="G36" i="88"/>
  <c r="H36" i="88"/>
  <c r="I36" i="88"/>
  <c r="J36" i="88"/>
  <c r="K36" i="88"/>
  <c r="L36" i="88"/>
  <c r="M36" i="88"/>
  <c r="N36" i="88"/>
  <c r="F37" i="88"/>
  <c r="G37" i="88"/>
  <c r="H37" i="88"/>
  <c r="I37" i="88"/>
  <c r="J37" i="88"/>
  <c r="K37" i="88"/>
  <c r="L37" i="88"/>
  <c r="M37" i="88"/>
  <c r="N37" i="88"/>
  <c r="F38" i="88"/>
  <c r="G38" i="88"/>
  <c r="H38" i="88"/>
  <c r="I38" i="88"/>
  <c r="J38" i="88"/>
  <c r="K38" i="88"/>
  <c r="L38" i="88"/>
  <c r="M38" i="88"/>
  <c r="N38" i="88"/>
  <c r="F39" i="88"/>
  <c r="G39" i="88"/>
  <c r="H39" i="88"/>
  <c r="I39" i="88"/>
  <c r="J39" i="88"/>
  <c r="K39" i="88"/>
  <c r="L39" i="88"/>
  <c r="M39" i="88"/>
  <c r="N39" i="88"/>
  <c r="F40" i="88"/>
  <c r="G40" i="88"/>
  <c r="H40" i="88"/>
  <c r="I40" i="88"/>
  <c r="J40" i="88"/>
  <c r="K40" i="88"/>
  <c r="L40" i="88"/>
  <c r="M40" i="88"/>
  <c r="N40" i="88"/>
  <c r="F41" i="88"/>
  <c r="G41" i="88"/>
  <c r="H41" i="88"/>
  <c r="I41" i="88"/>
  <c r="J41" i="88"/>
  <c r="K41" i="88"/>
  <c r="L41" i="88"/>
  <c r="M41" i="88"/>
  <c r="N41" i="88"/>
  <c r="F42" i="88"/>
  <c r="G42" i="88"/>
  <c r="H42" i="88"/>
  <c r="I42" i="88"/>
  <c r="J42" i="88"/>
  <c r="K42" i="88"/>
  <c r="L42" i="88"/>
  <c r="M42" i="88"/>
  <c r="N42" i="88"/>
  <c r="F43" i="88"/>
  <c r="G43" i="88"/>
  <c r="H43" i="88"/>
  <c r="I43" i="88"/>
  <c r="J43" i="88"/>
  <c r="K43" i="88"/>
  <c r="L43" i="88"/>
  <c r="M43" i="88"/>
  <c r="N43" i="88"/>
  <c r="F44" i="88"/>
  <c r="G44" i="88"/>
  <c r="H44" i="88"/>
  <c r="I44" i="88"/>
  <c r="J44" i="88"/>
  <c r="K44" i="88"/>
  <c r="L44" i="88"/>
  <c r="M44" i="88"/>
  <c r="N44" i="88"/>
  <c r="F49" i="88"/>
  <c r="F55" i="88" s="1"/>
  <c r="G49" i="88"/>
  <c r="H49" i="88"/>
  <c r="I49" i="88"/>
  <c r="J49" i="88"/>
  <c r="K49" i="88"/>
  <c r="L49" i="88"/>
  <c r="M49" i="88"/>
  <c r="N49" i="88"/>
  <c r="N55" i="88" s="1"/>
  <c r="F50" i="88"/>
  <c r="G50" i="88"/>
  <c r="H50" i="88"/>
  <c r="I50" i="88"/>
  <c r="J50" i="88"/>
  <c r="K50" i="88"/>
  <c r="L50" i="88"/>
  <c r="L55" i="88" s="1"/>
  <c r="M50" i="88"/>
  <c r="M55" i="88" s="1"/>
  <c r="N50" i="88"/>
  <c r="F51" i="88"/>
  <c r="G51" i="88"/>
  <c r="H51" i="88"/>
  <c r="I51" i="88"/>
  <c r="J51" i="88"/>
  <c r="K51" i="88"/>
  <c r="L51" i="88"/>
  <c r="M51" i="88"/>
  <c r="N51" i="88"/>
  <c r="F52" i="88"/>
  <c r="G52" i="88"/>
  <c r="H52" i="88"/>
  <c r="I52" i="88"/>
  <c r="J52" i="88"/>
  <c r="K52" i="88"/>
  <c r="L52" i="88"/>
  <c r="M52" i="88"/>
  <c r="N52" i="88"/>
  <c r="F53" i="88"/>
  <c r="G53" i="88"/>
  <c r="H53" i="88"/>
  <c r="I53" i="88"/>
  <c r="J53" i="88"/>
  <c r="K53" i="88"/>
  <c r="L53" i="88"/>
  <c r="M53" i="88"/>
  <c r="N53" i="88"/>
  <c r="F54" i="88"/>
  <c r="G54" i="88"/>
  <c r="H54" i="88"/>
  <c r="I54" i="88"/>
  <c r="J54" i="88"/>
  <c r="K54" i="88"/>
  <c r="L54" i="88"/>
  <c r="M54" i="88"/>
  <c r="N54" i="88"/>
  <c r="F57" i="88"/>
  <c r="G57" i="88"/>
  <c r="H57" i="88"/>
  <c r="I57" i="88"/>
  <c r="J57" i="88"/>
  <c r="K57" i="88"/>
  <c r="L57" i="88"/>
  <c r="M57" i="88"/>
  <c r="N57" i="88"/>
  <c r="F58" i="88"/>
  <c r="G58" i="88"/>
  <c r="H58" i="88"/>
  <c r="I58" i="88"/>
  <c r="J58" i="88"/>
  <c r="K58" i="88"/>
  <c r="K66" i="88" s="1"/>
  <c r="L58" i="88"/>
  <c r="M58" i="88"/>
  <c r="N58" i="88"/>
  <c r="F59" i="88"/>
  <c r="G59" i="88"/>
  <c r="H59" i="88"/>
  <c r="I59" i="88"/>
  <c r="J59" i="88"/>
  <c r="K59" i="88"/>
  <c r="L59" i="88"/>
  <c r="M59" i="88"/>
  <c r="N59" i="88"/>
  <c r="F60" i="88"/>
  <c r="G60" i="88"/>
  <c r="H60" i="88"/>
  <c r="I60" i="88"/>
  <c r="J60" i="88"/>
  <c r="K60" i="88"/>
  <c r="L60" i="88"/>
  <c r="M60" i="88"/>
  <c r="N60" i="88"/>
  <c r="F61" i="88"/>
  <c r="G61" i="88"/>
  <c r="H61" i="88"/>
  <c r="I61" i="88"/>
  <c r="J61" i="88"/>
  <c r="K61" i="88"/>
  <c r="L61" i="88"/>
  <c r="M61" i="88"/>
  <c r="N61" i="88"/>
  <c r="F62" i="88"/>
  <c r="G62" i="88"/>
  <c r="H62" i="88"/>
  <c r="I62" i="88"/>
  <c r="J62" i="88"/>
  <c r="K62" i="88"/>
  <c r="L62" i="88"/>
  <c r="M62" i="88"/>
  <c r="N62" i="88"/>
  <c r="F63" i="88"/>
  <c r="G63" i="88"/>
  <c r="H63" i="88"/>
  <c r="I63" i="88"/>
  <c r="J63" i="88"/>
  <c r="K63" i="88"/>
  <c r="L63" i="88"/>
  <c r="M63" i="88"/>
  <c r="N63" i="88"/>
  <c r="F64" i="88"/>
  <c r="G64" i="88"/>
  <c r="H64" i="88"/>
  <c r="I64" i="88"/>
  <c r="J64" i="88"/>
  <c r="K64" i="88"/>
  <c r="L64" i="88"/>
  <c r="M64" i="88"/>
  <c r="N64" i="88"/>
  <c r="F65" i="88"/>
  <c r="G65" i="88"/>
  <c r="H65" i="88"/>
  <c r="I65" i="88"/>
  <c r="J65" i="88"/>
  <c r="K65" i="88"/>
  <c r="L65" i="88"/>
  <c r="M65" i="88"/>
  <c r="N65" i="88"/>
  <c r="F70" i="88"/>
  <c r="G70" i="88"/>
  <c r="H70" i="88"/>
  <c r="I70" i="88"/>
  <c r="J70" i="88"/>
  <c r="K70" i="88"/>
  <c r="L70" i="88"/>
  <c r="L75" i="88" s="1"/>
  <c r="M70" i="88"/>
  <c r="N70" i="88"/>
  <c r="F71" i="88"/>
  <c r="G71" i="88"/>
  <c r="H71" i="88"/>
  <c r="I71" i="88"/>
  <c r="J71" i="88"/>
  <c r="K71" i="88"/>
  <c r="L71" i="88"/>
  <c r="M71" i="88"/>
  <c r="N71" i="88"/>
  <c r="F72" i="88"/>
  <c r="G72" i="88"/>
  <c r="H72" i="88"/>
  <c r="I72" i="88"/>
  <c r="J72" i="88"/>
  <c r="J75" i="88" s="1"/>
  <c r="K72" i="88"/>
  <c r="L72" i="88"/>
  <c r="M72" i="88"/>
  <c r="N72" i="88"/>
  <c r="F73" i="88"/>
  <c r="G73" i="88"/>
  <c r="H73" i="88"/>
  <c r="I73" i="88"/>
  <c r="J73" i="88"/>
  <c r="K73" i="88"/>
  <c r="L73" i="88"/>
  <c r="M73" i="88"/>
  <c r="N73" i="88"/>
  <c r="F74" i="88"/>
  <c r="G74" i="88"/>
  <c r="H74" i="88"/>
  <c r="I74" i="88"/>
  <c r="J74" i="88"/>
  <c r="K74" i="88"/>
  <c r="L74" i="88"/>
  <c r="M74" i="88"/>
  <c r="N74" i="88"/>
  <c r="K75" i="88"/>
  <c r="F78" i="88"/>
  <c r="G78" i="88"/>
  <c r="H78" i="88"/>
  <c r="I78" i="88"/>
  <c r="J78" i="88"/>
  <c r="K78" i="88"/>
  <c r="L78" i="88"/>
  <c r="M78" i="88"/>
  <c r="N78" i="88"/>
  <c r="F79" i="88"/>
  <c r="G79" i="88"/>
  <c r="H79" i="88"/>
  <c r="I79" i="88"/>
  <c r="J79" i="88"/>
  <c r="K79" i="88"/>
  <c r="L79" i="88"/>
  <c r="M79" i="88"/>
  <c r="N79" i="88"/>
  <c r="F80" i="88"/>
  <c r="G80" i="88"/>
  <c r="H80" i="88"/>
  <c r="I80" i="88"/>
  <c r="J80" i="88"/>
  <c r="K80" i="88"/>
  <c r="L80" i="88"/>
  <c r="M80" i="88"/>
  <c r="N80" i="88"/>
  <c r="N82" i="88" s="1"/>
  <c r="F81" i="88"/>
  <c r="G81" i="88"/>
  <c r="H81" i="88"/>
  <c r="I81" i="88"/>
  <c r="J81" i="88"/>
  <c r="K81" i="88"/>
  <c r="L81" i="88"/>
  <c r="M81" i="88"/>
  <c r="M82" i="88" s="1"/>
  <c r="N81" i="88"/>
  <c r="F82" i="88"/>
  <c r="G82" i="88"/>
  <c r="L82" i="88"/>
  <c r="F84" i="88"/>
  <c r="G84" i="88"/>
  <c r="G90" i="88" s="1"/>
  <c r="H84" i="88"/>
  <c r="H90" i="88" s="1"/>
  <c r="I84" i="88"/>
  <c r="J84" i="88"/>
  <c r="K84" i="88"/>
  <c r="L84" i="88"/>
  <c r="M84" i="88"/>
  <c r="N84" i="88"/>
  <c r="F85" i="88"/>
  <c r="G85" i="88"/>
  <c r="H85" i="88"/>
  <c r="I85" i="88"/>
  <c r="J85" i="88"/>
  <c r="K85" i="88"/>
  <c r="L85" i="88"/>
  <c r="M85" i="88"/>
  <c r="N85" i="88"/>
  <c r="F86" i="88"/>
  <c r="G86" i="88"/>
  <c r="H86" i="88"/>
  <c r="I86" i="88"/>
  <c r="J86" i="88"/>
  <c r="K86" i="88"/>
  <c r="L86" i="88"/>
  <c r="M86" i="88"/>
  <c r="N86" i="88"/>
  <c r="F87" i="88"/>
  <c r="G87" i="88"/>
  <c r="H87" i="88"/>
  <c r="I87" i="88"/>
  <c r="J87" i="88"/>
  <c r="K87" i="88"/>
  <c r="L87" i="88"/>
  <c r="M87" i="88"/>
  <c r="N87" i="88"/>
  <c r="F88" i="88"/>
  <c r="G88" i="88"/>
  <c r="H88" i="88"/>
  <c r="I88" i="88"/>
  <c r="J88" i="88"/>
  <c r="K88" i="88"/>
  <c r="L88" i="88"/>
  <c r="M88" i="88"/>
  <c r="N88" i="88"/>
  <c r="F89" i="88"/>
  <c r="G89" i="88"/>
  <c r="H89" i="88"/>
  <c r="I89" i="88"/>
  <c r="J89" i="88"/>
  <c r="K89" i="88"/>
  <c r="L89" i="88"/>
  <c r="M89" i="88"/>
  <c r="N89" i="88"/>
  <c r="I100" i="88"/>
  <c r="J100" i="88"/>
  <c r="K100" i="88"/>
  <c r="L100" i="88"/>
  <c r="H101" i="88"/>
  <c r="I101" i="88"/>
  <c r="J101" i="88"/>
  <c r="F102" i="88"/>
  <c r="G102" i="88"/>
  <c r="H102" i="88"/>
  <c r="I102" i="88"/>
  <c r="M102" i="88"/>
  <c r="N102" i="88"/>
  <c r="F103" i="88"/>
  <c r="G103" i="88"/>
  <c r="H103" i="88"/>
  <c r="I103" i="88"/>
  <c r="J103" i="88"/>
  <c r="K103" i="88"/>
  <c r="L103" i="88"/>
  <c r="M103" i="88"/>
  <c r="N103" i="88"/>
  <c r="F104" i="88"/>
  <c r="G104" i="88"/>
  <c r="H104" i="88"/>
  <c r="I104" i="88"/>
  <c r="J104" i="88"/>
  <c r="K104" i="88"/>
  <c r="L104" i="88"/>
  <c r="M104" i="88"/>
  <c r="N104" i="88"/>
  <c r="F105" i="88"/>
  <c r="G105" i="88"/>
  <c r="H105" i="88"/>
  <c r="I105" i="88"/>
  <c r="J105" i="88"/>
  <c r="K105" i="88"/>
  <c r="L105" i="88"/>
  <c r="M105" i="88"/>
  <c r="N105" i="88"/>
  <c r="F106" i="88"/>
  <c r="G106" i="88"/>
  <c r="H106" i="88"/>
  <c r="I106" i="88"/>
  <c r="J106" i="88"/>
  <c r="K106" i="88"/>
  <c r="L106" i="88"/>
  <c r="M106" i="88"/>
  <c r="N106" i="88"/>
  <c r="F107" i="88"/>
  <c r="G107" i="88"/>
  <c r="H107" i="88"/>
  <c r="I107" i="88"/>
  <c r="J107" i="88"/>
  <c r="K107" i="88"/>
  <c r="L107" i="88"/>
  <c r="M107" i="88"/>
  <c r="N107" i="88"/>
  <c r="F108" i="88"/>
  <c r="G108" i="88"/>
  <c r="H108" i="88"/>
  <c r="I108" i="88"/>
  <c r="J108" i="88"/>
  <c r="K108" i="88"/>
  <c r="L108" i="88"/>
  <c r="M108" i="88"/>
  <c r="N108" i="88"/>
  <c r="F109" i="88"/>
  <c r="G109" i="88"/>
  <c r="H109" i="88"/>
  <c r="I109" i="88"/>
  <c r="J109" i="88"/>
  <c r="K109" i="88"/>
  <c r="L109" i="88"/>
  <c r="M109" i="88"/>
  <c r="N109" i="88"/>
  <c r="F110" i="88"/>
  <c r="G110" i="88"/>
  <c r="H110" i="88"/>
  <c r="I110" i="88"/>
  <c r="J110" i="88"/>
  <c r="K110" i="88"/>
  <c r="L110" i="88"/>
  <c r="M110" i="88"/>
  <c r="N110" i="88"/>
  <c r="F111" i="88"/>
  <c r="G111" i="88"/>
  <c r="H111" i="88"/>
  <c r="I111" i="88"/>
  <c r="J111" i="88"/>
  <c r="K111" i="88"/>
  <c r="L111" i="88"/>
  <c r="M111" i="88"/>
  <c r="N111" i="88"/>
  <c r="F112" i="88"/>
  <c r="G112" i="88"/>
  <c r="H112" i="88"/>
  <c r="I112" i="88"/>
  <c r="J112" i="88"/>
  <c r="K112" i="88"/>
  <c r="L112" i="88"/>
  <c r="M112" i="88"/>
  <c r="N112" i="88"/>
  <c r="F113" i="88"/>
  <c r="G113" i="88"/>
  <c r="H113" i="88"/>
  <c r="I113" i="88"/>
  <c r="J113" i="88"/>
  <c r="K113" i="88"/>
  <c r="L113" i="88"/>
  <c r="M113" i="88"/>
  <c r="N113" i="88"/>
  <c r="F114" i="88"/>
  <c r="G114" i="88"/>
  <c r="H114" i="88"/>
  <c r="I114" i="88"/>
  <c r="J114" i="88"/>
  <c r="K114" i="88"/>
  <c r="L114" i="88"/>
  <c r="M114" i="88"/>
  <c r="N114" i="88"/>
  <c r="F131" i="88"/>
  <c r="G131" i="88"/>
  <c r="H131" i="88"/>
  <c r="H139" i="88" s="1"/>
  <c r="I131" i="88"/>
  <c r="J131" i="88"/>
  <c r="K131" i="88"/>
  <c r="L131" i="88"/>
  <c r="M131" i="88"/>
  <c r="N131" i="88"/>
  <c r="F132" i="88"/>
  <c r="G132" i="88"/>
  <c r="G139" i="88" s="1"/>
  <c r="H132" i="88"/>
  <c r="I132" i="88"/>
  <c r="J132" i="88"/>
  <c r="K132" i="88"/>
  <c r="L132" i="88"/>
  <c r="M132" i="88"/>
  <c r="M139" i="88" s="1"/>
  <c r="N132" i="88"/>
  <c r="F133" i="88"/>
  <c r="G133" i="88"/>
  <c r="H133" i="88"/>
  <c r="I133" i="88"/>
  <c r="J133" i="88"/>
  <c r="K133" i="88"/>
  <c r="L133" i="88"/>
  <c r="M133" i="88"/>
  <c r="N133" i="88"/>
  <c r="N139" i="88" s="1"/>
  <c r="F134" i="88"/>
  <c r="G134" i="88"/>
  <c r="H134" i="88"/>
  <c r="I134" i="88"/>
  <c r="J134" i="88"/>
  <c r="K134" i="88"/>
  <c r="L134" i="88"/>
  <c r="M134" i="88"/>
  <c r="N134" i="88"/>
  <c r="F139" i="88"/>
  <c r="F141" i="88"/>
  <c r="G141" i="88"/>
  <c r="H141" i="88"/>
  <c r="H149" i="88" s="1"/>
  <c r="I141" i="88"/>
  <c r="I149" i="88" s="1"/>
  <c r="J141" i="88"/>
  <c r="K141" i="88"/>
  <c r="L141" i="88"/>
  <c r="M141" i="88"/>
  <c r="N141" i="88"/>
  <c r="F142" i="88"/>
  <c r="G142" i="88"/>
  <c r="H142" i="88"/>
  <c r="I142" i="88"/>
  <c r="J142" i="88"/>
  <c r="K142" i="88"/>
  <c r="L142" i="88"/>
  <c r="M142" i="88"/>
  <c r="N142" i="88"/>
  <c r="F143" i="88"/>
  <c r="G143" i="88"/>
  <c r="H143" i="88"/>
  <c r="I143" i="88"/>
  <c r="J143" i="88"/>
  <c r="K143" i="88"/>
  <c r="L143" i="88"/>
  <c r="M143" i="88"/>
  <c r="N143" i="88"/>
  <c r="F144" i="88"/>
  <c r="G144" i="88"/>
  <c r="H144" i="88"/>
  <c r="I144" i="88"/>
  <c r="J144" i="88"/>
  <c r="K144" i="88"/>
  <c r="L144" i="88"/>
  <c r="M144" i="88"/>
  <c r="N144" i="88"/>
  <c r="F145" i="88"/>
  <c r="G145" i="88"/>
  <c r="H145" i="88"/>
  <c r="I145" i="88"/>
  <c r="J145" i="88"/>
  <c r="K145" i="88"/>
  <c r="L145" i="88"/>
  <c r="M145" i="88"/>
  <c r="N145" i="88"/>
  <c r="F146" i="88"/>
  <c r="G146" i="88"/>
  <c r="H146" i="88"/>
  <c r="I146" i="88"/>
  <c r="J146" i="88"/>
  <c r="K146" i="88"/>
  <c r="L146" i="88"/>
  <c r="M146" i="88"/>
  <c r="N146" i="88"/>
  <c r="F147" i="88"/>
  <c r="G147" i="88"/>
  <c r="H147" i="88"/>
  <c r="I147" i="88"/>
  <c r="J147" i="88"/>
  <c r="K147" i="88"/>
  <c r="L147" i="88"/>
  <c r="M147" i="88"/>
  <c r="N147" i="88"/>
  <c r="F5" i="87"/>
  <c r="G5" i="87" s="1"/>
  <c r="H5" i="87" s="1"/>
  <c r="I5" i="87" s="1"/>
  <c r="J5" i="87" s="1"/>
  <c r="K5" i="87" s="1"/>
  <c r="L5" i="87" s="1"/>
  <c r="M5" i="87" s="1"/>
  <c r="N5" i="87" s="1"/>
  <c r="O5" i="87" s="1"/>
  <c r="P5" i="87" s="1"/>
  <c r="Q5" i="87" s="1"/>
  <c r="R5" i="87" s="1"/>
  <c r="S5" i="87" s="1"/>
  <c r="D7" i="87"/>
  <c r="E7" i="87"/>
  <c r="F7" i="87"/>
  <c r="G7" i="87"/>
  <c r="H7" i="87"/>
  <c r="H9" i="87" s="1"/>
  <c r="H14" i="87" s="1"/>
  <c r="I7" i="87"/>
  <c r="I9" i="87" s="1"/>
  <c r="J7" i="87"/>
  <c r="J9" i="87" s="1"/>
  <c r="K7" i="87"/>
  <c r="K9" i="87" s="1"/>
  <c r="L7" i="87"/>
  <c r="M7" i="87"/>
  <c r="N7" i="87"/>
  <c r="N9" i="87" s="1"/>
  <c r="N14" i="87" s="1"/>
  <c r="D8" i="87"/>
  <c r="E8" i="87"/>
  <c r="F8" i="87"/>
  <c r="G8" i="87"/>
  <c r="H8" i="87"/>
  <c r="I8" i="87"/>
  <c r="J8" i="87"/>
  <c r="K8" i="87"/>
  <c r="L8" i="87"/>
  <c r="M8" i="87"/>
  <c r="N8" i="87"/>
  <c r="F9" i="87"/>
  <c r="G9" i="87"/>
  <c r="G14" i="87" s="1"/>
  <c r="G21" i="87" s="1"/>
  <c r="D11" i="87"/>
  <c r="E11" i="87"/>
  <c r="F11" i="87"/>
  <c r="G11" i="87"/>
  <c r="H11" i="87"/>
  <c r="I11" i="87"/>
  <c r="J11" i="87"/>
  <c r="K11" i="87"/>
  <c r="L11" i="87"/>
  <c r="M11" i="87"/>
  <c r="N11" i="87"/>
  <c r="D12" i="87"/>
  <c r="E12" i="87"/>
  <c r="F12" i="87"/>
  <c r="G12" i="87"/>
  <c r="H12" i="87"/>
  <c r="I12" i="87"/>
  <c r="J12" i="87"/>
  <c r="K12" i="87"/>
  <c r="L12" i="87"/>
  <c r="M12" i="87"/>
  <c r="N12" i="87"/>
  <c r="D13" i="87"/>
  <c r="E13" i="87"/>
  <c r="F13" i="87"/>
  <c r="G13" i="87"/>
  <c r="H13" i="87"/>
  <c r="I13" i="87"/>
  <c r="J13" i="87"/>
  <c r="K13" i="87"/>
  <c r="L13" i="87"/>
  <c r="M13" i="87"/>
  <c r="N13" i="87"/>
  <c r="D14" i="87"/>
  <c r="D16" i="87"/>
  <c r="E16" i="87"/>
  <c r="F16" i="87"/>
  <c r="F107" i="87" s="1"/>
  <c r="G16" i="87"/>
  <c r="H16" i="87"/>
  <c r="H107" i="87" s="1"/>
  <c r="I16" i="87"/>
  <c r="J16" i="87"/>
  <c r="J107" i="87" s="1"/>
  <c r="K16" i="87"/>
  <c r="K107" i="87" s="1"/>
  <c r="L16" i="87"/>
  <c r="L107" i="87" s="1"/>
  <c r="M16" i="87"/>
  <c r="M107" i="87" s="1"/>
  <c r="N16" i="87"/>
  <c r="N107" i="87" s="1"/>
  <c r="D17" i="87"/>
  <c r="E17" i="87"/>
  <c r="E106" i="87" s="1"/>
  <c r="F17" i="87"/>
  <c r="F106" i="87" s="1"/>
  <c r="G17" i="87"/>
  <c r="H17" i="87"/>
  <c r="I17" i="87"/>
  <c r="J17" i="87"/>
  <c r="J106" i="87" s="1"/>
  <c r="K17" i="87"/>
  <c r="K106" i="87" s="1"/>
  <c r="L17" i="87"/>
  <c r="L106" i="87" s="1"/>
  <c r="M17" i="87"/>
  <c r="M106" i="87" s="1"/>
  <c r="N17" i="87"/>
  <c r="N106" i="87" s="1"/>
  <c r="D18" i="87"/>
  <c r="E18" i="87"/>
  <c r="F18" i="87"/>
  <c r="G18" i="87"/>
  <c r="H18" i="87"/>
  <c r="I18" i="87"/>
  <c r="J18" i="87"/>
  <c r="K18" i="87"/>
  <c r="L18" i="87"/>
  <c r="M18" i="87"/>
  <c r="N18" i="87"/>
  <c r="D19" i="87"/>
  <c r="E19" i="87"/>
  <c r="F19" i="87"/>
  <c r="G19" i="87"/>
  <c r="H19" i="87"/>
  <c r="I19" i="87"/>
  <c r="J19" i="87"/>
  <c r="K19" i="87"/>
  <c r="L19" i="87"/>
  <c r="M19" i="87"/>
  <c r="N19" i="87"/>
  <c r="D20" i="87"/>
  <c r="E20" i="87"/>
  <c r="F20" i="87"/>
  <c r="G20" i="87"/>
  <c r="H20" i="87"/>
  <c r="I20" i="87"/>
  <c r="J20" i="87"/>
  <c r="K20" i="87"/>
  <c r="L20" i="87"/>
  <c r="M20" i="87"/>
  <c r="N20" i="87"/>
  <c r="D21" i="87"/>
  <c r="D23" i="87"/>
  <c r="E23" i="87"/>
  <c r="F23" i="87"/>
  <c r="G23" i="87"/>
  <c r="H23" i="87"/>
  <c r="I23" i="87"/>
  <c r="J23" i="87"/>
  <c r="K23" i="87"/>
  <c r="L23" i="87"/>
  <c r="M23" i="87"/>
  <c r="N23" i="87"/>
  <c r="D24" i="87"/>
  <c r="E24" i="87"/>
  <c r="F24" i="87"/>
  <c r="G24" i="87"/>
  <c r="H24" i="87"/>
  <c r="I24" i="87"/>
  <c r="J24" i="87"/>
  <c r="K24" i="87"/>
  <c r="L24" i="87"/>
  <c r="M24" i="87"/>
  <c r="N24" i="87"/>
  <c r="D25" i="87"/>
  <c r="E25" i="87"/>
  <c r="F25" i="87"/>
  <c r="G25" i="87"/>
  <c r="H25" i="87"/>
  <c r="I25" i="87"/>
  <c r="J25" i="87"/>
  <c r="K25" i="87"/>
  <c r="L25" i="87"/>
  <c r="M25" i="87"/>
  <c r="N25" i="87"/>
  <c r="D26" i="87"/>
  <c r="E26" i="87"/>
  <c r="F26" i="87"/>
  <c r="G26" i="87"/>
  <c r="H26" i="87"/>
  <c r="I26" i="87"/>
  <c r="J26" i="87"/>
  <c r="K26" i="87"/>
  <c r="L26" i="87"/>
  <c r="M26" i="87"/>
  <c r="N26" i="87"/>
  <c r="D27" i="87"/>
  <c r="E27" i="87"/>
  <c r="F27" i="87"/>
  <c r="G27" i="87"/>
  <c r="H27" i="87"/>
  <c r="I27" i="87"/>
  <c r="J27" i="87"/>
  <c r="K27" i="87"/>
  <c r="L27" i="87"/>
  <c r="M27" i="87"/>
  <c r="N27" i="87"/>
  <c r="D28" i="87"/>
  <c r="E28" i="87"/>
  <c r="F28" i="87"/>
  <c r="G28" i="87"/>
  <c r="H28" i="87"/>
  <c r="I28" i="87"/>
  <c r="J28" i="87"/>
  <c r="K28" i="87"/>
  <c r="L28" i="87"/>
  <c r="M28" i="87"/>
  <c r="N28" i="87"/>
  <c r="D29" i="87"/>
  <c r="E29" i="87"/>
  <c r="F29" i="87"/>
  <c r="G29" i="87"/>
  <c r="H29" i="87"/>
  <c r="I29" i="87"/>
  <c r="J29" i="87"/>
  <c r="K29" i="87"/>
  <c r="L29" i="87"/>
  <c r="M29" i="87"/>
  <c r="N29" i="87"/>
  <c r="D30" i="87"/>
  <c r="D32" i="87"/>
  <c r="E32" i="87"/>
  <c r="F32" i="87"/>
  <c r="F108" i="87" s="1"/>
  <c r="G32" i="87"/>
  <c r="H32" i="87"/>
  <c r="H108" i="87" s="1"/>
  <c r="I32" i="87"/>
  <c r="J32" i="87"/>
  <c r="K32" i="87"/>
  <c r="L32" i="87"/>
  <c r="M32" i="87"/>
  <c r="N32" i="87"/>
  <c r="N108" i="87" s="1"/>
  <c r="D33" i="87"/>
  <c r="E33" i="87"/>
  <c r="F33" i="87"/>
  <c r="G33" i="87"/>
  <c r="H33" i="87"/>
  <c r="I33" i="87"/>
  <c r="J33" i="87"/>
  <c r="K33" i="87"/>
  <c r="L33" i="87"/>
  <c r="M33" i="87"/>
  <c r="N33" i="87"/>
  <c r="D34" i="87"/>
  <c r="E38" i="87"/>
  <c r="F38" i="87"/>
  <c r="G38" i="87"/>
  <c r="H38" i="87"/>
  <c r="I38" i="87"/>
  <c r="J38" i="87"/>
  <c r="K38" i="87"/>
  <c r="L38" i="87"/>
  <c r="M38" i="87"/>
  <c r="N38" i="87"/>
  <c r="E39" i="87"/>
  <c r="F39" i="87"/>
  <c r="G39" i="87"/>
  <c r="H39" i="87"/>
  <c r="I39" i="87"/>
  <c r="J39" i="87"/>
  <c r="K39" i="87"/>
  <c r="L39" i="87"/>
  <c r="M39" i="87"/>
  <c r="N39" i="87"/>
  <c r="E40" i="87"/>
  <c r="F40" i="87"/>
  <c r="G40" i="87"/>
  <c r="H40" i="87"/>
  <c r="I40" i="87"/>
  <c r="J40" i="87"/>
  <c r="K40" i="87"/>
  <c r="L40" i="87"/>
  <c r="M40" i="87"/>
  <c r="N40" i="87"/>
  <c r="E41" i="87"/>
  <c r="F41" i="87"/>
  <c r="G41" i="87"/>
  <c r="H41" i="87"/>
  <c r="I41" i="87"/>
  <c r="J41" i="87"/>
  <c r="K41" i="87"/>
  <c r="L41" i="87"/>
  <c r="M41" i="87"/>
  <c r="N41" i="87"/>
  <c r="E42" i="87"/>
  <c r="F42" i="87"/>
  <c r="G42" i="87"/>
  <c r="H42" i="87"/>
  <c r="I42" i="87"/>
  <c r="J42" i="87"/>
  <c r="K42" i="87"/>
  <c r="L42" i="87"/>
  <c r="M42" i="87"/>
  <c r="N42" i="87"/>
  <c r="E43" i="87"/>
  <c r="F43" i="87"/>
  <c r="G43" i="87"/>
  <c r="H43" i="87"/>
  <c r="I43" i="87"/>
  <c r="J43" i="87"/>
  <c r="K43" i="87"/>
  <c r="L43" i="87"/>
  <c r="M43" i="87"/>
  <c r="N43" i="87"/>
  <c r="E44" i="87"/>
  <c r="F44" i="87"/>
  <c r="G44" i="87"/>
  <c r="H44" i="87"/>
  <c r="I44" i="87"/>
  <c r="J44" i="87"/>
  <c r="K44" i="87"/>
  <c r="L44" i="87"/>
  <c r="M44" i="87"/>
  <c r="N44" i="87"/>
  <c r="E45" i="87"/>
  <c r="F45" i="87"/>
  <c r="G45" i="87"/>
  <c r="H45" i="87"/>
  <c r="I45" i="87"/>
  <c r="J45" i="87"/>
  <c r="K45" i="87"/>
  <c r="L45" i="87"/>
  <c r="M45" i="87"/>
  <c r="N45" i="87"/>
  <c r="D52" i="87"/>
  <c r="E52" i="87"/>
  <c r="F52" i="87"/>
  <c r="G52" i="87"/>
  <c r="H52" i="87"/>
  <c r="I52" i="87"/>
  <c r="J52" i="87"/>
  <c r="K52" i="87"/>
  <c r="L52" i="87"/>
  <c r="M52" i="87"/>
  <c r="N52" i="87"/>
  <c r="D53" i="87"/>
  <c r="E53" i="87"/>
  <c r="E58" i="87" s="1"/>
  <c r="F53" i="87"/>
  <c r="G53" i="87"/>
  <c r="H53" i="87"/>
  <c r="I53" i="87"/>
  <c r="J53" i="87"/>
  <c r="K53" i="87"/>
  <c r="L53" i="87"/>
  <c r="M53" i="87"/>
  <c r="N53" i="87"/>
  <c r="D54" i="87"/>
  <c r="E54" i="87"/>
  <c r="F54" i="87"/>
  <c r="G54" i="87"/>
  <c r="H54" i="87"/>
  <c r="I54" i="87"/>
  <c r="J54" i="87"/>
  <c r="K54" i="87"/>
  <c r="L54" i="87"/>
  <c r="M54" i="87"/>
  <c r="N54" i="87"/>
  <c r="D55" i="87"/>
  <c r="E55" i="87"/>
  <c r="F55" i="87"/>
  <c r="G55" i="87"/>
  <c r="H55" i="87"/>
  <c r="I55" i="87"/>
  <c r="J55" i="87"/>
  <c r="K55" i="87"/>
  <c r="L55" i="87"/>
  <c r="M55" i="87"/>
  <c r="N55" i="87"/>
  <c r="D56" i="87"/>
  <c r="E56" i="87"/>
  <c r="F56" i="87"/>
  <c r="G56" i="87"/>
  <c r="H56" i="87"/>
  <c r="I56" i="87"/>
  <c r="J56" i="87"/>
  <c r="K56" i="87"/>
  <c r="L56" i="87"/>
  <c r="L58" i="87" s="1"/>
  <c r="M56" i="87"/>
  <c r="N56" i="87"/>
  <c r="D57" i="87"/>
  <c r="E57" i="87"/>
  <c r="F57" i="87"/>
  <c r="G57" i="87"/>
  <c r="H57" i="87"/>
  <c r="I57" i="87"/>
  <c r="J57" i="87"/>
  <c r="K57" i="87"/>
  <c r="L57" i="87"/>
  <c r="M57" i="87"/>
  <c r="N57" i="87"/>
  <c r="D60" i="87"/>
  <c r="E60" i="87"/>
  <c r="F60" i="87"/>
  <c r="G60" i="87"/>
  <c r="H60" i="87"/>
  <c r="H69" i="87" s="1"/>
  <c r="I60" i="87"/>
  <c r="J60" i="87"/>
  <c r="K60" i="87"/>
  <c r="L60" i="87"/>
  <c r="M60" i="87"/>
  <c r="N60" i="87"/>
  <c r="D61" i="87"/>
  <c r="E61" i="87"/>
  <c r="F61" i="87"/>
  <c r="G61" i="87"/>
  <c r="H61" i="87"/>
  <c r="I61" i="87"/>
  <c r="J61" i="87"/>
  <c r="K61" i="87"/>
  <c r="L61" i="87"/>
  <c r="M61" i="87"/>
  <c r="N61" i="87"/>
  <c r="D62" i="87"/>
  <c r="E62" i="87"/>
  <c r="F62" i="87"/>
  <c r="G62" i="87"/>
  <c r="H62" i="87"/>
  <c r="I62" i="87"/>
  <c r="J62" i="87"/>
  <c r="K62" i="87"/>
  <c r="L62" i="87"/>
  <c r="M62" i="87"/>
  <c r="N62" i="87"/>
  <c r="D63" i="87"/>
  <c r="E63" i="87"/>
  <c r="F63" i="87"/>
  <c r="G63" i="87"/>
  <c r="H63" i="87"/>
  <c r="I63" i="87"/>
  <c r="J63" i="87"/>
  <c r="K63" i="87"/>
  <c r="L63" i="87"/>
  <c r="M63" i="87"/>
  <c r="N63" i="87"/>
  <c r="D64" i="87"/>
  <c r="E64" i="87"/>
  <c r="F64" i="87"/>
  <c r="G64" i="87"/>
  <c r="H64" i="87"/>
  <c r="I64" i="87"/>
  <c r="J64" i="87"/>
  <c r="K64" i="87"/>
  <c r="L64" i="87"/>
  <c r="M64" i="87"/>
  <c r="N64" i="87"/>
  <c r="D65" i="87"/>
  <c r="E65" i="87"/>
  <c r="F65" i="87"/>
  <c r="G65" i="87"/>
  <c r="H65" i="87"/>
  <c r="I65" i="87"/>
  <c r="J65" i="87"/>
  <c r="K65" i="87"/>
  <c r="L65" i="87"/>
  <c r="M65" i="87"/>
  <c r="N65" i="87"/>
  <c r="D66" i="87"/>
  <c r="E66" i="87"/>
  <c r="F66" i="87"/>
  <c r="G66" i="87"/>
  <c r="H66" i="87"/>
  <c r="I66" i="87"/>
  <c r="J66" i="87"/>
  <c r="K66" i="87"/>
  <c r="L66" i="87"/>
  <c r="M66" i="87"/>
  <c r="N66" i="87"/>
  <c r="D67" i="87"/>
  <c r="E67" i="87"/>
  <c r="F67" i="87"/>
  <c r="G67" i="87"/>
  <c r="H67" i="87"/>
  <c r="I67" i="87"/>
  <c r="J67" i="87"/>
  <c r="K67" i="87"/>
  <c r="L67" i="87"/>
  <c r="M67" i="87"/>
  <c r="N67" i="87"/>
  <c r="D68" i="87"/>
  <c r="E68" i="87"/>
  <c r="F68" i="87"/>
  <c r="G68" i="87"/>
  <c r="H68" i="87"/>
  <c r="I68" i="87"/>
  <c r="J68" i="87"/>
  <c r="K68" i="87"/>
  <c r="L68" i="87"/>
  <c r="M68" i="87"/>
  <c r="N68" i="87"/>
  <c r="D73" i="87"/>
  <c r="E73" i="87"/>
  <c r="E78" i="87" s="1"/>
  <c r="F73" i="87"/>
  <c r="G73" i="87"/>
  <c r="H73" i="87"/>
  <c r="I73" i="87"/>
  <c r="J73" i="87"/>
  <c r="K73" i="87"/>
  <c r="L73" i="87"/>
  <c r="M73" i="87"/>
  <c r="N73" i="87"/>
  <c r="D74" i="87"/>
  <c r="E74" i="87"/>
  <c r="F74" i="87"/>
  <c r="G74" i="87"/>
  <c r="H74" i="87"/>
  <c r="I74" i="87"/>
  <c r="J74" i="87"/>
  <c r="K74" i="87"/>
  <c r="L74" i="87"/>
  <c r="L78" i="87" s="1"/>
  <c r="M74" i="87"/>
  <c r="N74" i="87"/>
  <c r="D75" i="87"/>
  <c r="E75" i="87"/>
  <c r="F75" i="87"/>
  <c r="G75" i="87"/>
  <c r="H75" i="87"/>
  <c r="I75" i="87"/>
  <c r="J75" i="87"/>
  <c r="K75" i="87"/>
  <c r="L75" i="87"/>
  <c r="M75" i="87"/>
  <c r="N75" i="87"/>
  <c r="D76" i="87"/>
  <c r="E76" i="87"/>
  <c r="F76" i="87"/>
  <c r="G76" i="87"/>
  <c r="H76" i="87"/>
  <c r="I76" i="87"/>
  <c r="J76" i="87"/>
  <c r="K76" i="87"/>
  <c r="L76" i="87"/>
  <c r="M76" i="87"/>
  <c r="N76" i="87"/>
  <c r="D77" i="87"/>
  <c r="E77" i="87"/>
  <c r="F77" i="87"/>
  <c r="G77" i="87"/>
  <c r="H77" i="87"/>
  <c r="I77" i="87"/>
  <c r="J77" i="87"/>
  <c r="K77" i="87"/>
  <c r="L77" i="87"/>
  <c r="M77" i="87"/>
  <c r="N77" i="87"/>
  <c r="D80" i="87"/>
  <c r="E80" i="87"/>
  <c r="F80" i="87"/>
  <c r="G80" i="87"/>
  <c r="H80" i="87"/>
  <c r="I80" i="87"/>
  <c r="J80" i="87"/>
  <c r="K80" i="87"/>
  <c r="L80" i="87"/>
  <c r="M80" i="87"/>
  <c r="N80" i="87"/>
  <c r="D81" i="87"/>
  <c r="E81" i="87"/>
  <c r="F81" i="87"/>
  <c r="G81" i="87"/>
  <c r="H81" i="87"/>
  <c r="I81" i="87"/>
  <c r="J81" i="87"/>
  <c r="K81" i="87"/>
  <c r="L81" i="87"/>
  <c r="L86" i="87" s="1"/>
  <c r="M81" i="87"/>
  <c r="N81" i="87"/>
  <c r="D82" i="87"/>
  <c r="E82" i="87"/>
  <c r="F82" i="87"/>
  <c r="G82" i="87"/>
  <c r="H82" i="87"/>
  <c r="I82" i="87"/>
  <c r="J82" i="87"/>
  <c r="K82" i="87"/>
  <c r="L82" i="87"/>
  <c r="M82" i="87"/>
  <c r="N82" i="87"/>
  <c r="D83" i="87"/>
  <c r="E83" i="87"/>
  <c r="F83" i="87"/>
  <c r="G83" i="87"/>
  <c r="H83" i="87"/>
  <c r="I83" i="87"/>
  <c r="J83" i="87"/>
  <c r="K83" i="87"/>
  <c r="L83" i="87"/>
  <c r="M83" i="87"/>
  <c r="N83" i="87"/>
  <c r="D84" i="87"/>
  <c r="E84" i="87"/>
  <c r="F84" i="87"/>
  <c r="G84" i="87"/>
  <c r="H84" i="87"/>
  <c r="I84" i="87"/>
  <c r="J84" i="87"/>
  <c r="K84" i="87"/>
  <c r="L84" i="87"/>
  <c r="M84" i="87"/>
  <c r="N84" i="87"/>
  <c r="D85" i="87"/>
  <c r="E85" i="87"/>
  <c r="F85" i="87"/>
  <c r="G85" i="87"/>
  <c r="H85" i="87"/>
  <c r="H86" i="87" s="1"/>
  <c r="I85" i="87"/>
  <c r="J85" i="87"/>
  <c r="K85" i="87"/>
  <c r="L85" i="87"/>
  <c r="M85" i="87"/>
  <c r="N85" i="87"/>
  <c r="I86" i="87"/>
  <c r="D88" i="87"/>
  <c r="E88" i="87"/>
  <c r="F88" i="87"/>
  <c r="G88" i="87"/>
  <c r="G96" i="87" s="1"/>
  <c r="H88" i="87"/>
  <c r="I88" i="87"/>
  <c r="J88" i="87"/>
  <c r="K88" i="87"/>
  <c r="K96" i="87" s="1"/>
  <c r="L88" i="87"/>
  <c r="M88" i="87"/>
  <c r="N88" i="87"/>
  <c r="D89" i="87"/>
  <c r="E89" i="87"/>
  <c r="F89" i="87"/>
  <c r="G89" i="87"/>
  <c r="H89" i="87"/>
  <c r="H96" i="87" s="1"/>
  <c r="I89" i="87"/>
  <c r="J89" i="87"/>
  <c r="K89" i="87"/>
  <c r="L89" i="87"/>
  <c r="M89" i="87"/>
  <c r="N89" i="87"/>
  <c r="D90" i="87"/>
  <c r="E90" i="87"/>
  <c r="F90" i="87"/>
  <c r="G90" i="87"/>
  <c r="H90" i="87"/>
  <c r="I90" i="87"/>
  <c r="J90" i="87"/>
  <c r="K90" i="87"/>
  <c r="L90" i="87"/>
  <c r="M90" i="87"/>
  <c r="N90" i="87"/>
  <c r="D91" i="87"/>
  <c r="E91" i="87"/>
  <c r="F91" i="87"/>
  <c r="G91" i="87"/>
  <c r="H91" i="87"/>
  <c r="I91" i="87"/>
  <c r="J91" i="87"/>
  <c r="K91" i="87"/>
  <c r="L91" i="87"/>
  <c r="M91" i="87"/>
  <c r="N91" i="87"/>
  <c r="D92" i="87"/>
  <c r="E92" i="87"/>
  <c r="F92" i="87"/>
  <c r="G92" i="87"/>
  <c r="H92" i="87"/>
  <c r="I92" i="87"/>
  <c r="J92" i="87"/>
  <c r="K92" i="87"/>
  <c r="L92" i="87"/>
  <c r="M92" i="87"/>
  <c r="N92" i="87"/>
  <c r="D93" i="87"/>
  <c r="E93" i="87"/>
  <c r="F93" i="87"/>
  <c r="G93" i="87"/>
  <c r="H93" i="87"/>
  <c r="I93" i="87"/>
  <c r="J93" i="87"/>
  <c r="K93" i="87"/>
  <c r="L93" i="87"/>
  <c r="M93" i="87"/>
  <c r="N93" i="87"/>
  <c r="D94" i="87"/>
  <c r="E94" i="87"/>
  <c r="F94" i="87"/>
  <c r="G94" i="87"/>
  <c r="H94" i="87"/>
  <c r="I94" i="87"/>
  <c r="J94" i="87"/>
  <c r="K94" i="87"/>
  <c r="L94" i="87"/>
  <c r="M94" i="87"/>
  <c r="N94" i="87"/>
  <c r="D95" i="87"/>
  <c r="E95" i="87"/>
  <c r="F95" i="87"/>
  <c r="G95" i="87"/>
  <c r="H95" i="87"/>
  <c r="I95" i="87"/>
  <c r="J95" i="87"/>
  <c r="K95" i="87"/>
  <c r="L95" i="87"/>
  <c r="M95" i="87"/>
  <c r="N95" i="87"/>
  <c r="G106" i="87"/>
  <c r="H106" i="87"/>
  <c r="I106" i="87"/>
  <c r="E107" i="87"/>
  <c r="G107" i="87"/>
  <c r="E108" i="87"/>
  <c r="I108" i="87"/>
  <c r="J108" i="87"/>
  <c r="K108" i="87"/>
  <c r="L108" i="87"/>
  <c r="M108" i="87"/>
  <c r="E109" i="87"/>
  <c r="F109" i="87"/>
  <c r="G109" i="87"/>
  <c r="H109" i="87"/>
  <c r="I109" i="87"/>
  <c r="J109" i="87"/>
  <c r="K109" i="87"/>
  <c r="L109" i="87"/>
  <c r="M109" i="87"/>
  <c r="N109" i="87"/>
  <c r="E110" i="87"/>
  <c r="F110" i="87"/>
  <c r="G110" i="87"/>
  <c r="H110" i="87"/>
  <c r="I110" i="87"/>
  <c r="J110" i="87"/>
  <c r="K110" i="87"/>
  <c r="L110" i="87"/>
  <c r="M110" i="87"/>
  <c r="N110" i="87"/>
  <c r="E111" i="87"/>
  <c r="F111" i="87"/>
  <c r="G111" i="87"/>
  <c r="H111" i="87"/>
  <c r="I111" i="87"/>
  <c r="J111" i="87"/>
  <c r="K111" i="87"/>
  <c r="L111" i="87"/>
  <c r="M111" i="87"/>
  <c r="N111" i="87"/>
  <c r="E112" i="87"/>
  <c r="F112" i="87"/>
  <c r="G112" i="87"/>
  <c r="H112" i="87"/>
  <c r="I112" i="87"/>
  <c r="J112" i="87"/>
  <c r="K112" i="87"/>
  <c r="L112" i="87"/>
  <c r="M112" i="87"/>
  <c r="N112" i="87"/>
  <c r="E113" i="87"/>
  <c r="F113" i="87"/>
  <c r="G113" i="87"/>
  <c r="H113" i="87"/>
  <c r="I113" i="87"/>
  <c r="J113" i="87"/>
  <c r="K113" i="87"/>
  <c r="L113" i="87"/>
  <c r="M113" i="87"/>
  <c r="N113" i="87"/>
  <c r="E114" i="87"/>
  <c r="F114" i="87"/>
  <c r="G114" i="87"/>
  <c r="H114" i="87"/>
  <c r="I114" i="87"/>
  <c r="J114" i="87"/>
  <c r="K114" i="87"/>
  <c r="L114" i="87"/>
  <c r="M114" i="87"/>
  <c r="N114" i="87"/>
  <c r="E115" i="87"/>
  <c r="F115" i="87"/>
  <c r="G115" i="87"/>
  <c r="H115" i="87"/>
  <c r="I115" i="87"/>
  <c r="J115" i="87"/>
  <c r="K115" i="87"/>
  <c r="L115" i="87"/>
  <c r="M115" i="87"/>
  <c r="N115" i="87"/>
  <c r="E116" i="87"/>
  <c r="F116" i="87"/>
  <c r="G116" i="87"/>
  <c r="H116" i="87"/>
  <c r="I116" i="87"/>
  <c r="J116" i="87"/>
  <c r="K116" i="87"/>
  <c r="L116" i="87"/>
  <c r="M116" i="87"/>
  <c r="N116" i="87"/>
  <c r="E117" i="87"/>
  <c r="F117" i="87"/>
  <c r="G117" i="87"/>
  <c r="H117" i="87"/>
  <c r="I117" i="87"/>
  <c r="J117" i="87"/>
  <c r="K117" i="87"/>
  <c r="L117" i="87"/>
  <c r="M117" i="87"/>
  <c r="N117" i="87"/>
  <c r="E118" i="87"/>
  <c r="F118" i="87"/>
  <c r="G118" i="87"/>
  <c r="H118" i="87"/>
  <c r="I118" i="87"/>
  <c r="J118" i="87"/>
  <c r="K118" i="87"/>
  <c r="L118" i="87"/>
  <c r="M118" i="87"/>
  <c r="N118" i="87"/>
  <c r="E119" i="87"/>
  <c r="F119" i="87"/>
  <c r="G119" i="87"/>
  <c r="H119" i="87"/>
  <c r="I119" i="87"/>
  <c r="J119" i="87"/>
  <c r="K119" i="87"/>
  <c r="L119" i="87"/>
  <c r="M119" i="87"/>
  <c r="N119" i="87"/>
  <c r="E120" i="87"/>
  <c r="F120" i="87"/>
  <c r="G120" i="87"/>
  <c r="H120" i="87"/>
  <c r="I120" i="87"/>
  <c r="J120" i="87"/>
  <c r="K120" i="87"/>
  <c r="L120" i="87"/>
  <c r="M120" i="87"/>
  <c r="N120" i="87"/>
  <c r="E123" i="87"/>
  <c r="E129" i="87" s="1"/>
  <c r="F123" i="87"/>
  <c r="F129" i="87" s="1"/>
  <c r="G123" i="87"/>
  <c r="G129" i="87" s="1"/>
  <c r="H123" i="87"/>
  <c r="H129" i="87" s="1"/>
  <c r="I123" i="87"/>
  <c r="I129" i="87" s="1"/>
  <c r="J123" i="87"/>
  <c r="K123" i="87"/>
  <c r="L123" i="87"/>
  <c r="L129" i="87" s="1"/>
  <c r="M123" i="87"/>
  <c r="M129" i="87" s="1"/>
  <c r="N123" i="87"/>
  <c r="N129" i="87" s="1"/>
  <c r="E124" i="87"/>
  <c r="E125" i="87"/>
  <c r="E126" i="87"/>
  <c r="E127" i="87"/>
  <c r="E128" i="87"/>
  <c r="J129" i="87"/>
  <c r="K129" i="87"/>
  <c r="E131" i="87"/>
  <c r="F131" i="87"/>
  <c r="G131" i="87"/>
  <c r="H131" i="87"/>
  <c r="I131" i="87"/>
  <c r="J131" i="87"/>
  <c r="K131" i="87"/>
  <c r="L131" i="87"/>
  <c r="M131" i="87"/>
  <c r="N131" i="87"/>
  <c r="E132" i="87"/>
  <c r="F132" i="87"/>
  <c r="G132" i="87"/>
  <c r="H132" i="87"/>
  <c r="I132" i="87"/>
  <c r="J132" i="87"/>
  <c r="K132" i="87"/>
  <c r="L132" i="87"/>
  <c r="M132" i="87"/>
  <c r="N132" i="87"/>
  <c r="E133" i="87"/>
  <c r="F133" i="87"/>
  <c r="G133" i="87"/>
  <c r="H133" i="87"/>
  <c r="I133" i="87"/>
  <c r="J133" i="87"/>
  <c r="K133" i="87"/>
  <c r="L133" i="87"/>
  <c r="M133" i="87"/>
  <c r="N133" i="87"/>
  <c r="E134" i="87"/>
  <c r="F134" i="87"/>
  <c r="G134" i="87"/>
  <c r="H134" i="87"/>
  <c r="I134" i="87"/>
  <c r="J134" i="87"/>
  <c r="K134" i="87"/>
  <c r="L134" i="87"/>
  <c r="M134" i="87"/>
  <c r="N134" i="87"/>
  <c r="E135" i="87"/>
  <c r="F135" i="87"/>
  <c r="G135" i="87"/>
  <c r="H135" i="87"/>
  <c r="I135" i="87"/>
  <c r="J135" i="87"/>
  <c r="K135" i="87"/>
  <c r="L135" i="87"/>
  <c r="M135" i="87"/>
  <c r="N135" i="87"/>
  <c r="E136" i="87"/>
  <c r="F136" i="87"/>
  <c r="G136" i="87"/>
  <c r="H136" i="87"/>
  <c r="I136" i="87"/>
  <c r="J136" i="87"/>
  <c r="K136" i="87"/>
  <c r="L136" i="87"/>
  <c r="M136" i="87"/>
  <c r="N136" i="87"/>
  <c r="E137" i="87"/>
  <c r="F137" i="87"/>
  <c r="G137" i="87"/>
  <c r="H137" i="87"/>
  <c r="I137" i="87"/>
  <c r="J137" i="87"/>
  <c r="K137" i="87"/>
  <c r="L137" i="87"/>
  <c r="M137" i="87"/>
  <c r="N137" i="87"/>
  <c r="E138" i="87"/>
  <c r="F138" i="87"/>
  <c r="G138" i="87"/>
  <c r="H138" i="87"/>
  <c r="I138" i="87"/>
  <c r="J138" i="87"/>
  <c r="K138" i="87"/>
  <c r="L138" i="87"/>
  <c r="M138" i="87"/>
  <c r="N138" i="87"/>
  <c r="G139" i="87"/>
  <c r="E143" i="87"/>
  <c r="F143" i="87"/>
  <c r="G143" i="87"/>
  <c r="H143" i="87"/>
  <c r="I143" i="87"/>
  <c r="J143" i="87"/>
  <c r="K143" i="87"/>
  <c r="L143" i="87"/>
  <c r="M143" i="87"/>
  <c r="N143" i="87"/>
  <c r="F6" i="86"/>
  <c r="G6" i="86"/>
  <c r="H6" i="86"/>
  <c r="I6" i="86"/>
  <c r="J6" i="86"/>
  <c r="K6" i="86"/>
  <c r="L6" i="86"/>
  <c r="M6" i="86" s="1"/>
  <c r="N6" i="86" s="1"/>
  <c r="O6" i="86" s="1"/>
  <c r="P6" i="86" s="1"/>
  <c r="Q6" i="86" s="1"/>
  <c r="R6" i="86" s="1"/>
  <c r="S6" i="86" s="1"/>
  <c r="G9" i="86"/>
  <c r="H9" i="86"/>
  <c r="I9" i="86"/>
  <c r="J9" i="86"/>
  <c r="K9" i="86"/>
  <c r="K12" i="86" s="1"/>
  <c r="K15" i="86" s="1"/>
  <c r="L9" i="86"/>
  <c r="L12" i="86" s="1"/>
  <c r="L15" i="86" s="1"/>
  <c r="L21" i="86" s="1"/>
  <c r="M9" i="86"/>
  <c r="M12" i="86" s="1"/>
  <c r="M15" i="86" s="1"/>
  <c r="M21" i="86" s="1"/>
  <c r="G10" i="86"/>
  <c r="H10" i="86"/>
  <c r="I10" i="86"/>
  <c r="J10" i="86"/>
  <c r="K10" i="86"/>
  <c r="L10" i="86"/>
  <c r="M10" i="86"/>
  <c r="G11" i="86"/>
  <c r="H11" i="86"/>
  <c r="I11" i="86"/>
  <c r="J11" i="86"/>
  <c r="K11" i="86"/>
  <c r="L11" i="86"/>
  <c r="M11" i="86"/>
  <c r="J12" i="86"/>
  <c r="J15" i="86" s="1"/>
  <c r="G14" i="86"/>
  <c r="H14" i="86"/>
  <c r="I14" i="86"/>
  <c r="J14" i="86"/>
  <c r="K14" i="86"/>
  <c r="L14" i="86"/>
  <c r="M14" i="86"/>
  <c r="G17" i="86"/>
  <c r="H17" i="86"/>
  <c r="I17" i="86"/>
  <c r="J17" i="86"/>
  <c r="K17" i="86"/>
  <c r="L17" i="86"/>
  <c r="M17" i="86"/>
  <c r="G18" i="86"/>
  <c r="H18" i="86"/>
  <c r="I18" i="86"/>
  <c r="J18" i="86"/>
  <c r="K18" i="86"/>
  <c r="L18" i="86"/>
  <c r="M18" i="86"/>
  <c r="G19" i="86"/>
  <c r="H19" i="86"/>
  <c r="I19" i="86"/>
  <c r="J19" i="86"/>
  <c r="K19" i="86"/>
  <c r="L19" i="86"/>
  <c r="M19" i="86"/>
  <c r="G20" i="86"/>
  <c r="H20" i="86"/>
  <c r="I20" i="86"/>
  <c r="J20" i="86"/>
  <c r="K20" i="86"/>
  <c r="L20" i="86"/>
  <c r="M20" i="86"/>
  <c r="G24" i="86"/>
  <c r="H24" i="86"/>
  <c r="I24" i="86"/>
  <c r="J24" i="86"/>
  <c r="K24" i="86"/>
  <c r="L24" i="86"/>
  <c r="M24" i="86"/>
  <c r="G25" i="86"/>
  <c r="H25" i="86"/>
  <c r="I25" i="86"/>
  <c r="J25" i="86"/>
  <c r="K25" i="86"/>
  <c r="L25" i="86"/>
  <c r="M25" i="86"/>
  <c r="G27" i="86"/>
  <c r="H27" i="86"/>
  <c r="G30" i="86"/>
  <c r="H30" i="86"/>
  <c r="I30" i="86"/>
  <c r="J30" i="86"/>
  <c r="K30" i="86"/>
  <c r="L30" i="86"/>
  <c r="M30" i="86"/>
  <c r="G31" i="86"/>
  <c r="H31" i="86"/>
  <c r="I31" i="86"/>
  <c r="J31" i="86"/>
  <c r="K31" i="86"/>
  <c r="L31" i="86"/>
  <c r="M31" i="86"/>
  <c r="F48" i="86"/>
  <c r="G48" i="86"/>
  <c r="G59" i="86" s="1"/>
  <c r="G75" i="86" s="1"/>
  <c r="H48" i="86"/>
  <c r="H59" i="86" s="1"/>
  <c r="H75" i="86" s="1"/>
  <c r="I48" i="86"/>
  <c r="I59" i="86" s="1"/>
  <c r="I75" i="86" s="1"/>
  <c r="J48" i="86"/>
  <c r="K48" i="86"/>
  <c r="K59" i="86" s="1"/>
  <c r="K75" i="86" s="1"/>
  <c r="L48" i="86"/>
  <c r="L59" i="86" s="1"/>
  <c r="L75" i="86" s="1"/>
  <c r="M48" i="86"/>
  <c r="M59" i="86" s="1"/>
  <c r="M75" i="86" s="1"/>
  <c r="F49" i="86"/>
  <c r="G49" i="86"/>
  <c r="H49" i="86"/>
  <c r="I49" i="86"/>
  <c r="J49" i="86"/>
  <c r="K49" i="86"/>
  <c r="L49" i="86"/>
  <c r="M49" i="86"/>
  <c r="F50" i="86"/>
  <c r="G50" i="86"/>
  <c r="H50" i="86"/>
  <c r="I50" i="86"/>
  <c r="J50" i="86"/>
  <c r="K50" i="86"/>
  <c r="L50" i="86"/>
  <c r="M50" i="86"/>
  <c r="F51" i="86"/>
  <c r="G51" i="86"/>
  <c r="H51" i="86"/>
  <c r="I51" i="86"/>
  <c r="J51" i="86"/>
  <c r="K51" i="86"/>
  <c r="L51" i="86"/>
  <c r="M51" i="86"/>
  <c r="F52" i="86"/>
  <c r="G52" i="86"/>
  <c r="H52" i="86"/>
  <c r="I52" i="86"/>
  <c r="J52" i="86"/>
  <c r="K52" i="86"/>
  <c r="L52" i="86"/>
  <c r="M52" i="86"/>
  <c r="F53" i="86"/>
  <c r="G53" i="86"/>
  <c r="H53" i="86"/>
  <c r="I53" i="86"/>
  <c r="J53" i="86"/>
  <c r="K53" i="86"/>
  <c r="L53" i="86"/>
  <c r="M53" i="86"/>
  <c r="F54" i="86"/>
  <c r="G54" i="86"/>
  <c r="H54" i="86"/>
  <c r="I54" i="86"/>
  <c r="J54" i="86"/>
  <c r="K54" i="86"/>
  <c r="L54" i="86"/>
  <c r="M54" i="86"/>
  <c r="F55" i="86"/>
  <c r="G55" i="86"/>
  <c r="H55" i="86"/>
  <c r="I55" i="86"/>
  <c r="J55" i="86"/>
  <c r="K55" i="86"/>
  <c r="L55" i="86"/>
  <c r="M55" i="86"/>
  <c r="F56" i="86"/>
  <c r="G56" i="86"/>
  <c r="H56" i="86"/>
  <c r="I56" i="86"/>
  <c r="J56" i="86"/>
  <c r="K56" i="86"/>
  <c r="L56" i="86"/>
  <c r="M56" i="86"/>
  <c r="F57" i="86"/>
  <c r="G57" i="86"/>
  <c r="H57" i="86"/>
  <c r="I57" i="86"/>
  <c r="J57" i="86"/>
  <c r="K57" i="86"/>
  <c r="L57" i="86"/>
  <c r="M57" i="86"/>
  <c r="F58" i="86"/>
  <c r="F59" i="86" s="1"/>
  <c r="G58" i="86"/>
  <c r="H58" i="86"/>
  <c r="I58" i="86"/>
  <c r="J58" i="86"/>
  <c r="K58" i="86"/>
  <c r="L58" i="86"/>
  <c r="M58" i="86"/>
  <c r="F61" i="86"/>
  <c r="G176" i="86" s="1"/>
  <c r="G61" i="86"/>
  <c r="H176" i="86" s="1"/>
  <c r="H61" i="86"/>
  <c r="I61" i="86"/>
  <c r="J61" i="86"/>
  <c r="K61" i="86"/>
  <c r="L61" i="86"/>
  <c r="M61" i="86"/>
  <c r="F62" i="86"/>
  <c r="G62" i="86"/>
  <c r="H62" i="86"/>
  <c r="I62" i="86"/>
  <c r="J62" i="86"/>
  <c r="K62" i="86"/>
  <c r="L62" i="86"/>
  <c r="M62" i="86"/>
  <c r="F63" i="86"/>
  <c r="G63" i="86"/>
  <c r="H63" i="86"/>
  <c r="I63" i="86"/>
  <c r="J63" i="86"/>
  <c r="K63" i="86"/>
  <c r="L63" i="86"/>
  <c r="M63" i="86"/>
  <c r="F64" i="86"/>
  <c r="G64" i="86"/>
  <c r="H64" i="86"/>
  <c r="I64" i="86"/>
  <c r="J64" i="86"/>
  <c r="K64" i="86"/>
  <c r="L64" i="86"/>
  <c r="M64" i="86"/>
  <c r="F65" i="86"/>
  <c r="G65" i="86"/>
  <c r="H65" i="86"/>
  <c r="I65" i="86"/>
  <c r="J65" i="86"/>
  <c r="K65" i="86"/>
  <c r="L65" i="86"/>
  <c r="M65" i="86"/>
  <c r="F66" i="86"/>
  <c r="G66" i="86"/>
  <c r="H66" i="86"/>
  <c r="I66" i="86"/>
  <c r="J66" i="86"/>
  <c r="K66" i="86"/>
  <c r="L66" i="86"/>
  <c r="M66" i="86"/>
  <c r="F67" i="86"/>
  <c r="G67" i="86"/>
  <c r="H67" i="86"/>
  <c r="I67" i="86"/>
  <c r="J67" i="86"/>
  <c r="K67" i="86"/>
  <c r="L67" i="86"/>
  <c r="M67" i="86"/>
  <c r="F68" i="86"/>
  <c r="G68" i="86"/>
  <c r="H68" i="86"/>
  <c r="I68" i="86"/>
  <c r="J68" i="86"/>
  <c r="K68" i="86"/>
  <c r="L68" i="86"/>
  <c r="M68" i="86"/>
  <c r="F69" i="86"/>
  <c r="G69" i="86"/>
  <c r="H69" i="86"/>
  <c r="I69" i="86"/>
  <c r="J69" i="86"/>
  <c r="K69" i="86"/>
  <c r="L69" i="86"/>
  <c r="M69" i="86"/>
  <c r="F70" i="86"/>
  <c r="F73" i="86" s="1"/>
  <c r="G70" i="86"/>
  <c r="H70" i="86"/>
  <c r="I70" i="86"/>
  <c r="J70" i="86"/>
  <c r="K70" i="86"/>
  <c r="L70" i="86"/>
  <c r="M70" i="86"/>
  <c r="F71" i="86"/>
  <c r="G71" i="86"/>
  <c r="H71" i="86"/>
  <c r="I71" i="86"/>
  <c r="J71" i="86"/>
  <c r="K71" i="86"/>
  <c r="L71" i="86"/>
  <c r="M71" i="86"/>
  <c r="F72" i="86"/>
  <c r="G72" i="86"/>
  <c r="H72" i="86"/>
  <c r="I72" i="86"/>
  <c r="J72" i="86"/>
  <c r="K72" i="86"/>
  <c r="L72" i="86"/>
  <c r="M72" i="86"/>
  <c r="G73" i="86"/>
  <c r="H73" i="86"/>
  <c r="I73" i="86"/>
  <c r="J73" i="86"/>
  <c r="K73" i="86"/>
  <c r="L73" i="86"/>
  <c r="M73" i="86"/>
  <c r="F77" i="86"/>
  <c r="G77" i="86"/>
  <c r="G82" i="86" s="1"/>
  <c r="H77" i="86"/>
  <c r="I77" i="86"/>
  <c r="J77" i="86"/>
  <c r="K77" i="86"/>
  <c r="K82" i="86" s="1"/>
  <c r="L77" i="86"/>
  <c r="M77" i="86"/>
  <c r="F78" i="86"/>
  <c r="G78" i="86"/>
  <c r="H78" i="86"/>
  <c r="I78" i="86"/>
  <c r="J78" i="86"/>
  <c r="K78" i="86"/>
  <c r="L78" i="86"/>
  <c r="M78" i="86"/>
  <c r="F79" i="86"/>
  <c r="G79" i="86"/>
  <c r="H79" i="86"/>
  <c r="I79" i="86"/>
  <c r="J79" i="86"/>
  <c r="K79" i="86"/>
  <c r="L79" i="86"/>
  <c r="M79" i="86"/>
  <c r="F80" i="86"/>
  <c r="G80" i="86"/>
  <c r="H80" i="86"/>
  <c r="I80" i="86"/>
  <c r="J80" i="86"/>
  <c r="K80" i="86"/>
  <c r="L80" i="86"/>
  <c r="M80" i="86"/>
  <c r="F81" i="86"/>
  <c r="G81" i="86"/>
  <c r="H81" i="86"/>
  <c r="H82" i="86" s="1"/>
  <c r="I81" i="86"/>
  <c r="J81" i="86"/>
  <c r="K81" i="86"/>
  <c r="L81" i="86"/>
  <c r="M81" i="86"/>
  <c r="M82" i="86" s="1"/>
  <c r="F82" i="86"/>
  <c r="J82" i="86"/>
  <c r="F85" i="86"/>
  <c r="G85" i="86"/>
  <c r="H85" i="86"/>
  <c r="H98" i="86" s="1"/>
  <c r="I85" i="86"/>
  <c r="J85" i="86"/>
  <c r="K85" i="86"/>
  <c r="L85" i="86"/>
  <c r="M85" i="86"/>
  <c r="F86" i="86"/>
  <c r="G86" i="86"/>
  <c r="H86" i="86"/>
  <c r="I86" i="86"/>
  <c r="J86" i="86"/>
  <c r="K86" i="86"/>
  <c r="L86" i="86"/>
  <c r="M86" i="86"/>
  <c r="F87" i="86"/>
  <c r="G87" i="86"/>
  <c r="H87" i="86"/>
  <c r="I87" i="86"/>
  <c r="J87" i="86"/>
  <c r="K87" i="86"/>
  <c r="L87" i="86"/>
  <c r="M87" i="86"/>
  <c r="F88" i="86"/>
  <c r="G88" i="86"/>
  <c r="H88" i="86"/>
  <c r="I88" i="86"/>
  <c r="J88" i="86"/>
  <c r="K88" i="86"/>
  <c r="L88" i="86"/>
  <c r="M88" i="86"/>
  <c r="F89" i="86"/>
  <c r="G89" i="86"/>
  <c r="H89" i="86"/>
  <c r="I89" i="86"/>
  <c r="J89" i="86"/>
  <c r="K89" i="86"/>
  <c r="L89" i="86"/>
  <c r="M89" i="86"/>
  <c r="F90" i="86"/>
  <c r="G90" i="86"/>
  <c r="H90" i="86"/>
  <c r="I90" i="86"/>
  <c r="J90" i="86"/>
  <c r="K90" i="86"/>
  <c r="L90" i="86"/>
  <c r="M90" i="86"/>
  <c r="F91" i="86"/>
  <c r="G91" i="86"/>
  <c r="H91" i="86"/>
  <c r="I91" i="86"/>
  <c r="J91" i="86"/>
  <c r="K91" i="86"/>
  <c r="L91" i="86"/>
  <c r="M91" i="86"/>
  <c r="F92" i="86"/>
  <c r="G92" i="86"/>
  <c r="H92" i="86"/>
  <c r="I92" i="86"/>
  <c r="J92" i="86"/>
  <c r="K92" i="86"/>
  <c r="L92" i="86"/>
  <c r="M92" i="86"/>
  <c r="F93" i="86"/>
  <c r="G93" i="86"/>
  <c r="H93" i="86"/>
  <c r="I93" i="86"/>
  <c r="J93" i="86"/>
  <c r="K93" i="86"/>
  <c r="L93" i="86"/>
  <c r="M93" i="86"/>
  <c r="F94" i="86"/>
  <c r="G94" i="86"/>
  <c r="G98" i="86" s="1"/>
  <c r="H94" i="86"/>
  <c r="I94" i="86"/>
  <c r="J94" i="86"/>
  <c r="K94" i="86"/>
  <c r="L94" i="86"/>
  <c r="M94" i="86"/>
  <c r="F95" i="86"/>
  <c r="G95" i="86"/>
  <c r="H95" i="86"/>
  <c r="I95" i="86"/>
  <c r="J95" i="86"/>
  <c r="K95" i="86"/>
  <c r="L95" i="86"/>
  <c r="M95" i="86"/>
  <c r="F96" i="86"/>
  <c r="G96" i="86"/>
  <c r="H96" i="86"/>
  <c r="I96" i="86"/>
  <c r="J96" i="86"/>
  <c r="K96" i="86"/>
  <c r="K98" i="86" s="1"/>
  <c r="L96" i="86"/>
  <c r="M96" i="86"/>
  <c r="F97" i="86"/>
  <c r="G97" i="86"/>
  <c r="H97" i="86"/>
  <c r="I97" i="86"/>
  <c r="J97" i="86"/>
  <c r="K97" i="86"/>
  <c r="L97" i="86"/>
  <c r="M97" i="86"/>
  <c r="F98" i="86"/>
  <c r="I98" i="86"/>
  <c r="J98" i="86"/>
  <c r="M98" i="86"/>
  <c r="F100" i="86"/>
  <c r="G100" i="86"/>
  <c r="H100" i="86"/>
  <c r="I100" i="86"/>
  <c r="J100" i="86"/>
  <c r="J114" i="86" s="1"/>
  <c r="K100" i="86"/>
  <c r="K114" i="86" s="1"/>
  <c r="L100" i="86"/>
  <c r="L114" i="86" s="1"/>
  <c r="M100" i="86"/>
  <c r="F101" i="86"/>
  <c r="G101" i="86"/>
  <c r="H101" i="86"/>
  <c r="I101" i="86"/>
  <c r="J101" i="86"/>
  <c r="K101" i="86"/>
  <c r="L101" i="86"/>
  <c r="M101" i="86"/>
  <c r="F102" i="86"/>
  <c r="G102" i="86"/>
  <c r="H102" i="86"/>
  <c r="I102" i="86"/>
  <c r="J102" i="86"/>
  <c r="K102" i="86"/>
  <c r="L102" i="86"/>
  <c r="M102" i="86"/>
  <c r="F103" i="86"/>
  <c r="G103" i="86"/>
  <c r="H103" i="86"/>
  <c r="I103" i="86"/>
  <c r="J103" i="86"/>
  <c r="K103" i="86"/>
  <c r="L103" i="86"/>
  <c r="M103" i="86"/>
  <c r="F104" i="86"/>
  <c r="G104" i="86"/>
  <c r="H104" i="86"/>
  <c r="I104" i="86"/>
  <c r="J104" i="86"/>
  <c r="K104" i="86"/>
  <c r="L104" i="86"/>
  <c r="M104" i="86"/>
  <c r="F105" i="86"/>
  <c r="G105" i="86"/>
  <c r="H105" i="86"/>
  <c r="I105" i="86"/>
  <c r="J105" i="86"/>
  <c r="K105" i="86"/>
  <c r="L105" i="86"/>
  <c r="M105" i="86"/>
  <c r="F106" i="86"/>
  <c r="G106" i="86"/>
  <c r="H106" i="86"/>
  <c r="I106" i="86"/>
  <c r="J106" i="86"/>
  <c r="K106" i="86"/>
  <c r="L106" i="86"/>
  <c r="M106" i="86"/>
  <c r="F107" i="86"/>
  <c r="G107" i="86"/>
  <c r="H107" i="86"/>
  <c r="I107" i="86"/>
  <c r="J107" i="86"/>
  <c r="K107" i="86"/>
  <c r="L107" i="86"/>
  <c r="M107" i="86"/>
  <c r="F108" i="86"/>
  <c r="G108" i="86"/>
  <c r="H108" i="86"/>
  <c r="I108" i="86"/>
  <c r="J108" i="86"/>
  <c r="K108" i="86"/>
  <c r="L108" i="86"/>
  <c r="M108" i="86"/>
  <c r="F109" i="86"/>
  <c r="G109" i="86"/>
  <c r="H109" i="86"/>
  <c r="I109" i="86"/>
  <c r="J109" i="86"/>
  <c r="K109" i="86"/>
  <c r="L109" i="86"/>
  <c r="M109" i="86"/>
  <c r="F110" i="86"/>
  <c r="G110" i="86"/>
  <c r="H110" i="86"/>
  <c r="I110" i="86"/>
  <c r="J110" i="86"/>
  <c r="K110" i="86"/>
  <c r="L110" i="86"/>
  <c r="M110" i="86"/>
  <c r="F111" i="86"/>
  <c r="G111" i="86"/>
  <c r="H111" i="86"/>
  <c r="I111" i="86"/>
  <c r="J111" i="86"/>
  <c r="K111" i="86"/>
  <c r="L111" i="86"/>
  <c r="M111" i="86"/>
  <c r="F112" i="86"/>
  <c r="G112" i="86"/>
  <c r="H112" i="86"/>
  <c r="I112" i="86"/>
  <c r="J112" i="86"/>
  <c r="K112" i="86"/>
  <c r="L112" i="86"/>
  <c r="M112" i="86"/>
  <c r="F113" i="86"/>
  <c r="G113" i="86"/>
  <c r="H113" i="86"/>
  <c r="I113" i="86"/>
  <c r="J113" i="86"/>
  <c r="K113" i="86"/>
  <c r="L113" i="86"/>
  <c r="M113" i="86"/>
  <c r="M114" i="86" s="1"/>
  <c r="F114" i="86"/>
  <c r="F116" i="86" s="1"/>
  <c r="G114" i="86"/>
  <c r="H114" i="86"/>
  <c r="G123" i="86"/>
  <c r="H123" i="86"/>
  <c r="I123" i="86"/>
  <c r="J123" i="86"/>
  <c r="K123" i="86"/>
  <c r="L123" i="86"/>
  <c r="M123" i="86"/>
  <c r="G124" i="86"/>
  <c r="H124" i="86"/>
  <c r="I124" i="86"/>
  <c r="J124" i="86"/>
  <c r="K124" i="86"/>
  <c r="L124" i="86"/>
  <c r="M124" i="86"/>
  <c r="G125" i="86"/>
  <c r="H125" i="86"/>
  <c r="I125" i="86"/>
  <c r="J125" i="86"/>
  <c r="K125" i="86"/>
  <c r="L125" i="86"/>
  <c r="M125" i="86"/>
  <c r="G126" i="86"/>
  <c r="H126" i="86"/>
  <c r="I126" i="86"/>
  <c r="J126" i="86"/>
  <c r="K126" i="86"/>
  <c r="L126" i="86"/>
  <c r="M126" i="86"/>
  <c r="G127" i="86"/>
  <c r="H127" i="86"/>
  <c r="I127" i="86"/>
  <c r="J127" i="86"/>
  <c r="K127" i="86"/>
  <c r="L127" i="86"/>
  <c r="M127" i="86"/>
  <c r="G128" i="86"/>
  <c r="H128" i="86"/>
  <c r="I128" i="86"/>
  <c r="J128" i="86"/>
  <c r="K128" i="86"/>
  <c r="L128" i="86"/>
  <c r="M128" i="86"/>
  <c r="G129" i="86"/>
  <c r="H129" i="86"/>
  <c r="I129" i="86"/>
  <c r="J129" i="86"/>
  <c r="K129" i="86"/>
  <c r="L129" i="86"/>
  <c r="M129" i="86"/>
  <c r="G130" i="86"/>
  <c r="H130" i="86"/>
  <c r="I130" i="86"/>
  <c r="J130" i="86"/>
  <c r="K130" i="86"/>
  <c r="L130" i="86"/>
  <c r="M130" i="86"/>
  <c r="G131" i="86"/>
  <c r="H131" i="86"/>
  <c r="I131" i="86"/>
  <c r="J131" i="86"/>
  <c r="K131" i="86"/>
  <c r="L131" i="86"/>
  <c r="M131" i="86"/>
  <c r="G132" i="86"/>
  <c r="H132" i="86"/>
  <c r="I132" i="86"/>
  <c r="J132" i="86"/>
  <c r="K132" i="86"/>
  <c r="L132" i="86"/>
  <c r="M132" i="86"/>
  <c r="G133" i="86"/>
  <c r="H133" i="86"/>
  <c r="I133" i="86"/>
  <c r="J133" i="86"/>
  <c r="K133" i="86"/>
  <c r="L133" i="86"/>
  <c r="M133" i="86"/>
  <c r="G134" i="86"/>
  <c r="H134" i="86"/>
  <c r="I134" i="86"/>
  <c r="J134" i="86"/>
  <c r="K134" i="86"/>
  <c r="L134" i="86"/>
  <c r="M134" i="86"/>
  <c r="G135" i="86"/>
  <c r="H135" i="86"/>
  <c r="I135" i="86"/>
  <c r="J135" i="86"/>
  <c r="K135" i="86"/>
  <c r="L135" i="86"/>
  <c r="M135" i="86"/>
  <c r="G136" i="86"/>
  <c r="H136" i="86"/>
  <c r="I136" i="86"/>
  <c r="J136" i="86"/>
  <c r="K136" i="86"/>
  <c r="L136" i="86"/>
  <c r="M136" i="86"/>
  <c r="G137" i="86"/>
  <c r="H137" i="86"/>
  <c r="I137" i="86"/>
  <c r="J137" i="86"/>
  <c r="K137" i="86"/>
  <c r="L137" i="86"/>
  <c r="M137" i="86"/>
  <c r="G138" i="86"/>
  <c r="H138" i="86"/>
  <c r="I138" i="86"/>
  <c r="J138" i="86"/>
  <c r="K138" i="86"/>
  <c r="L138" i="86"/>
  <c r="M138" i="86"/>
  <c r="G139" i="86"/>
  <c r="H139" i="86"/>
  <c r="I139" i="86"/>
  <c r="J139" i="86"/>
  <c r="K139" i="86"/>
  <c r="L139" i="86"/>
  <c r="M139" i="86"/>
  <c r="G140" i="86"/>
  <c r="H140" i="86"/>
  <c r="I140" i="86"/>
  <c r="J140" i="86"/>
  <c r="K140" i="86"/>
  <c r="L140" i="86"/>
  <c r="M140" i="86"/>
  <c r="G141" i="86"/>
  <c r="H141" i="86"/>
  <c r="I141" i="86"/>
  <c r="J141" i="86"/>
  <c r="K141" i="86"/>
  <c r="L141" i="86"/>
  <c r="M141" i="86"/>
  <c r="G142" i="86"/>
  <c r="H142" i="86"/>
  <c r="I142" i="86"/>
  <c r="J142" i="86"/>
  <c r="K142" i="86"/>
  <c r="L142" i="86"/>
  <c r="M142" i="86"/>
  <c r="G143" i="86"/>
  <c r="H143" i="86"/>
  <c r="I143" i="86"/>
  <c r="J143" i="86"/>
  <c r="K143" i="86"/>
  <c r="L143" i="86"/>
  <c r="M143" i="86"/>
  <c r="G144" i="86"/>
  <c r="H144" i="86"/>
  <c r="I144" i="86"/>
  <c r="J144" i="86"/>
  <c r="K144" i="86"/>
  <c r="L144" i="86"/>
  <c r="M144" i="86"/>
  <c r="G145" i="86"/>
  <c r="H145" i="86"/>
  <c r="I145" i="86"/>
  <c r="J145" i="86"/>
  <c r="K145" i="86"/>
  <c r="L145" i="86"/>
  <c r="M145" i="86"/>
  <c r="G146" i="86"/>
  <c r="H146" i="86"/>
  <c r="I146" i="86"/>
  <c r="J146" i="86"/>
  <c r="K146" i="86"/>
  <c r="L146" i="86"/>
  <c r="M146" i="86"/>
  <c r="G147" i="86"/>
  <c r="H147" i="86"/>
  <c r="I147" i="86"/>
  <c r="J147" i="86"/>
  <c r="K147" i="86"/>
  <c r="L147" i="86"/>
  <c r="M147" i="86"/>
  <c r="G148" i="86"/>
  <c r="H148" i="86"/>
  <c r="I148" i="86"/>
  <c r="J148" i="86"/>
  <c r="K148" i="86"/>
  <c r="L148" i="86"/>
  <c r="M148" i="86"/>
  <c r="G149" i="86"/>
  <c r="H149" i="86"/>
  <c r="I149" i="86"/>
  <c r="J149" i="86"/>
  <c r="K149" i="86"/>
  <c r="L149" i="86"/>
  <c r="M149" i="86"/>
  <c r="G150" i="86"/>
  <c r="H150" i="86"/>
  <c r="I150" i="86"/>
  <c r="J150" i="86"/>
  <c r="K150" i="86"/>
  <c r="L150" i="86"/>
  <c r="M150" i="86"/>
  <c r="K151" i="86"/>
  <c r="G155" i="86"/>
  <c r="H155" i="86"/>
  <c r="I155" i="86"/>
  <c r="J155" i="86"/>
  <c r="K155" i="86"/>
  <c r="L155" i="86"/>
  <c r="L163" i="86" s="1"/>
  <c r="M155" i="86"/>
  <c r="G156" i="86"/>
  <c r="H156" i="86"/>
  <c r="I156" i="86"/>
  <c r="J156" i="86"/>
  <c r="K156" i="86"/>
  <c r="L156" i="86"/>
  <c r="M156" i="86"/>
  <c r="G157" i="86"/>
  <c r="H157" i="86"/>
  <c r="I157" i="86"/>
  <c r="J157" i="86"/>
  <c r="K157" i="86"/>
  <c r="L157" i="86"/>
  <c r="M157" i="86"/>
  <c r="G158" i="86"/>
  <c r="H158" i="86"/>
  <c r="I158" i="86"/>
  <c r="J158" i="86"/>
  <c r="K158" i="86"/>
  <c r="L158" i="86"/>
  <c r="M158" i="86"/>
  <c r="G159" i="86"/>
  <c r="H159" i="86"/>
  <c r="I159" i="86"/>
  <c r="J159" i="86"/>
  <c r="K159" i="86"/>
  <c r="L159" i="86"/>
  <c r="M159" i="86"/>
  <c r="G160" i="86"/>
  <c r="H160" i="86"/>
  <c r="I160" i="86"/>
  <c r="J160" i="86"/>
  <c r="K160" i="86"/>
  <c r="L160" i="86"/>
  <c r="M160" i="86"/>
  <c r="G161" i="86"/>
  <c r="H161" i="86"/>
  <c r="I161" i="86"/>
  <c r="J161" i="86"/>
  <c r="K161" i="86"/>
  <c r="L161" i="86"/>
  <c r="M161" i="86"/>
  <c r="G162" i="86"/>
  <c r="H162" i="86"/>
  <c r="I162" i="86"/>
  <c r="J162" i="86"/>
  <c r="K162" i="86"/>
  <c r="L162" i="86"/>
  <c r="M162" i="86"/>
  <c r="G165" i="86"/>
  <c r="H165" i="86"/>
  <c r="I165" i="86"/>
  <c r="J165" i="86"/>
  <c r="K165" i="86"/>
  <c r="L165" i="86"/>
  <c r="M165" i="86"/>
  <c r="M173" i="86" s="1"/>
  <c r="G166" i="86"/>
  <c r="H166" i="86"/>
  <c r="I166" i="86"/>
  <c r="J166" i="86"/>
  <c r="K166" i="86"/>
  <c r="L166" i="86"/>
  <c r="M166" i="86"/>
  <c r="G167" i="86"/>
  <c r="G173" i="86" s="1"/>
  <c r="H167" i="86"/>
  <c r="I167" i="86"/>
  <c r="J167" i="86"/>
  <c r="K167" i="86"/>
  <c r="L167" i="86"/>
  <c r="M167" i="86"/>
  <c r="G168" i="86"/>
  <c r="H168" i="86"/>
  <c r="H173" i="86" s="1"/>
  <c r="I168" i="86"/>
  <c r="J168" i="86"/>
  <c r="K168" i="86"/>
  <c r="L168" i="86"/>
  <c r="M168" i="86"/>
  <c r="G169" i="86"/>
  <c r="H169" i="86"/>
  <c r="I169" i="86"/>
  <c r="I173" i="86" s="1"/>
  <c r="J169" i="86"/>
  <c r="K169" i="86"/>
  <c r="L169" i="86"/>
  <c r="M169" i="86"/>
  <c r="G170" i="86"/>
  <c r="H170" i="86"/>
  <c r="I170" i="86"/>
  <c r="J170" i="86"/>
  <c r="J173" i="86" s="1"/>
  <c r="K170" i="86"/>
  <c r="L170" i="86"/>
  <c r="M170" i="86"/>
  <c r="G171" i="86"/>
  <c r="H171" i="86"/>
  <c r="I171" i="86"/>
  <c r="J171" i="86"/>
  <c r="K171" i="86"/>
  <c r="K173" i="86" s="1"/>
  <c r="L171" i="86"/>
  <c r="M171" i="86"/>
  <c r="G172" i="86"/>
  <c r="H172" i="86"/>
  <c r="I172" i="86"/>
  <c r="J172" i="86"/>
  <c r="K172" i="86"/>
  <c r="L172" i="86"/>
  <c r="L173" i="86" s="1"/>
  <c r="M172" i="86"/>
  <c r="I176" i="86"/>
  <c r="J176" i="86"/>
  <c r="K176" i="86"/>
  <c r="L176" i="86"/>
  <c r="M176" i="86"/>
  <c r="N6" i="79"/>
  <c r="N5" i="79"/>
  <c r="N4" i="79"/>
  <c r="M6" i="79"/>
  <c r="M5" i="79"/>
  <c r="M4" i="79"/>
  <c r="N3" i="79"/>
  <c r="S92" i="32" l="1"/>
  <c r="AG87" i="32"/>
  <c r="V97" i="32"/>
  <c r="V100" i="32" s="1"/>
  <c r="V20" i="32"/>
  <c r="U97" i="32"/>
  <c r="U100" i="32" s="1"/>
  <c r="U20" i="32"/>
  <c r="AE97" i="32"/>
  <c r="AE100" i="32" s="1"/>
  <c r="AE20" i="32"/>
  <c r="AD97" i="32"/>
  <c r="AD100" i="32" s="1"/>
  <c r="AD20" i="32"/>
  <c r="Y113" i="32"/>
  <c r="Y96" i="32"/>
  <c r="AC97" i="32"/>
  <c r="AC100" i="32" s="1"/>
  <c r="AC20" i="32"/>
  <c r="X100" i="32"/>
  <c r="AB20" i="32"/>
  <c r="AB97" i="32"/>
  <c r="AB100" i="32" s="1"/>
  <c r="T20" i="32"/>
  <c r="T97" i="32"/>
  <c r="T100" i="32" s="1"/>
  <c r="AA20" i="32"/>
  <c r="AA97" i="32"/>
  <c r="AA100" i="32" s="1"/>
  <c r="S20" i="32"/>
  <c r="S97" i="32"/>
  <c r="S100" i="32" s="1"/>
  <c r="W97" i="32"/>
  <c r="W100" i="32" s="1"/>
  <c r="W20" i="32"/>
  <c r="Z20" i="32"/>
  <c r="Z97" i="32"/>
  <c r="Z100" i="32" s="1"/>
  <c r="J76" i="91"/>
  <c r="N100" i="91"/>
  <c r="N86" i="91"/>
  <c r="F86" i="91"/>
  <c r="L86" i="91"/>
  <c r="I109" i="91"/>
  <c r="I147" i="91"/>
  <c r="K147" i="91"/>
  <c r="K109" i="91"/>
  <c r="K126" i="91" s="1"/>
  <c r="K150" i="91" s="1"/>
  <c r="H109" i="91"/>
  <c r="G20" i="91"/>
  <c r="G36" i="91" s="1"/>
  <c r="G40" i="91" s="1"/>
  <c r="H13" i="91"/>
  <c r="H20" i="91" s="1"/>
  <c r="H36" i="91" s="1"/>
  <c r="H40" i="91" s="1"/>
  <c r="J147" i="91"/>
  <c r="L100" i="91"/>
  <c r="F20" i="91"/>
  <c r="F36" i="91" s="1"/>
  <c r="F40" i="91" s="1"/>
  <c r="J110" i="91"/>
  <c r="J126" i="91" s="1"/>
  <c r="K138" i="91"/>
  <c r="I110" i="91"/>
  <c r="G76" i="91"/>
  <c r="I76" i="91"/>
  <c r="M68" i="91"/>
  <c r="E68" i="91"/>
  <c r="G68" i="91"/>
  <c r="G78" i="91" s="1"/>
  <c r="K13" i="91"/>
  <c r="K20" i="91" s="1"/>
  <c r="K36" i="91" s="1"/>
  <c r="L20" i="91"/>
  <c r="L36" i="91" s="1"/>
  <c r="L40" i="91" s="1"/>
  <c r="H68" i="91"/>
  <c r="H78" i="91" s="1"/>
  <c r="J13" i="91"/>
  <c r="J20" i="91" s="1"/>
  <c r="J36" i="91" s="1"/>
  <c r="J40" i="91" s="1"/>
  <c r="I138" i="91"/>
  <c r="F100" i="91"/>
  <c r="F102" i="91" s="1"/>
  <c r="F103" i="91" s="1"/>
  <c r="J100" i="91"/>
  <c r="J93" i="91"/>
  <c r="N93" i="91"/>
  <c r="F93" i="91"/>
  <c r="H147" i="91"/>
  <c r="H93" i="91"/>
  <c r="J86" i="91"/>
  <c r="G109" i="91"/>
  <c r="G126" i="91" s="1"/>
  <c r="G150" i="91" s="1"/>
  <c r="N109" i="91"/>
  <c r="F109" i="91"/>
  <c r="F126" i="91" s="1"/>
  <c r="F150" i="91" s="1"/>
  <c r="H110" i="91"/>
  <c r="N76" i="91"/>
  <c r="N78" i="91" s="1"/>
  <c r="F76" i="91"/>
  <c r="F78" i="91" s="1"/>
  <c r="L76" i="91"/>
  <c r="L68" i="91"/>
  <c r="J68" i="91"/>
  <c r="J78" i="91" s="1"/>
  <c r="L109" i="91"/>
  <c r="L126" i="91" s="1"/>
  <c r="L150" i="91" s="1"/>
  <c r="M13" i="91"/>
  <c r="M20" i="91" s="1"/>
  <c r="M36" i="91" s="1"/>
  <c r="M40" i="91" s="1"/>
  <c r="E13" i="91"/>
  <c r="E20" i="91" s="1"/>
  <c r="E36" i="91" s="1"/>
  <c r="N142" i="89"/>
  <c r="G81" i="89"/>
  <c r="F81" i="89"/>
  <c r="K88" i="89"/>
  <c r="K107" i="89" s="1"/>
  <c r="L105" i="89"/>
  <c r="H79" i="89"/>
  <c r="I70" i="89"/>
  <c r="K164" i="89"/>
  <c r="M154" i="89"/>
  <c r="E154" i="89"/>
  <c r="H105" i="89"/>
  <c r="H107" i="89" s="1"/>
  <c r="K95" i="89"/>
  <c r="G95" i="89"/>
  <c r="G88" i="89"/>
  <c r="G107" i="89" s="1"/>
  <c r="G108" i="89" s="1"/>
  <c r="L79" i="89"/>
  <c r="L81" i="89" s="1"/>
  <c r="M70" i="89"/>
  <c r="M81" i="89" s="1"/>
  <c r="E70" i="89"/>
  <c r="J164" i="89"/>
  <c r="L154" i="89"/>
  <c r="G105" i="89"/>
  <c r="J95" i="89"/>
  <c r="J107" i="89" s="1"/>
  <c r="J108" i="89" s="1"/>
  <c r="N95" i="89"/>
  <c r="F95" i="89"/>
  <c r="N88" i="89"/>
  <c r="N107" i="89" s="1"/>
  <c r="N108" i="89" s="1"/>
  <c r="F88" i="89"/>
  <c r="J88" i="89"/>
  <c r="K79" i="89"/>
  <c r="L70" i="89"/>
  <c r="I164" i="89"/>
  <c r="K154" i="89"/>
  <c r="N105" i="89"/>
  <c r="F105" i="89"/>
  <c r="F107" i="89" s="1"/>
  <c r="F108" i="89" s="1"/>
  <c r="I95" i="89"/>
  <c r="M88" i="89"/>
  <c r="E88" i="89"/>
  <c r="J79" i="89"/>
  <c r="K70" i="89"/>
  <c r="H164" i="89"/>
  <c r="J154" i="89"/>
  <c r="M105" i="89"/>
  <c r="M107" i="89" s="1"/>
  <c r="M108" i="89" s="1"/>
  <c r="E105" i="89"/>
  <c r="H95" i="89"/>
  <c r="L88" i="89"/>
  <c r="I79" i="89"/>
  <c r="J70" i="89"/>
  <c r="J81" i="89" s="1"/>
  <c r="M11" i="89"/>
  <c r="M14" i="89" s="1"/>
  <c r="M20" i="89" s="1"/>
  <c r="M35" i="89" s="1"/>
  <c r="M40" i="89" s="1"/>
  <c r="M114" i="89" s="1"/>
  <c r="M142" i="89" s="1"/>
  <c r="M168" i="89" s="1"/>
  <c r="E11" i="89"/>
  <c r="E14" i="89" s="1"/>
  <c r="E20" i="89" s="1"/>
  <c r="E35" i="89" s="1"/>
  <c r="E40" i="89" s="1"/>
  <c r="E114" i="89" s="1"/>
  <c r="E142" i="89" s="1"/>
  <c r="E168" i="89" s="1"/>
  <c r="I20" i="89"/>
  <c r="I35" i="89" s="1"/>
  <c r="I40" i="89" s="1"/>
  <c r="I114" i="89" s="1"/>
  <c r="I142" i="89" s="1"/>
  <c r="I168" i="89" s="1"/>
  <c r="H70" i="89"/>
  <c r="H20" i="89"/>
  <c r="H35" i="89" s="1"/>
  <c r="H40" i="89" s="1"/>
  <c r="H114" i="89" s="1"/>
  <c r="K14" i="89"/>
  <c r="K20" i="89" s="1"/>
  <c r="K35" i="89" s="1"/>
  <c r="K40" i="89" s="1"/>
  <c r="K114" i="89" s="1"/>
  <c r="K142" i="89" s="1"/>
  <c r="K168" i="89" s="1"/>
  <c r="M164" i="89"/>
  <c r="G154" i="89"/>
  <c r="J11" i="89"/>
  <c r="J14" i="89" s="1"/>
  <c r="J20" i="89" s="1"/>
  <c r="J35" i="89" s="1"/>
  <c r="J40" i="89" s="1"/>
  <c r="J114" i="89" s="1"/>
  <c r="J142" i="89" s="1"/>
  <c r="J168" i="89" s="1"/>
  <c r="E164" i="89"/>
  <c r="L164" i="89"/>
  <c r="N154" i="89"/>
  <c r="F154" i="89"/>
  <c r="I105" i="89"/>
  <c r="I107" i="89" s="1"/>
  <c r="M79" i="89"/>
  <c r="E79" i="89"/>
  <c r="I82" i="88"/>
  <c r="I75" i="88"/>
  <c r="I66" i="88"/>
  <c r="K55" i="88"/>
  <c r="K68" i="88" s="1"/>
  <c r="M11" i="88"/>
  <c r="M14" i="88" s="1"/>
  <c r="M17" i="88" s="1"/>
  <c r="M24" i="88" s="1"/>
  <c r="M27" i="88" s="1"/>
  <c r="M99" i="88" s="1"/>
  <c r="M127" i="88" s="1"/>
  <c r="K82" i="88"/>
  <c r="K92" i="88" s="1"/>
  <c r="K93" i="88" s="1"/>
  <c r="J82" i="88"/>
  <c r="J92" i="88" s="1"/>
  <c r="J66" i="88"/>
  <c r="J68" i="88" s="1"/>
  <c r="N11" i="88"/>
  <c r="N14" i="88" s="1"/>
  <c r="N17" i="88" s="1"/>
  <c r="N24" i="88" s="1"/>
  <c r="N27" i="88" s="1"/>
  <c r="N99" i="88" s="1"/>
  <c r="H82" i="88"/>
  <c r="H66" i="88"/>
  <c r="J55" i="88"/>
  <c r="K17" i="88"/>
  <c r="K24" i="88" s="1"/>
  <c r="K27" i="88" s="1"/>
  <c r="K99" i="88" s="1"/>
  <c r="G149" i="88"/>
  <c r="I90" i="88"/>
  <c r="I92" i="88" s="1"/>
  <c r="L66" i="88"/>
  <c r="L68" i="88" s="1"/>
  <c r="F11" i="88"/>
  <c r="F14" i="88" s="1"/>
  <c r="F17" i="88" s="1"/>
  <c r="F24" i="88" s="1"/>
  <c r="F27" i="88" s="1"/>
  <c r="F99" i="88" s="1"/>
  <c r="F127" i="88" s="1"/>
  <c r="L149" i="88"/>
  <c r="N90" i="88"/>
  <c r="F90" i="88"/>
  <c r="G66" i="88"/>
  <c r="I55" i="88"/>
  <c r="K149" i="88"/>
  <c r="L139" i="88"/>
  <c r="N66" i="88"/>
  <c r="F66" i="88"/>
  <c r="H55" i="88"/>
  <c r="J17" i="88"/>
  <c r="J24" i="88" s="1"/>
  <c r="J27" i="88" s="1"/>
  <c r="J99" i="88" s="1"/>
  <c r="J149" i="88"/>
  <c r="M66" i="88"/>
  <c r="M68" i="88" s="1"/>
  <c r="G55" i="88"/>
  <c r="G68" i="88" s="1"/>
  <c r="I17" i="88"/>
  <c r="I24" i="88" s="1"/>
  <c r="I27" i="88" s="1"/>
  <c r="I99" i="88" s="1"/>
  <c r="N162" i="90"/>
  <c r="K151" i="90"/>
  <c r="N75" i="90"/>
  <c r="H64" i="90"/>
  <c r="H77" i="90" s="1"/>
  <c r="H111" i="90"/>
  <c r="M151" i="90"/>
  <c r="E151" i="90"/>
  <c r="I113" i="90"/>
  <c r="I139" i="90" s="1"/>
  <c r="G111" i="90"/>
  <c r="G102" i="90"/>
  <c r="F162" i="90"/>
  <c r="E102" i="90"/>
  <c r="J18" i="90"/>
  <c r="J31" i="90" s="1"/>
  <c r="J36" i="90" s="1"/>
  <c r="E162" i="90"/>
  <c r="E75" i="90"/>
  <c r="I18" i="90"/>
  <c r="I31" i="90" s="1"/>
  <c r="I36" i="90" s="1"/>
  <c r="E112" i="90"/>
  <c r="E139" i="90" s="1"/>
  <c r="E166" i="90" s="1"/>
  <c r="G92" i="90"/>
  <c r="G104" i="90" s="1"/>
  <c r="G105" i="90" s="1"/>
  <c r="K92" i="90"/>
  <c r="E84" i="90"/>
  <c r="L111" i="90"/>
  <c r="L139" i="90" s="1"/>
  <c r="L166" i="90" s="1"/>
  <c r="N13" i="90"/>
  <c r="H18" i="90"/>
  <c r="H31" i="90" s="1"/>
  <c r="H36" i="90" s="1"/>
  <c r="M162" i="90"/>
  <c r="L151" i="90"/>
  <c r="M112" i="90"/>
  <c r="M139" i="90" s="1"/>
  <c r="M166" i="90" s="1"/>
  <c r="I64" i="90"/>
  <c r="K18" i="90"/>
  <c r="K31" i="90" s="1"/>
  <c r="K36" i="90" s="1"/>
  <c r="L162" i="90"/>
  <c r="G64" i="90"/>
  <c r="G77" i="90" s="1"/>
  <c r="E13" i="90"/>
  <c r="E18" i="90" s="1"/>
  <c r="E31" i="90" s="1"/>
  <c r="E36" i="90" s="1"/>
  <c r="F102" i="90"/>
  <c r="G30" i="87"/>
  <c r="G34" i="87" s="1"/>
  <c r="J139" i="87"/>
  <c r="K86" i="87"/>
  <c r="J14" i="87"/>
  <c r="J21" i="87" s="1"/>
  <c r="J30" i="87" s="1"/>
  <c r="J34" i="87" s="1"/>
  <c r="I14" i="87"/>
  <c r="I21" i="87" s="1"/>
  <c r="I30" i="87" s="1"/>
  <c r="I34" i="87" s="1"/>
  <c r="M58" i="87"/>
  <c r="N58" i="87"/>
  <c r="E105" i="87"/>
  <c r="K105" i="87"/>
  <c r="K121" i="87" s="1"/>
  <c r="K142" i="87" s="1"/>
  <c r="F69" i="87"/>
  <c r="F71" i="87" s="1"/>
  <c r="L105" i="87"/>
  <c r="L121" i="87" s="1"/>
  <c r="H139" i="87"/>
  <c r="J105" i="87"/>
  <c r="J121" i="87" s="1"/>
  <c r="J142" i="87" s="1"/>
  <c r="N96" i="87"/>
  <c r="F96" i="87"/>
  <c r="G86" i="87"/>
  <c r="J86" i="87"/>
  <c r="M78" i="87"/>
  <c r="K78" i="87"/>
  <c r="K98" i="87" s="1"/>
  <c r="M69" i="87"/>
  <c r="M71" i="87" s="1"/>
  <c r="E69" i="87"/>
  <c r="E71" i="87" s="1"/>
  <c r="I58" i="87"/>
  <c r="K139" i="87"/>
  <c r="K14" i="87"/>
  <c r="K21" i="87" s="1"/>
  <c r="K30" i="87" s="1"/>
  <c r="K34" i="87" s="1"/>
  <c r="J96" i="87"/>
  <c r="F14" i="87"/>
  <c r="F21" i="87" s="1"/>
  <c r="F30" i="87" s="1"/>
  <c r="F34" i="87" s="1"/>
  <c r="I139" i="87"/>
  <c r="F78" i="87"/>
  <c r="G69" i="87"/>
  <c r="G71" i="87" s="1"/>
  <c r="K58" i="87"/>
  <c r="F58" i="87"/>
  <c r="M105" i="87"/>
  <c r="M121" i="87" s="1"/>
  <c r="N69" i="87"/>
  <c r="N71" i="87" s="1"/>
  <c r="I69" i="87"/>
  <c r="M139" i="87"/>
  <c r="E139" i="87"/>
  <c r="M96" i="87"/>
  <c r="E96" i="87"/>
  <c r="N86" i="87"/>
  <c r="F86" i="87"/>
  <c r="L69" i="87"/>
  <c r="L71" i="87" s="1"/>
  <c r="M9" i="87"/>
  <c r="M14" i="87" s="1"/>
  <c r="M21" i="87" s="1"/>
  <c r="M30" i="87" s="1"/>
  <c r="M34" i="87" s="1"/>
  <c r="E9" i="87"/>
  <c r="E14" i="87" s="1"/>
  <c r="E21" i="87" s="1"/>
  <c r="E30" i="87" s="1"/>
  <c r="E34" i="87" s="1"/>
  <c r="I96" i="87"/>
  <c r="N78" i="87"/>
  <c r="N98" i="87" s="1"/>
  <c r="L96" i="87"/>
  <c r="M86" i="87"/>
  <c r="E86" i="87"/>
  <c r="E98" i="87" s="1"/>
  <c r="I78" i="87"/>
  <c r="I98" i="87" s="1"/>
  <c r="K69" i="87"/>
  <c r="K71" i="87" s="1"/>
  <c r="L9" i="87"/>
  <c r="L14" i="87" s="1"/>
  <c r="L21" i="87" s="1"/>
  <c r="L30" i="87" s="1"/>
  <c r="L34" i="87" s="1"/>
  <c r="H116" i="86"/>
  <c r="H117" i="86" s="1"/>
  <c r="J116" i="86"/>
  <c r="G116" i="86"/>
  <c r="G117" i="86" s="1"/>
  <c r="K116" i="86"/>
  <c r="K117" i="86" s="1"/>
  <c r="I163" i="86"/>
  <c r="M163" i="86"/>
  <c r="I151" i="86"/>
  <c r="I82" i="86"/>
  <c r="I116" i="86" s="1"/>
  <c r="I117" i="86" s="1"/>
  <c r="J21" i="86"/>
  <c r="J28" i="86" s="1"/>
  <c r="J32" i="86" s="1"/>
  <c r="J163" i="86"/>
  <c r="G163" i="86"/>
  <c r="G151" i="86"/>
  <c r="G177" i="86" s="1"/>
  <c r="G180" i="86" s="1"/>
  <c r="G181" i="86" s="1"/>
  <c r="M116" i="86"/>
  <c r="M117" i="86" s="1"/>
  <c r="M151" i="86"/>
  <c r="M177" i="86" s="1"/>
  <c r="I12" i="86"/>
  <c r="I15" i="86" s="1"/>
  <c r="I21" i="86" s="1"/>
  <c r="I28" i="86" s="1"/>
  <c r="I32" i="86" s="1"/>
  <c r="H12" i="86"/>
  <c r="H15" i="86" s="1"/>
  <c r="H21" i="86" s="1"/>
  <c r="H28" i="86" s="1"/>
  <c r="H32" i="86" s="1"/>
  <c r="G12" i="86"/>
  <c r="G15" i="86" s="1"/>
  <c r="G21" i="86" s="1"/>
  <c r="G28" i="86" s="1"/>
  <c r="G32" i="86" s="1"/>
  <c r="L98" i="86"/>
  <c r="M28" i="86"/>
  <c r="M32" i="86" s="1"/>
  <c r="L28" i="86"/>
  <c r="L32" i="86" s="1"/>
  <c r="K163" i="86"/>
  <c r="H163" i="86"/>
  <c r="K21" i="86"/>
  <c r="K28" i="86" s="1"/>
  <c r="K32" i="86" s="1"/>
  <c r="J59" i="86"/>
  <c r="J75" i="86" s="1"/>
  <c r="J151" i="86"/>
  <c r="H151" i="86"/>
  <c r="I114" i="86"/>
  <c r="L82" i="86"/>
  <c r="L116" i="86" s="1"/>
  <c r="L117" i="86" s="1"/>
  <c r="L151" i="86"/>
  <c r="L177" i="86" s="1"/>
  <c r="L180" i="86" s="1"/>
  <c r="L181" i="86" s="1"/>
  <c r="F75" i="86"/>
  <c r="F117" i="86" s="1"/>
  <c r="G147" i="91"/>
  <c r="G138" i="91"/>
  <c r="K40" i="91"/>
  <c r="E40" i="91"/>
  <c r="N147" i="91"/>
  <c r="F147" i="91"/>
  <c r="N138" i="91"/>
  <c r="F138" i="91"/>
  <c r="H102" i="91"/>
  <c r="H103" i="91" s="1"/>
  <c r="M147" i="91"/>
  <c r="E147" i="91"/>
  <c r="M138" i="91"/>
  <c r="E138" i="91"/>
  <c r="L147" i="91"/>
  <c r="L138" i="91"/>
  <c r="I13" i="91"/>
  <c r="I20" i="91" s="1"/>
  <c r="I36" i="91" s="1"/>
  <c r="I40" i="91" s="1"/>
  <c r="J138" i="91"/>
  <c r="G93" i="91"/>
  <c r="G102" i="91" s="1"/>
  <c r="E86" i="91"/>
  <c r="K68" i="91"/>
  <c r="K78" i="91" s="1"/>
  <c r="M100" i="91"/>
  <c r="E100" i="91"/>
  <c r="N102" i="91"/>
  <c r="N103" i="91" s="1"/>
  <c r="K76" i="91"/>
  <c r="L78" i="91"/>
  <c r="N126" i="91"/>
  <c r="N150" i="91" s="1"/>
  <c r="K100" i="91"/>
  <c r="M76" i="91"/>
  <c r="E76" i="91"/>
  <c r="M86" i="91"/>
  <c r="I93" i="91"/>
  <c r="I102" i="91" s="1"/>
  <c r="K86" i="91"/>
  <c r="I68" i="91"/>
  <c r="I78" i="91" s="1"/>
  <c r="M109" i="91"/>
  <c r="M126" i="91" s="1"/>
  <c r="E109" i="91"/>
  <c r="E126" i="91" s="1"/>
  <c r="F104" i="90"/>
  <c r="F105" i="90" s="1"/>
  <c r="H139" i="90"/>
  <c r="H166" i="90" s="1"/>
  <c r="E64" i="90"/>
  <c r="I104" i="90"/>
  <c r="M13" i="90"/>
  <c r="M18" i="90" s="1"/>
  <c r="M31" i="90" s="1"/>
  <c r="M36" i="90" s="1"/>
  <c r="L13" i="90"/>
  <c r="L18" i="90" s="1"/>
  <c r="L31" i="90" s="1"/>
  <c r="L36" i="90" s="1"/>
  <c r="H75" i="90"/>
  <c r="G18" i="90"/>
  <c r="G31" i="90" s="1"/>
  <c r="G36" i="90" s="1"/>
  <c r="L102" i="90"/>
  <c r="L84" i="90"/>
  <c r="L104" i="90" s="1"/>
  <c r="G151" i="90"/>
  <c r="K111" i="90"/>
  <c r="K139" i="90" s="1"/>
  <c r="K166" i="90" s="1"/>
  <c r="K102" i="90"/>
  <c r="N92" i="90"/>
  <c r="N104" i="90" s="1"/>
  <c r="F92" i="90"/>
  <c r="J75" i="90"/>
  <c r="J77" i="90" s="1"/>
  <c r="J162" i="90"/>
  <c r="L92" i="90"/>
  <c r="M64" i="90"/>
  <c r="M77" i="90" s="1"/>
  <c r="I162" i="90"/>
  <c r="L64" i="90"/>
  <c r="L77" i="90" s="1"/>
  <c r="N18" i="90"/>
  <c r="N31" i="90" s="1"/>
  <c r="N36" i="90" s="1"/>
  <c r="G139" i="90"/>
  <c r="K84" i="90"/>
  <c r="K162" i="90"/>
  <c r="H104" i="90"/>
  <c r="J84" i="90"/>
  <c r="J104" i="90" s="1"/>
  <c r="I75" i="90"/>
  <c r="I77" i="90" s="1"/>
  <c r="J114" i="90"/>
  <c r="J139" i="90" s="1"/>
  <c r="F18" i="90"/>
  <c r="F31" i="90" s="1"/>
  <c r="F36" i="90" s="1"/>
  <c r="N151" i="90"/>
  <c r="F151" i="90"/>
  <c r="J102" i="90"/>
  <c r="M92" i="90"/>
  <c r="M104" i="90" s="1"/>
  <c r="E92" i="90"/>
  <c r="E104" i="90" s="1"/>
  <c r="N64" i="90"/>
  <c r="N77" i="90" s="1"/>
  <c r="F64" i="90"/>
  <c r="F77" i="90" s="1"/>
  <c r="N111" i="90"/>
  <c r="N139" i="90" s="1"/>
  <c r="N166" i="90" s="1"/>
  <c r="F111" i="90"/>
  <c r="F139" i="90" s="1"/>
  <c r="E81" i="89"/>
  <c r="L142" i="89"/>
  <c r="H81" i="89"/>
  <c r="H142" i="89"/>
  <c r="H168" i="89" s="1"/>
  <c r="I81" i="89"/>
  <c r="I108" i="89" s="1"/>
  <c r="G142" i="89"/>
  <c r="F142" i="89"/>
  <c r="F168" i="89" s="1"/>
  <c r="E107" i="89"/>
  <c r="E108" i="89" s="1"/>
  <c r="K81" i="89"/>
  <c r="L127" i="88"/>
  <c r="K139" i="88"/>
  <c r="G127" i="88"/>
  <c r="G153" i="88" s="1"/>
  <c r="G156" i="88" s="1"/>
  <c r="J139" i="88"/>
  <c r="G75" i="88"/>
  <c r="G92" i="88" s="1"/>
  <c r="I139" i="88"/>
  <c r="M90" i="88"/>
  <c r="N75" i="88"/>
  <c r="N92" i="88" s="1"/>
  <c r="F75" i="88"/>
  <c r="F92" i="88" s="1"/>
  <c r="H68" i="88"/>
  <c r="L90" i="88"/>
  <c r="L92" i="88"/>
  <c r="M75" i="88"/>
  <c r="M92" i="88" s="1"/>
  <c r="N149" i="88"/>
  <c r="F149" i="88"/>
  <c r="F153" i="88" s="1"/>
  <c r="F156" i="88" s="1"/>
  <c r="K90" i="88"/>
  <c r="N68" i="88"/>
  <c r="F68" i="88"/>
  <c r="M153" i="88"/>
  <c r="M156" i="88" s="1"/>
  <c r="N127" i="88"/>
  <c r="N153" i="88" s="1"/>
  <c r="N156" i="88" s="1"/>
  <c r="H127" i="88"/>
  <c r="H153" i="88" s="1"/>
  <c r="H156" i="88" s="1"/>
  <c r="H75" i="88"/>
  <c r="H92" i="88" s="1"/>
  <c r="K127" i="88"/>
  <c r="I68" i="88"/>
  <c r="J127" i="88"/>
  <c r="J153" i="88" s="1"/>
  <c r="J156" i="88" s="1"/>
  <c r="I127" i="88"/>
  <c r="I153" i="88" s="1"/>
  <c r="I156" i="88" s="1"/>
  <c r="M149" i="88"/>
  <c r="J90" i="88"/>
  <c r="J78" i="87"/>
  <c r="J98" i="87" s="1"/>
  <c r="E121" i="87"/>
  <c r="E142" i="87" s="1"/>
  <c r="L98" i="87"/>
  <c r="G78" i="87"/>
  <c r="G98" i="87" s="1"/>
  <c r="G58" i="87"/>
  <c r="F139" i="87"/>
  <c r="F98" i="87"/>
  <c r="I105" i="87"/>
  <c r="I107" i="87"/>
  <c r="N21" i="87"/>
  <c r="N30" i="87" s="1"/>
  <c r="N34" i="87" s="1"/>
  <c r="J58" i="87"/>
  <c r="M142" i="87"/>
  <c r="L142" i="87"/>
  <c r="H78" i="87"/>
  <c r="H98" i="87" s="1"/>
  <c r="H58" i="87"/>
  <c r="H71" i="87" s="1"/>
  <c r="N139" i="87"/>
  <c r="L139" i="87"/>
  <c r="J69" i="87"/>
  <c r="J71" i="87" s="1"/>
  <c r="G108" i="87"/>
  <c r="G105" i="87"/>
  <c r="H21" i="87"/>
  <c r="H30" i="87" s="1"/>
  <c r="H34" i="87" s="1"/>
  <c r="N105" i="87"/>
  <c r="N121" i="87" s="1"/>
  <c r="N142" i="87" s="1"/>
  <c r="H105" i="87"/>
  <c r="H121" i="87" s="1"/>
  <c r="F105" i="87"/>
  <c r="F121" i="87" s="1"/>
  <c r="F142" i="87" s="1"/>
  <c r="K177" i="86"/>
  <c r="K180" i="86" s="1"/>
  <c r="K181" i="86" s="1"/>
  <c r="M180" i="86"/>
  <c r="M181" i="86" s="1"/>
  <c r="J177" i="86"/>
  <c r="J180" i="86" s="1"/>
  <c r="J181" i="86" s="1"/>
  <c r="I177" i="86"/>
  <c r="I180" i="86" s="1"/>
  <c r="I181" i="86" s="1"/>
  <c r="H177" i="86"/>
  <c r="H180" i="86" s="1"/>
  <c r="H181" i="86" s="1"/>
  <c r="E33" i="30"/>
  <c r="F33" i="30"/>
  <c r="G33" i="30"/>
  <c r="H33" i="30"/>
  <c r="I33" i="30"/>
  <c r="J33" i="30"/>
  <c r="K33" i="30"/>
  <c r="K32" i="30"/>
  <c r="K44" i="30" s="1"/>
  <c r="J32" i="30"/>
  <c r="I32" i="30"/>
  <c r="H32" i="30"/>
  <c r="G32" i="30"/>
  <c r="G44" i="30" s="1"/>
  <c r="F32" i="30"/>
  <c r="E32" i="30"/>
  <c r="W113" i="32" l="1"/>
  <c r="W96" i="32"/>
  <c r="S96" i="32"/>
  <c r="S113" i="32"/>
  <c r="X113" i="32"/>
  <c r="X96" i="32"/>
  <c r="AE113" i="32"/>
  <c r="AE96" i="32"/>
  <c r="AC113" i="32"/>
  <c r="AC96" i="32"/>
  <c r="U113" i="32"/>
  <c r="U96" i="32"/>
  <c r="Z96" i="32"/>
  <c r="Z113" i="32"/>
  <c r="T113" i="32"/>
  <c r="T96" i="32"/>
  <c r="V113" i="32"/>
  <c r="V96" i="32"/>
  <c r="AA96" i="32"/>
  <c r="AA113" i="32"/>
  <c r="AB113" i="32"/>
  <c r="AB96" i="32"/>
  <c r="AD113" i="32"/>
  <c r="AD96" i="32"/>
  <c r="M78" i="91"/>
  <c r="I126" i="91"/>
  <c r="I150" i="91" s="1"/>
  <c r="H126" i="91"/>
  <c r="H150" i="91" s="1"/>
  <c r="G103" i="91"/>
  <c r="L102" i="91"/>
  <c r="L103" i="91" s="1"/>
  <c r="J150" i="91"/>
  <c r="E150" i="91"/>
  <c r="J102" i="91"/>
  <c r="J103" i="91" s="1"/>
  <c r="E78" i="91"/>
  <c r="M150" i="91"/>
  <c r="L168" i="89"/>
  <c r="L107" i="89"/>
  <c r="L108" i="89" s="1"/>
  <c r="G168" i="89"/>
  <c r="N168" i="89"/>
  <c r="G93" i="88"/>
  <c r="L93" i="88"/>
  <c r="L153" i="88"/>
  <c r="L156" i="88" s="1"/>
  <c r="M93" i="88"/>
  <c r="K153" i="88"/>
  <c r="K156" i="88" s="1"/>
  <c r="J105" i="90"/>
  <c r="E105" i="90"/>
  <c r="E77" i="90"/>
  <c r="H105" i="90"/>
  <c r="N105" i="90"/>
  <c r="M105" i="90"/>
  <c r="J166" i="90"/>
  <c r="M98" i="87"/>
  <c r="I71" i="87"/>
  <c r="H142" i="87"/>
  <c r="G121" i="87"/>
  <c r="G142" i="87" s="1"/>
  <c r="J117" i="86"/>
  <c r="D2" i="86" s="1"/>
  <c r="K102" i="91"/>
  <c r="K103" i="91" s="1"/>
  <c r="I103" i="91"/>
  <c r="M102" i="91"/>
  <c r="M103" i="91" s="1"/>
  <c r="E102" i="91"/>
  <c r="E103" i="91" s="1"/>
  <c r="I105" i="90"/>
  <c r="I166" i="90"/>
  <c r="L105" i="90"/>
  <c r="K104" i="90"/>
  <c r="K105" i="90" s="1"/>
  <c r="D2" i="90" s="1"/>
  <c r="F166" i="90"/>
  <c r="G166" i="90"/>
  <c r="K108" i="89"/>
  <c r="H108" i="89"/>
  <c r="H93" i="88"/>
  <c r="N93" i="88"/>
  <c r="I93" i="88"/>
  <c r="F93" i="88"/>
  <c r="J93" i="88"/>
  <c r="I121" i="87"/>
  <c r="I142" i="87" s="1"/>
  <c r="C11" i="68"/>
  <c r="E9" i="32"/>
  <c r="E38" i="30"/>
  <c r="D2" i="91" l="1"/>
  <c r="D2" i="89"/>
  <c r="D2" i="88"/>
  <c r="E39" i="30"/>
  <c r="D147" i="74"/>
  <c r="D148" i="74" s="1"/>
  <c r="D145" i="74"/>
  <c r="D144" i="74" s="1"/>
  <c r="H143" i="74"/>
  <c r="I143" i="74" s="1"/>
  <c r="F143" i="74"/>
  <c r="E143" i="74" s="1"/>
  <c r="L6" i="79"/>
  <c r="K6" i="79"/>
  <c r="J6" i="79"/>
  <c r="I6" i="79"/>
  <c r="H6" i="79"/>
  <c r="G6" i="79"/>
  <c r="F6" i="79"/>
  <c r="E6" i="79"/>
  <c r="D6" i="79"/>
  <c r="C6" i="79"/>
  <c r="L5" i="79"/>
  <c r="K5" i="79"/>
  <c r="J5" i="79"/>
  <c r="I5" i="79"/>
  <c r="H5" i="79"/>
  <c r="G5" i="79"/>
  <c r="F5" i="79"/>
  <c r="E5" i="79"/>
  <c r="D5" i="79"/>
  <c r="C5" i="79"/>
  <c r="L4" i="79"/>
  <c r="K4" i="79"/>
  <c r="J4" i="79"/>
  <c r="I4" i="79"/>
  <c r="H4" i="79"/>
  <c r="G4" i="79"/>
  <c r="F4" i="79"/>
  <c r="E4" i="79"/>
  <c r="D4" i="79"/>
  <c r="C4" i="79"/>
  <c r="D5" i="82"/>
  <c r="Q7" i="82"/>
  <c r="N6" i="82"/>
  <c r="G5" i="82" s="1"/>
  <c r="D4" i="82"/>
  <c r="C24" i="74"/>
  <c r="C79" i="74" s="1"/>
  <c r="D8" i="74"/>
  <c r="E8" i="74"/>
  <c r="F8" i="74"/>
  <c r="G8" i="74"/>
  <c r="C8" i="74"/>
  <c r="I43" i="32"/>
  <c r="C21" i="74"/>
  <c r="AQ3" i="80"/>
  <c r="AO3" i="80"/>
  <c r="AM3" i="80"/>
  <c r="AK3" i="80"/>
  <c r="AI3" i="80"/>
  <c r="K41" i="81"/>
  <c r="J41" i="81"/>
  <c r="I41" i="81"/>
  <c r="H41" i="81"/>
  <c r="G41" i="81"/>
  <c r="F41" i="81"/>
  <c r="E41" i="81"/>
  <c r="K40" i="81"/>
  <c r="J40" i="81"/>
  <c r="I40" i="81"/>
  <c r="H40" i="81"/>
  <c r="G40" i="81"/>
  <c r="F40" i="81"/>
  <c r="E40" i="81"/>
  <c r="K38" i="81"/>
  <c r="J38" i="81"/>
  <c r="J39" i="81" s="1"/>
  <c r="I38" i="81"/>
  <c r="H38" i="81"/>
  <c r="G38" i="81"/>
  <c r="F38" i="81"/>
  <c r="K37" i="81"/>
  <c r="J37" i="81"/>
  <c r="I37" i="81"/>
  <c r="H37" i="81"/>
  <c r="G37" i="81"/>
  <c r="F37" i="81"/>
  <c r="E37" i="81"/>
  <c r="G39" i="81"/>
  <c r="K39" i="81"/>
  <c r="F39" i="81"/>
  <c r="H39" i="81"/>
  <c r="I39" i="81"/>
  <c r="D3" i="81"/>
  <c r="E3" i="81"/>
  <c r="F3" i="81" s="1"/>
  <c r="G3" i="81" s="1"/>
  <c r="H3" i="81" s="1"/>
  <c r="I3" i="81" s="1"/>
  <c r="J3" i="81" s="1"/>
  <c r="K3" i="81" s="1"/>
  <c r="L3" i="81" s="1"/>
  <c r="M3" i="81" s="1"/>
  <c r="N3" i="81" s="1"/>
  <c r="O3" i="81" s="1"/>
  <c r="P3" i="81" s="1"/>
  <c r="Q3" i="81" s="1"/>
  <c r="C26" i="74"/>
  <c r="N5" i="82" s="1"/>
  <c r="I5" i="82" s="1"/>
  <c r="C25" i="74"/>
  <c r="N4" i="82" s="1"/>
  <c r="D3" i="79"/>
  <c r="F3" i="79"/>
  <c r="H3" i="79"/>
  <c r="J3" i="79"/>
  <c r="L3" i="79"/>
  <c r="G4" i="82" l="1"/>
  <c r="D134" i="74"/>
  <c r="D133" i="74" s="1"/>
  <c r="C53" i="74"/>
  <c r="I4" i="82"/>
  <c r="I8" i="82"/>
  <c r="I9" i="82"/>
  <c r="D136" i="74" l="1"/>
  <c r="D137" i="74" s="1"/>
  <c r="H8" i="78" l="1"/>
  <c r="H9" i="78" s="1"/>
  <c r="H13" i="78" s="1"/>
  <c r="F8" i="78"/>
  <c r="G17" i="78"/>
  <c r="G21" i="78" s="1"/>
  <c r="H17" i="78"/>
  <c r="H21" i="78" s="1"/>
  <c r="G9" i="78"/>
  <c r="G13" i="78" s="1"/>
  <c r="D42" i="78"/>
  <c r="E42" i="78"/>
  <c r="F42" i="78"/>
  <c r="G42" i="78"/>
  <c r="H42" i="78"/>
  <c r="C42" i="78"/>
  <c r="H26" i="78"/>
  <c r="H28" i="78" s="1"/>
  <c r="H32" i="78" s="1"/>
  <c r="G26" i="78"/>
  <c r="G28" i="78" s="1"/>
  <c r="G32" i="78" s="1"/>
  <c r="K40" i="75"/>
  <c r="J40" i="75"/>
  <c r="I40" i="75"/>
  <c r="H40" i="75"/>
  <c r="G40" i="75"/>
  <c r="F40" i="75"/>
  <c r="E40" i="75"/>
  <c r="K40" i="73"/>
  <c r="J40" i="73"/>
  <c r="I40" i="73"/>
  <c r="H40" i="73"/>
  <c r="G40" i="73"/>
  <c r="F40" i="73"/>
  <c r="E40" i="73"/>
  <c r="E36" i="78"/>
  <c r="E40" i="78" s="1"/>
  <c r="E23" i="78" s="1"/>
  <c r="K40" i="72"/>
  <c r="J40" i="72"/>
  <c r="I40" i="72"/>
  <c r="H40" i="72"/>
  <c r="G40" i="72"/>
  <c r="F40" i="72"/>
  <c r="E40" i="72"/>
  <c r="K40" i="71"/>
  <c r="J40" i="71"/>
  <c r="I40" i="71"/>
  <c r="H40" i="71"/>
  <c r="G40" i="71"/>
  <c r="F40" i="71"/>
  <c r="E40" i="71"/>
  <c r="F40" i="30"/>
  <c r="G40" i="30"/>
  <c r="H40" i="30"/>
  <c r="I40" i="30"/>
  <c r="J40" i="30"/>
  <c r="K40" i="30"/>
  <c r="E40" i="30"/>
  <c r="K38" i="75"/>
  <c r="J38" i="75"/>
  <c r="J39" i="75" s="1"/>
  <c r="I38" i="75"/>
  <c r="I39" i="75" s="1"/>
  <c r="H38" i="75"/>
  <c r="H39" i="75" s="1"/>
  <c r="G38" i="75"/>
  <c r="F38" i="75"/>
  <c r="F39" i="75" s="1"/>
  <c r="G39" i="75"/>
  <c r="K39" i="75"/>
  <c r="K38" i="73"/>
  <c r="K39" i="73" s="1"/>
  <c r="J38" i="73"/>
  <c r="J39" i="73" s="1"/>
  <c r="I38" i="73"/>
  <c r="I39" i="73" s="1"/>
  <c r="H38" i="73"/>
  <c r="H39" i="73" s="1"/>
  <c r="G38" i="73"/>
  <c r="F38" i="73"/>
  <c r="F39" i="73" s="1"/>
  <c r="G39" i="73"/>
  <c r="K38" i="72"/>
  <c r="K39" i="72" s="1"/>
  <c r="J38" i="72"/>
  <c r="J39" i="72" s="1"/>
  <c r="I38" i="72"/>
  <c r="I39" i="72" s="1"/>
  <c r="H38" i="72"/>
  <c r="H39" i="72" s="1"/>
  <c r="G38" i="72"/>
  <c r="G39" i="72" s="1"/>
  <c r="F38" i="72"/>
  <c r="F39" i="72" s="1"/>
  <c r="F38" i="71"/>
  <c r="F39" i="71" s="1"/>
  <c r="G38" i="71"/>
  <c r="G39" i="71" s="1"/>
  <c r="H38" i="71"/>
  <c r="H39" i="71" s="1"/>
  <c r="I38" i="71"/>
  <c r="I39" i="71" s="1"/>
  <c r="J38" i="71"/>
  <c r="J39" i="71" s="1"/>
  <c r="K38" i="71"/>
  <c r="K39" i="71" s="1"/>
  <c r="E38" i="71"/>
  <c r="E39" i="71" s="1"/>
  <c r="F38" i="30"/>
  <c r="F39" i="30" s="1"/>
  <c r="G38" i="30"/>
  <c r="G39" i="30" s="1"/>
  <c r="H38" i="30"/>
  <c r="H39" i="30" s="1"/>
  <c r="I38" i="30"/>
  <c r="I39" i="30" s="1"/>
  <c r="J38" i="30"/>
  <c r="J39" i="30" s="1"/>
  <c r="K38" i="30"/>
  <c r="K39" i="30" s="1"/>
  <c r="F35" i="78"/>
  <c r="G35" i="78" s="1"/>
  <c r="H35" i="78" s="1"/>
  <c r="E37" i="75"/>
  <c r="F37" i="75"/>
  <c r="G37" i="75"/>
  <c r="H37" i="75"/>
  <c r="I37" i="75"/>
  <c r="J37" i="75"/>
  <c r="K37" i="75"/>
  <c r="F37" i="73"/>
  <c r="G37" i="73"/>
  <c r="H37" i="73"/>
  <c r="I37" i="73"/>
  <c r="J37" i="73"/>
  <c r="K37" i="73"/>
  <c r="E37" i="73"/>
  <c r="F37" i="72"/>
  <c r="G37" i="72"/>
  <c r="H37" i="72"/>
  <c r="I37" i="72"/>
  <c r="J37" i="72"/>
  <c r="K37" i="72"/>
  <c r="E37" i="72"/>
  <c r="F37" i="71"/>
  <c r="G37" i="71"/>
  <c r="H37" i="71"/>
  <c r="I37" i="71"/>
  <c r="J37" i="71"/>
  <c r="K37" i="71"/>
  <c r="E37" i="71"/>
  <c r="D3" i="78"/>
  <c r="E3" i="78" s="1"/>
  <c r="F3" i="78" s="1"/>
  <c r="G3" i="78" s="1"/>
  <c r="H3" i="78" s="1"/>
  <c r="C16" i="68"/>
  <c r="S12" i="77"/>
  <c r="T12" i="77" s="1"/>
  <c r="S11" i="77"/>
  <c r="T11" i="77" s="1"/>
  <c r="S10" i="77"/>
  <c r="T10" i="77" s="1"/>
  <c r="S9" i="77"/>
  <c r="T9" i="77" s="1"/>
  <c r="S8" i="77"/>
  <c r="T8" i="77" s="1"/>
  <c r="S5" i="77"/>
  <c r="P12" i="77"/>
  <c r="Q12" i="77" s="1"/>
  <c r="P11" i="77"/>
  <c r="Q11" i="77" s="1"/>
  <c r="P10" i="77"/>
  <c r="Q10" i="77" s="1"/>
  <c r="P9" i="77"/>
  <c r="Q9" i="77" s="1"/>
  <c r="P8" i="77"/>
  <c r="Q8" i="77" s="1"/>
  <c r="P5" i="77"/>
  <c r="Q5" i="77" s="1"/>
  <c r="G15" i="77"/>
  <c r="I15" i="77"/>
  <c r="K15" i="77"/>
  <c r="M15" i="77"/>
  <c r="O15" i="77"/>
  <c r="R15" i="77"/>
  <c r="G16" i="77"/>
  <c r="I16" i="77"/>
  <c r="K16" i="77"/>
  <c r="M16" i="77"/>
  <c r="O16" i="77"/>
  <c r="R16" i="77"/>
  <c r="G17" i="77"/>
  <c r="I17" i="77"/>
  <c r="K17" i="77"/>
  <c r="M17" i="77"/>
  <c r="O17" i="77"/>
  <c r="R17" i="77"/>
  <c r="G18" i="77"/>
  <c r="I18" i="77"/>
  <c r="K18" i="77"/>
  <c r="M18" i="77"/>
  <c r="O18" i="77"/>
  <c r="R18" i="77"/>
  <c r="E18" i="77"/>
  <c r="E17" i="77"/>
  <c r="E16" i="77"/>
  <c r="E15" i="77"/>
  <c r="N12" i="77"/>
  <c r="N11" i="77"/>
  <c r="N10" i="77"/>
  <c r="N9" i="77"/>
  <c r="N8" i="77"/>
  <c r="N5" i="77"/>
  <c r="L12" i="77"/>
  <c r="L11" i="77"/>
  <c r="L10" i="77"/>
  <c r="L9" i="77"/>
  <c r="L8" i="77"/>
  <c r="L5" i="77"/>
  <c r="J12" i="77"/>
  <c r="J11" i="77"/>
  <c r="J10" i="77"/>
  <c r="J9" i="77"/>
  <c r="J8" i="77"/>
  <c r="J5" i="77"/>
  <c r="H12" i="77"/>
  <c r="H11" i="77"/>
  <c r="H10" i="77"/>
  <c r="H9" i="77"/>
  <c r="H8" i="77"/>
  <c r="H5" i="77"/>
  <c r="F15" i="77"/>
  <c r="F16" i="77"/>
  <c r="F17" i="77"/>
  <c r="F18" i="77"/>
  <c r="D3" i="74"/>
  <c r="E3" i="74" s="1"/>
  <c r="F3" i="74" s="1"/>
  <c r="G3" i="74" s="1"/>
  <c r="H3" i="74" s="1"/>
  <c r="I3" i="74" s="1"/>
  <c r="J3" i="74" s="1"/>
  <c r="K3" i="74" s="1"/>
  <c r="L3" i="74" s="1"/>
  <c r="K41" i="75"/>
  <c r="J41" i="75"/>
  <c r="I41" i="75"/>
  <c r="H41" i="75"/>
  <c r="G41" i="75"/>
  <c r="F41" i="75"/>
  <c r="E41" i="75"/>
  <c r="D3" i="75"/>
  <c r="E3" i="75" s="1"/>
  <c r="F3" i="75" s="1"/>
  <c r="G3" i="75" s="1"/>
  <c r="H3" i="75" s="1"/>
  <c r="I3" i="75" s="1"/>
  <c r="J3" i="75" s="1"/>
  <c r="K3" i="75" s="1"/>
  <c r="L3" i="75" s="1"/>
  <c r="M3" i="75" s="1"/>
  <c r="N3" i="75" s="1"/>
  <c r="O3" i="75" s="1"/>
  <c r="P3" i="75" s="1"/>
  <c r="Q3" i="75" s="1"/>
  <c r="K41" i="73"/>
  <c r="J41" i="73"/>
  <c r="I41" i="73"/>
  <c r="H41" i="73"/>
  <c r="G41" i="73"/>
  <c r="F41" i="73"/>
  <c r="E41" i="73"/>
  <c r="D3" i="73"/>
  <c r="E3" i="73" s="1"/>
  <c r="F3" i="73" s="1"/>
  <c r="G3" i="73" s="1"/>
  <c r="H3" i="73" s="1"/>
  <c r="I3" i="73" s="1"/>
  <c r="J3" i="73" s="1"/>
  <c r="K3" i="73" s="1"/>
  <c r="L3" i="73" s="1"/>
  <c r="M3" i="73" s="1"/>
  <c r="N3" i="73" s="1"/>
  <c r="O3" i="73" s="1"/>
  <c r="P3" i="73" s="1"/>
  <c r="Q3" i="73" s="1"/>
  <c r="K41" i="72"/>
  <c r="J41" i="72"/>
  <c r="I41" i="72"/>
  <c r="H41" i="72"/>
  <c r="G41" i="72"/>
  <c r="F41" i="72"/>
  <c r="E41" i="72"/>
  <c r="D3" i="72"/>
  <c r="E3" i="72" s="1"/>
  <c r="F3" i="72" s="1"/>
  <c r="G3" i="72" s="1"/>
  <c r="H3" i="72" s="1"/>
  <c r="I3" i="72" s="1"/>
  <c r="J3" i="72" s="1"/>
  <c r="K3" i="72" s="1"/>
  <c r="L3" i="72" s="1"/>
  <c r="M3" i="72" s="1"/>
  <c r="N3" i="72" s="1"/>
  <c r="O3" i="72" s="1"/>
  <c r="P3" i="72" s="1"/>
  <c r="Q3" i="72" s="1"/>
  <c r="D3" i="71"/>
  <c r="E3" i="71" s="1"/>
  <c r="F3" i="71" s="1"/>
  <c r="G3" i="71" s="1"/>
  <c r="H3" i="71" s="1"/>
  <c r="I3" i="71" s="1"/>
  <c r="J3" i="71" s="1"/>
  <c r="K3" i="71" s="1"/>
  <c r="L3" i="71" s="1"/>
  <c r="M3" i="71" s="1"/>
  <c r="N3" i="71" s="1"/>
  <c r="O3" i="71" s="1"/>
  <c r="P3" i="71" s="1"/>
  <c r="Q3" i="71" s="1"/>
  <c r="M7" i="68"/>
  <c r="M6" i="68" s="1"/>
  <c r="C8" i="68"/>
  <c r="L28" i="61"/>
  <c r="K28" i="61"/>
  <c r="J28" i="61"/>
  <c r="I28" i="61"/>
  <c r="H28" i="61"/>
  <c r="G28" i="61"/>
  <c r="F28" i="61"/>
  <c r="E28" i="61"/>
  <c r="D28" i="61"/>
  <c r="C28" i="61"/>
  <c r="L27" i="61"/>
  <c r="K27" i="61"/>
  <c r="J27" i="61"/>
  <c r="I27" i="61"/>
  <c r="H27" i="61"/>
  <c r="G27" i="61"/>
  <c r="F27" i="61"/>
  <c r="E27" i="61"/>
  <c r="D27" i="61"/>
  <c r="C27" i="61"/>
  <c r="L26" i="61"/>
  <c r="K26" i="61"/>
  <c r="J26" i="61"/>
  <c r="I26" i="61"/>
  <c r="H26" i="61"/>
  <c r="G26" i="61"/>
  <c r="F26" i="61"/>
  <c r="E26" i="61"/>
  <c r="E33" i="81" s="1"/>
  <c r="D26" i="61"/>
  <c r="C26" i="61"/>
  <c r="L25" i="61"/>
  <c r="K25" i="61"/>
  <c r="J25" i="61"/>
  <c r="I25" i="61"/>
  <c r="H25" i="61"/>
  <c r="G25" i="61"/>
  <c r="F25" i="61"/>
  <c r="E25" i="61"/>
  <c r="D25" i="61"/>
  <c r="C25" i="61"/>
  <c r="L28" i="57"/>
  <c r="K28" i="57"/>
  <c r="J28" i="57"/>
  <c r="I28" i="57"/>
  <c r="H28" i="57"/>
  <c r="G28" i="57"/>
  <c r="F28" i="57"/>
  <c r="E28" i="57"/>
  <c r="D28" i="57"/>
  <c r="C28" i="57"/>
  <c r="L27" i="57"/>
  <c r="K27" i="57"/>
  <c r="J27" i="57"/>
  <c r="I27" i="57"/>
  <c r="H27" i="57"/>
  <c r="G27" i="57"/>
  <c r="F27" i="57"/>
  <c r="E27" i="57"/>
  <c r="D27" i="57"/>
  <c r="C27" i="57"/>
  <c r="L26" i="57"/>
  <c r="K26" i="57"/>
  <c r="J26" i="57"/>
  <c r="I26" i="57"/>
  <c r="H26" i="57"/>
  <c r="G26" i="57"/>
  <c r="F26" i="57"/>
  <c r="E26" i="57"/>
  <c r="D26" i="57"/>
  <c r="C26" i="57"/>
  <c r="L25" i="57"/>
  <c r="K25" i="57"/>
  <c r="J25" i="57"/>
  <c r="I25" i="57"/>
  <c r="H25" i="57"/>
  <c r="G25" i="57"/>
  <c r="F25" i="57"/>
  <c r="E25" i="57"/>
  <c r="D25" i="57"/>
  <c r="C25" i="57"/>
  <c r="L28" i="56"/>
  <c r="K28" i="56"/>
  <c r="J28" i="56"/>
  <c r="I28" i="56"/>
  <c r="H28" i="56"/>
  <c r="G28" i="56"/>
  <c r="F28" i="56"/>
  <c r="E28" i="56"/>
  <c r="D28" i="56"/>
  <c r="C28" i="56"/>
  <c r="L27" i="56"/>
  <c r="K27" i="56"/>
  <c r="J27" i="56"/>
  <c r="I27" i="56"/>
  <c r="H27" i="56"/>
  <c r="G27" i="56"/>
  <c r="F27" i="56"/>
  <c r="E27" i="56"/>
  <c r="D27" i="56"/>
  <c r="C27" i="56"/>
  <c r="L26" i="56"/>
  <c r="K26" i="56"/>
  <c r="J26" i="56"/>
  <c r="I26" i="56"/>
  <c r="H26" i="56"/>
  <c r="G26" i="56"/>
  <c r="F26" i="56"/>
  <c r="E26" i="56"/>
  <c r="D26" i="56"/>
  <c r="C26" i="56"/>
  <c r="L25" i="56"/>
  <c r="K25" i="56"/>
  <c r="J25" i="56"/>
  <c r="I25" i="56"/>
  <c r="H25" i="56"/>
  <c r="G25" i="56"/>
  <c r="F25" i="56"/>
  <c r="E25" i="56"/>
  <c r="D25" i="56"/>
  <c r="C25" i="56"/>
  <c r="L28" i="55"/>
  <c r="K28" i="55"/>
  <c r="J28" i="55"/>
  <c r="I28" i="55"/>
  <c r="H28" i="55"/>
  <c r="G28" i="55"/>
  <c r="F28" i="55"/>
  <c r="E28" i="55"/>
  <c r="D28" i="55"/>
  <c r="L27" i="55"/>
  <c r="K27" i="55"/>
  <c r="J27" i="55"/>
  <c r="I27" i="55"/>
  <c r="H27" i="55"/>
  <c r="G27" i="55"/>
  <c r="F27" i="55"/>
  <c r="E27" i="55"/>
  <c r="D27" i="55"/>
  <c r="L26" i="55"/>
  <c r="K26" i="55"/>
  <c r="J26" i="55"/>
  <c r="I26" i="55"/>
  <c r="H26" i="55"/>
  <c r="G26" i="55"/>
  <c r="F26" i="55"/>
  <c r="E26" i="55"/>
  <c r="D26" i="55"/>
  <c r="L25" i="55"/>
  <c r="K25" i="55"/>
  <c r="J25" i="55"/>
  <c r="I25" i="55"/>
  <c r="H25" i="55"/>
  <c r="G25" i="55"/>
  <c r="F25" i="55"/>
  <c r="E25" i="55"/>
  <c r="D25" i="55"/>
  <c r="D3" i="30"/>
  <c r="L55" i="55"/>
  <c r="L55" i="56"/>
  <c r="L55" i="57"/>
  <c r="L55" i="61"/>
  <c r="L143" i="61" s="1"/>
  <c r="L92" i="61"/>
  <c r="K92" i="61"/>
  <c r="J92" i="61"/>
  <c r="I92" i="61"/>
  <c r="H92" i="61"/>
  <c r="G92" i="61"/>
  <c r="F92" i="61"/>
  <c r="E92" i="61"/>
  <c r="D92" i="61"/>
  <c r="C92" i="61"/>
  <c r="L91" i="61"/>
  <c r="K91" i="61"/>
  <c r="J91" i="61"/>
  <c r="I91" i="61"/>
  <c r="H91" i="61"/>
  <c r="G91" i="61"/>
  <c r="F91" i="61"/>
  <c r="E91" i="61"/>
  <c r="D91" i="61"/>
  <c r="C91" i="61"/>
  <c r="L90" i="61"/>
  <c r="K90" i="61"/>
  <c r="J90" i="61"/>
  <c r="I90" i="61"/>
  <c r="H90" i="61"/>
  <c r="G90" i="61"/>
  <c r="F90" i="61"/>
  <c r="E90" i="61"/>
  <c r="D90" i="61"/>
  <c r="C90" i="61"/>
  <c r="L87" i="61"/>
  <c r="K87" i="61"/>
  <c r="J87" i="61"/>
  <c r="I87" i="61"/>
  <c r="H87" i="61"/>
  <c r="G87" i="61"/>
  <c r="F87" i="61"/>
  <c r="E87" i="61"/>
  <c r="D87" i="61"/>
  <c r="C87" i="61"/>
  <c r="L86" i="61"/>
  <c r="K86" i="61"/>
  <c r="J86" i="61"/>
  <c r="I86" i="61"/>
  <c r="H86" i="61"/>
  <c r="G86" i="61"/>
  <c r="F86" i="61"/>
  <c r="F78" i="81" s="1"/>
  <c r="E86" i="61"/>
  <c r="D86" i="61"/>
  <c r="C86" i="61"/>
  <c r="L83" i="61"/>
  <c r="K83" i="61"/>
  <c r="J83" i="61"/>
  <c r="I83" i="61"/>
  <c r="H83" i="61"/>
  <c r="G83" i="61"/>
  <c r="F83" i="61"/>
  <c r="E83" i="61"/>
  <c r="D83" i="61"/>
  <c r="C83" i="61"/>
  <c r="L82" i="61"/>
  <c r="K82" i="61"/>
  <c r="J82" i="61"/>
  <c r="I82" i="61"/>
  <c r="H82" i="61"/>
  <c r="G82" i="61"/>
  <c r="F82" i="61"/>
  <c r="E82" i="61"/>
  <c r="D82" i="61"/>
  <c r="C82" i="61"/>
  <c r="L81" i="61"/>
  <c r="K81" i="61"/>
  <c r="J81" i="61"/>
  <c r="I81" i="61"/>
  <c r="H81" i="61"/>
  <c r="G81" i="61"/>
  <c r="F81" i="61"/>
  <c r="E81" i="61"/>
  <c r="D81" i="61"/>
  <c r="C81" i="61"/>
  <c r="L78" i="61"/>
  <c r="K78" i="61"/>
  <c r="J78" i="61"/>
  <c r="I78" i="61"/>
  <c r="H78" i="61"/>
  <c r="G78" i="61"/>
  <c r="F78" i="61"/>
  <c r="E78" i="61"/>
  <c r="D78" i="61"/>
  <c r="C78" i="61"/>
  <c r="L75" i="61"/>
  <c r="K75" i="61"/>
  <c r="J75" i="61"/>
  <c r="I75" i="61"/>
  <c r="H75" i="61"/>
  <c r="G75" i="61"/>
  <c r="F75" i="61"/>
  <c r="E75" i="61"/>
  <c r="D75" i="61"/>
  <c r="C75" i="61"/>
  <c r="L74" i="61"/>
  <c r="K74" i="61"/>
  <c r="J74" i="61"/>
  <c r="I74" i="61"/>
  <c r="H74" i="61"/>
  <c r="G74" i="61"/>
  <c r="F74" i="61"/>
  <c r="E74" i="61"/>
  <c r="D74" i="61"/>
  <c r="C74" i="61"/>
  <c r="L73" i="61"/>
  <c r="K73" i="61"/>
  <c r="J73" i="61"/>
  <c r="I73" i="61"/>
  <c r="I77" i="81" s="1"/>
  <c r="H73" i="61"/>
  <c r="H77" i="81" s="1"/>
  <c r="G73" i="61"/>
  <c r="F73" i="61"/>
  <c r="E73" i="61"/>
  <c r="D73" i="61"/>
  <c r="C73" i="61"/>
  <c r="L72" i="61"/>
  <c r="K72" i="61"/>
  <c r="J72" i="61"/>
  <c r="I72" i="61"/>
  <c r="H72" i="61"/>
  <c r="G72" i="61"/>
  <c r="F72" i="61"/>
  <c r="E72" i="61"/>
  <c r="D72" i="61"/>
  <c r="C72" i="61"/>
  <c r="L65" i="61"/>
  <c r="L138" i="61" s="1"/>
  <c r="K65" i="61"/>
  <c r="J65" i="61"/>
  <c r="I65" i="61"/>
  <c r="H65" i="61"/>
  <c r="H138" i="61" s="1"/>
  <c r="G65" i="61"/>
  <c r="F65" i="61"/>
  <c r="E65" i="61"/>
  <c r="D65" i="61"/>
  <c r="D138" i="61" s="1"/>
  <c r="C65" i="61"/>
  <c r="C138" i="61" s="1"/>
  <c r="L64" i="61"/>
  <c r="K64" i="61"/>
  <c r="J64" i="61"/>
  <c r="I64" i="61"/>
  <c r="I123" i="61" s="1"/>
  <c r="H64" i="61"/>
  <c r="G64" i="61"/>
  <c r="G123" i="61" s="1"/>
  <c r="F64" i="61"/>
  <c r="E64" i="61"/>
  <c r="E123" i="61" s="1"/>
  <c r="D64" i="61"/>
  <c r="C64" i="61"/>
  <c r="L63" i="61"/>
  <c r="L122" i="61" s="1"/>
  <c r="K63" i="61"/>
  <c r="J63" i="61"/>
  <c r="I63" i="61"/>
  <c r="I122" i="61" s="1"/>
  <c r="H63" i="61"/>
  <c r="H122" i="61" s="1"/>
  <c r="G63" i="61"/>
  <c r="F63" i="61"/>
  <c r="F122" i="61" s="1"/>
  <c r="E63" i="61"/>
  <c r="D63" i="61"/>
  <c r="D122" i="61" s="1"/>
  <c r="C63" i="61"/>
  <c r="L60" i="61"/>
  <c r="K60" i="61"/>
  <c r="K129" i="61" s="1"/>
  <c r="J60" i="61"/>
  <c r="I60" i="61"/>
  <c r="I129" i="61" s="1"/>
  <c r="H60" i="61"/>
  <c r="G60" i="61"/>
  <c r="F60" i="61"/>
  <c r="F129" i="61" s="1"/>
  <c r="E60" i="61"/>
  <c r="E129" i="61" s="1"/>
  <c r="D60" i="61"/>
  <c r="D129" i="61" s="1"/>
  <c r="C60" i="61"/>
  <c r="L59" i="61"/>
  <c r="K59" i="61"/>
  <c r="J59" i="61"/>
  <c r="I59" i="61"/>
  <c r="H59" i="61"/>
  <c r="H61" i="61" s="1"/>
  <c r="G59" i="61"/>
  <c r="F59" i="61"/>
  <c r="E59" i="61"/>
  <c r="D59" i="61"/>
  <c r="C59" i="61"/>
  <c r="L58" i="61"/>
  <c r="L139" i="61" s="1"/>
  <c r="K58" i="61"/>
  <c r="K139" i="61" s="1"/>
  <c r="J58" i="61"/>
  <c r="J139" i="61" s="1"/>
  <c r="I58" i="61"/>
  <c r="I139" i="61" s="1"/>
  <c r="H58" i="61"/>
  <c r="G58" i="61"/>
  <c r="G139" i="61" s="1"/>
  <c r="F58" i="61"/>
  <c r="F139" i="61" s="1"/>
  <c r="E58" i="61"/>
  <c r="E139" i="61" s="1"/>
  <c r="D58" i="61"/>
  <c r="C58" i="61"/>
  <c r="K55" i="61"/>
  <c r="K143" i="61" s="1"/>
  <c r="J55" i="61"/>
  <c r="J143" i="61" s="1"/>
  <c r="I55" i="61"/>
  <c r="I143" i="61" s="1"/>
  <c r="H55" i="61"/>
  <c r="H143" i="61" s="1"/>
  <c r="G55" i="61"/>
  <c r="G143" i="61" s="1"/>
  <c r="F55" i="61"/>
  <c r="E55" i="61"/>
  <c r="D55" i="61"/>
  <c r="D143" i="61" s="1"/>
  <c r="C55" i="61"/>
  <c r="C143" i="61" s="1"/>
  <c r="L54" i="61"/>
  <c r="K54" i="61"/>
  <c r="J54" i="61"/>
  <c r="I54" i="61"/>
  <c r="H54" i="61"/>
  <c r="G54" i="61"/>
  <c r="F54" i="61"/>
  <c r="E54" i="61"/>
  <c r="D54" i="61"/>
  <c r="C54" i="61"/>
  <c r="L53" i="61"/>
  <c r="K53" i="61"/>
  <c r="J53" i="61"/>
  <c r="I53" i="61"/>
  <c r="H53" i="61"/>
  <c r="G53" i="61"/>
  <c r="F53" i="61"/>
  <c r="E53" i="61"/>
  <c r="D53" i="61"/>
  <c r="C53" i="61"/>
  <c r="L46" i="61"/>
  <c r="K46" i="61"/>
  <c r="J46" i="61"/>
  <c r="I46" i="61"/>
  <c r="H46" i="61"/>
  <c r="G46" i="61"/>
  <c r="F46" i="61"/>
  <c r="E46" i="61"/>
  <c r="D46" i="61"/>
  <c r="C46" i="61"/>
  <c r="L45" i="61"/>
  <c r="K45" i="61"/>
  <c r="K121" i="61" s="1"/>
  <c r="J45" i="61"/>
  <c r="J121" i="61" s="1"/>
  <c r="I45" i="61"/>
  <c r="H45" i="61"/>
  <c r="H121" i="61" s="1"/>
  <c r="G45" i="61"/>
  <c r="G121" i="61" s="1"/>
  <c r="F45" i="61"/>
  <c r="F121" i="61" s="1"/>
  <c r="E45" i="61"/>
  <c r="D45" i="61"/>
  <c r="C45" i="61"/>
  <c r="C121" i="61" s="1"/>
  <c r="L44" i="61"/>
  <c r="L119" i="61" s="1"/>
  <c r="K44" i="61"/>
  <c r="K119" i="61" s="1"/>
  <c r="J44" i="61"/>
  <c r="I44" i="61"/>
  <c r="H44" i="61"/>
  <c r="G44" i="61"/>
  <c r="F44" i="61"/>
  <c r="E44" i="61"/>
  <c r="D44" i="61"/>
  <c r="C44" i="61"/>
  <c r="L43" i="61"/>
  <c r="L120" i="61" s="1"/>
  <c r="K43" i="61"/>
  <c r="K120" i="61" s="1"/>
  <c r="J43" i="61"/>
  <c r="J120" i="61" s="1"/>
  <c r="I43" i="61"/>
  <c r="I120" i="61" s="1"/>
  <c r="H43" i="61"/>
  <c r="H120" i="61" s="1"/>
  <c r="G43" i="61"/>
  <c r="F43" i="61"/>
  <c r="F120" i="61" s="1"/>
  <c r="E43" i="61"/>
  <c r="E120" i="61" s="1"/>
  <c r="D43" i="61"/>
  <c r="D120" i="61" s="1"/>
  <c r="C43" i="61"/>
  <c r="C120" i="61" s="1"/>
  <c r="L40" i="61"/>
  <c r="K40" i="61"/>
  <c r="J40" i="61"/>
  <c r="I40" i="61"/>
  <c r="H40" i="61"/>
  <c r="G40" i="61"/>
  <c r="F40" i="61"/>
  <c r="F128" i="61" s="1"/>
  <c r="E40" i="61"/>
  <c r="D40" i="61"/>
  <c r="C40" i="61"/>
  <c r="L39" i="61"/>
  <c r="L133" i="61" s="1"/>
  <c r="K39" i="61"/>
  <c r="K133" i="61" s="1"/>
  <c r="J39" i="61"/>
  <c r="J133" i="61" s="1"/>
  <c r="I39" i="61"/>
  <c r="H39" i="61"/>
  <c r="G39" i="61"/>
  <c r="G133" i="61" s="1"/>
  <c r="F39" i="61"/>
  <c r="F133" i="61" s="1"/>
  <c r="E39" i="61"/>
  <c r="D39" i="61"/>
  <c r="D133" i="61" s="1"/>
  <c r="C39" i="61"/>
  <c r="C133" i="61" s="1"/>
  <c r="L38" i="61"/>
  <c r="K38" i="61"/>
  <c r="J38" i="61"/>
  <c r="J127" i="61" s="1"/>
  <c r="I38" i="61"/>
  <c r="I127" i="61" s="1"/>
  <c r="H38" i="61"/>
  <c r="G38" i="61"/>
  <c r="F38" i="61"/>
  <c r="E38" i="61"/>
  <c r="D38" i="61"/>
  <c r="C38" i="61"/>
  <c r="C127" i="61" s="1"/>
  <c r="L37" i="61"/>
  <c r="L126" i="61" s="1"/>
  <c r="K37" i="61"/>
  <c r="K126" i="61" s="1"/>
  <c r="J37" i="61"/>
  <c r="J126" i="61" s="1"/>
  <c r="I37" i="61"/>
  <c r="H37" i="61"/>
  <c r="G37" i="61"/>
  <c r="G126" i="61" s="1"/>
  <c r="F37" i="61"/>
  <c r="F126" i="61" s="1"/>
  <c r="E37" i="61"/>
  <c r="E126" i="61" s="1"/>
  <c r="D37" i="61"/>
  <c r="D126" i="61" s="1"/>
  <c r="C37" i="61"/>
  <c r="C126" i="61" s="1"/>
  <c r="L20" i="61"/>
  <c r="K20" i="61"/>
  <c r="J20" i="61"/>
  <c r="I20" i="61"/>
  <c r="H20" i="61"/>
  <c r="G20" i="61"/>
  <c r="F20" i="61"/>
  <c r="E20" i="61"/>
  <c r="D20" i="61"/>
  <c r="C20" i="61"/>
  <c r="L19" i="61"/>
  <c r="K19" i="61"/>
  <c r="J19" i="61"/>
  <c r="I19" i="61"/>
  <c r="H19" i="61"/>
  <c r="G19" i="61"/>
  <c r="F19" i="61"/>
  <c r="E19" i="61"/>
  <c r="D19" i="61"/>
  <c r="C19" i="61"/>
  <c r="L17" i="61"/>
  <c r="K17" i="61"/>
  <c r="J17" i="61"/>
  <c r="J29" i="81" s="1"/>
  <c r="I17" i="61"/>
  <c r="I29" i="81" s="1"/>
  <c r="H17" i="61"/>
  <c r="G17" i="61"/>
  <c r="F17" i="61"/>
  <c r="E17" i="61"/>
  <c r="E29" i="81" s="1"/>
  <c r="D17" i="61"/>
  <c r="C17" i="61"/>
  <c r="N111" i="61"/>
  <c r="N113" i="61" s="1"/>
  <c r="N110" i="61" s="1"/>
  <c r="N100" i="61" s="1"/>
  <c r="L15" i="61"/>
  <c r="L111" i="61" s="1"/>
  <c r="K15" i="61"/>
  <c r="J15" i="61"/>
  <c r="I15" i="61"/>
  <c r="H15" i="61"/>
  <c r="G15" i="61"/>
  <c r="F15" i="61"/>
  <c r="E15" i="61"/>
  <c r="E28" i="81" s="1"/>
  <c r="D15" i="61"/>
  <c r="C15" i="61"/>
  <c r="C111" i="61" s="1"/>
  <c r="C113" i="61" s="1"/>
  <c r="C110" i="61" s="1"/>
  <c r="C100" i="61" s="1"/>
  <c r="L14" i="61"/>
  <c r="K14" i="61"/>
  <c r="J14" i="61"/>
  <c r="I14" i="61"/>
  <c r="H14" i="61"/>
  <c r="G14" i="61"/>
  <c r="F14" i="61"/>
  <c r="E14" i="61"/>
  <c r="D14" i="61"/>
  <c r="C14" i="61"/>
  <c r="N103" i="61"/>
  <c r="N105" i="61" s="1"/>
  <c r="N102" i="61" s="1"/>
  <c r="L13" i="61"/>
  <c r="L103" i="61" s="1"/>
  <c r="K13" i="61"/>
  <c r="J13" i="61"/>
  <c r="J25" i="81" s="1"/>
  <c r="I13" i="61"/>
  <c r="I25" i="81" s="1"/>
  <c r="H13" i="61"/>
  <c r="H103" i="61" s="1"/>
  <c r="G13" i="61"/>
  <c r="F13" i="61"/>
  <c r="E13" i="61"/>
  <c r="D13" i="61"/>
  <c r="C13" i="61"/>
  <c r="L12" i="61"/>
  <c r="K12" i="61"/>
  <c r="K27" i="81" s="1"/>
  <c r="J12" i="61"/>
  <c r="J27" i="81" s="1"/>
  <c r="I12" i="61"/>
  <c r="H12" i="61"/>
  <c r="G12" i="61"/>
  <c r="F12" i="61"/>
  <c r="E12" i="61"/>
  <c r="D12" i="61"/>
  <c r="D107" i="61" s="1"/>
  <c r="C12" i="61"/>
  <c r="L10" i="61"/>
  <c r="K10" i="61"/>
  <c r="J10" i="61"/>
  <c r="J24" i="81" s="1"/>
  <c r="I10" i="61"/>
  <c r="I24" i="81" s="1"/>
  <c r="H10" i="61"/>
  <c r="G10" i="61"/>
  <c r="F10" i="61"/>
  <c r="F24" i="81" s="1"/>
  <c r="E10" i="61"/>
  <c r="E24" i="81" s="1"/>
  <c r="D10" i="61"/>
  <c r="C10" i="61"/>
  <c r="L9" i="61"/>
  <c r="K9" i="61"/>
  <c r="J9" i="61"/>
  <c r="I9" i="61"/>
  <c r="H9" i="61"/>
  <c r="G9" i="61"/>
  <c r="F9" i="61"/>
  <c r="E9" i="61"/>
  <c r="D9" i="61"/>
  <c r="C9" i="61"/>
  <c r="R143" i="61"/>
  <c r="Q143" i="61"/>
  <c r="P143" i="61"/>
  <c r="P144" i="61" s="1"/>
  <c r="O143" i="61"/>
  <c r="N143" i="61"/>
  <c r="M143" i="61"/>
  <c r="R142" i="61"/>
  <c r="R144" i="61" s="1"/>
  <c r="Q142" i="61"/>
  <c r="P142" i="61"/>
  <c r="O142" i="61"/>
  <c r="O144" i="61" s="1"/>
  <c r="N142" i="61"/>
  <c r="N144" i="61" s="1"/>
  <c r="M142" i="61"/>
  <c r="M144" i="61" s="1"/>
  <c r="R139" i="61"/>
  <c r="Q139" i="61"/>
  <c r="P139" i="61"/>
  <c r="O139" i="61"/>
  <c r="O140" i="61" s="1"/>
  <c r="N139" i="61"/>
  <c r="M139" i="61"/>
  <c r="R138" i="61"/>
  <c r="R140" i="61" s="1"/>
  <c r="R145" i="61" s="1"/>
  <c r="Q138" i="61"/>
  <c r="Q140" i="61" s="1"/>
  <c r="P138" i="61"/>
  <c r="P140" i="61" s="1"/>
  <c r="O138" i="61"/>
  <c r="N138" i="61"/>
  <c r="N140" i="61" s="1"/>
  <c r="N145" i="61" s="1"/>
  <c r="M138" i="61"/>
  <c r="R133" i="61"/>
  <c r="Q133" i="61"/>
  <c r="P133" i="61"/>
  <c r="O133" i="61"/>
  <c r="N133" i="61"/>
  <c r="M133" i="61"/>
  <c r="R129" i="61"/>
  <c r="Q129" i="61"/>
  <c r="P129" i="61"/>
  <c r="O129" i="61"/>
  <c r="N129" i="61"/>
  <c r="M129" i="61"/>
  <c r="R128" i="61"/>
  <c r="Q128" i="61"/>
  <c r="P128" i="61"/>
  <c r="O128" i="61"/>
  <c r="N128" i="61"/>
  <c r="M128" i="61"/>
  <c r="R127" i="61"/>
  <c r="Q127" i="61"/>
  <c r="P127" i="61"/>
  <c r="O127" i="61"/>
  <c r="N127" i="61"/>
  <c r="M127" i="61"/>
  <c r="R126" i="61"/>
  <c r="R130" i="61" s="1"/>
  <c r="Q126" i="61"/>
  <c r="P126" i="61"/>
  <c r="O126" i="61"/>
  <c r="N126" i="61"/>
  <c r="M126" i="61"/>
  <c r="R123" i="61"/>
  <c r="Q123" i="61"/>
  <c r="P123" i="61"/>
  <c r="O123" i="61"/>
  <c r="N123" i="61"/>
  <c r="M123" i="61"/>
  <c r="R122" i="61"/>
  <c r="Q122" i="61"/>
  <c r="P122" i="61"/>
  <c r="O122" i="61"/>
  <c r="N122" i="61"/>
  <c r="M122" i="61"/>
  <c r="R121" i="61"/>
  <c r="Q121" i="61"/>
  <c r="P121" i="61"/>
  <c r="O121" i="61"/>
  <c r="N121" i="61"/>
  <c r="M121" i="61"/>
  <c r="R120" i="61"/>
  <c r="Q120" i="61"/>
  <c r="P120" i="61"/>
  <c r="O120" i="61"/>
  <c r="N120" i="61"/>
  <c r="M120" i="61"/>
  <c r="R119" i="61"/>
  <c r="R124" i="61" s="1"/>
  <c r="Q119" i="61"/>
  <c r="P119" i="61"/>
  <c r="O119" i="61"/>
  <c r="N119" i="61"/>
  <c r="M119" i="61"/>
  <c r="R118" i="61"/>
  <c r="R132" i="61" s="1"/>
  <c r="Q118" i="61"/>
  <c r="Q124" i="61" s="1"/>
  <c r="P118" i="61"/>
  <c r="O118" i="61"/>
  <c r="O132" i="61" s="1"/>
  <c r="O134" i="61" s="1"/>
  <c r="L112" i="61"/>
  <c r="K112" i="61"/>
  <c r="J112" i="61"/>
  <c r="I112" i="61"/>
  <c r="H112" i="61"/>
  <c r="G112" i="61"/>
  <c r="F112" i="61"/>
  <c r="E112" i="61"/>
  <c r="D112" i="61"/>
  <c r="C112" i="61"/>
  <c r="R111" i="61"/>
  <c r="R113" i="61" s="1"/>
  <c r="R110" i="61" s="1"/>
  <c r="R100" i="61" s="1"/>
  <c r="Q111" i="61"/>
  <c r="Q113" i="61" s="1"/>
  <c r="Q110" i="61" s="1"/>
  <c r="P111" i="61"/>
  <c r="P113" i="61" s="1"/>
  <c r="P110" i="61" s="1"/>
  <c r="P100" i="61" s="1"/>
  <c r="O111" i="61"/>
  <c r="O113" i="61" s="1"/>
  <c r="O110" i="61" s="1"/>
  <c r="O100" i="61" s="1"/>
  <c r="L108" i="61"/>
  <c r="K108" i="61"/>
  <c r="J108" i="61"/>
  <c r="I108" i="61"/>
  <c r="H108" i="61"/>
  <c r="G108" i="61"/>
  <c r="F108" i="61"/>
  <c r="E108" i="61"/>
  <c r="D108" i="61"/>
  <c r="C108" i="61"/>
  <c r="R107" i="61"/>
  <c r="R109" i="61" s="1"/>
  <c r="R106" i="61" s="1"/>
  <c r="R99" i="61" s="1"/>
  <c r="Q107" i="61"/>
  <c r="Q109" i="61" s="1"/>
  <c r="P107" i="61"/>
  <c r="P109" i="61" s="1"/>
  <c r="P106" i="61" s="1"/>
  <c r="P99" i="61" s="1"/>
  <c r="O107" i="61"/>
  <c r="O109" i="61" s="1"/>
  <c r="O106" i="61" s="1"/>
  <c r="Q106" i="61"/>
  <c r="Q99" i="61" s="1"/>
  <c r="L104" i="61"/>
  <c r="K104" i="61"/>
  <c r="J104" i="61"/>
  <c r="I104" i="61"/>
  <c r="H104" i="61"/>
  <c r="G104" i="61"/>
  <c r="F104" i="61"/>
  <c r="E104" i="61"/>
  <c r="D104" i="61"/>
  <c r="C104" i="61"/>
  <c r="R103" i="61"/>
  <c r="R105" i="61" s="1"/>
  <c r="R102" i="61" s="1"/>
  <c r="Q103" i="61"/>
  <c r="Q105" i="61" s="1"/>
  <c r="Q102" i="61" s="1"/>
  <c r="P103" i="61"/>
  <c r="P105" i="61" s="1"/>
  <c r="P102" i="61" s="1"/>
  <c r="O103" i="61"/>
  <c r="O105" i="61" s="1"/>
  <c r="O102" i="61" s="1"/>
  <c r="Q100" i="61"/>
  <c r="O99" i="61"/>
  <c r="R98" i="61"/>
  <c r="R101" i="61" s="1"/>
  <c r="Q98" i="61"/>
  <c r="P98" i="61"/>
  <c r="O98" i="61"/>
  <c r="R96" i="61"/>
  <c r="Q96" i="61"/>
  <c r="P96" i="61"/>
  <c r="O96" i="61"/>
  <c r="Q76" i="61"/>
  <c r="Q79" i="61" s="1"/>
  <c r="P76" i="61"/>
  <c r="P79" i="61" s="1"/>
  <c r="O76" i="61"/>
  <c r="O79" i="61" s="1"/>
  <c r="N76" i="61"/>
  <c r="N79" i="61" s="1"/>
  <c r="M76" i="61"/>
  <c r="M79" i="61" s="1"/>
  <c r="Q70" i="61"/>
  <c r="P70" i="61"/>
  <c r="O70" i="61"/>
  <c r="N70" i="61"/>
  <c r="M70" i="61"/>
  <c r="Q66" i="61"/>
  <c r="P66" i="61"/>
  <c r="O66" i="61"/>
  <c r="N66" i="61"/>
  <c r="M66" i="61"/>
  <c r="F138" i="61"/>
  <c r="L123" i="61"/>
  <c r="K123" i="61"/>
  <c r="C123" i="61"/>
  <c r="J122" i="61"/>
  <c r="E122" i="61"/>
  <c r="Q61" i="61"/>
  <c r="P61" i="61"/>
  <c r="O61" i="61"/>
  <c r="N61" i="61"/>
  <c r="M61" i="61"/>
  <c r="L129" i="61"/>
  <c r="H129" i="61"/>
  <c r="G129" i="61"/>
  <c r="C129" i="61"/>
  <c r="J128" i="61"/>
  <c r="H139" i="61"/>
  <c r="D139" i="61"/>
  <c r="C139" i="61"/>
  <c r="F143" i="61"/>
  <c r="E143" i="61"/>
  <c r="I142" i="61"/>
  <c r="E142" i="61"/>
  <c r="L121" i="61"/>
  <c r="I121" i="61"/>
  <c r="E121" i="61"/>
  <c r="D121" i="61"/>
  <c r="G119" i="61"/>
  <c r="C119" i="61"/>
  <c r="G120" i="61"/>
  <c r="I133" i="61"/>
  <c r="H133" i="61"/>
  <c r="L127" i="61"/>
  <c r="K127" i="61"/>
  <c r="G127" i="61"/>
  <c r="F127" i="61"/>
  <c r="E127" i="61"/>
  <c r="I126" i="61"/>
  <c r="H126" i="61"/>
  <c r="M111" i="61"/>
  <c r="M113" i="61" s="1"/>
  <c r="M110" i="61" s="1"/>
  <c r="M100" i="61" s="1"/>
  <c r="I111" i="61"/>
  <c r="E111" i="61"/>
  <c r="D111" i="61"/>
  <c r="M103" i="61"/>
  <c r="M105" i="61" s="1"/>
  <c r="M102" i="61" s="1"/>
  <c r="G103" i="61"/>
  <c r="G105" i="61" s="1"/>
  <c r="G102" i="61" s="1"/>
  <c r="D103" i="61"/>
  <c r="C103" i="61"/>
  <c r="M107" i="61"/>
  <c r="M109" i="61" s="1"/>
  <c r="M106" i="61" s="1"/>
  <c r="M99" i="61" s="1"/>
  <c r="I107" i="61"/>
  <c r="H107" i="61"/>
  <c r="D2" i="61"/>
  <c r="E2" i="61" s="1"/>
  <c r="F2" i="61" s="1"/>
  <c r="G2" i="61" s="1"/>
  <c r="H2" i="61" s="1"/>
  <c r="I2" i="61" s="1"/>
  <c r="J2" i="61" s="1"/>
  <c r="K2" i="61" s="1"/>
  <c r="L2" i="61" s="1"/>
  <c r="M2" i="61" s="1"/>
  <c r="N2" i="61" s="1"/>
  <c r="O2" i="61" s="1"/>
  <c r="P2" i="61" s="1"/>
  <c r="Q2" i="61" s="1"/>
  <c r="H23" i="81" l="1"/>
  <c r="K57" i="81"/>
  <c r="K58" i="81" s="1"/>
  <c r="AF25" i="80" s="1"/>
  <c r="K32" i="81"/>
  <c r="K44" i="81" s="1"/>
  <c r="AF18" i="80" s="1"/>
  <c r="E11" i="61"/>
  <c r="D11" i="61"/>
  <c r="L11" i="61"/>
  <c r="I103" i="61"/>
  <c r="Q130" i="61"/>
  <c r="E23" i="81"/>
  <c r="K24" i="81"/>
  <c r="I27" i="81"/>
  <c r="G25" i="81"/>
  <c r="J111" i="61"/>
  <c r="J28" i="81"/>
  <c r="G29" i="81"/>
  <c r="F77" i="81"/>
  <c r="H78" i="81"/>
  <c r="E32" i="81"/>
  <c r="E44" i="81" s="1"/>
  <c r="E57" i="81"/>
  <c r="E58" i="81" s="1"/>
  <c r="E59" i="81"/>
  <c r="E60" i="81" s="1"/>
  <c r="K33" i="81"/>
  <c r="G23" i="81"/>
  <c r="F23" i="81"/>
  <c r="H25" i="81"/>
  <c r="K111" i="61"/>
  <c r="K113" i="61" s="1"/>
  <c r="K110" i="61" s="1"/>
  <c r="K100" i="61" s="1"/>
  <c r="K28" i="81"/>
  <c r="H29" i="81"/>
  <c r="H119" i="61"/>
  <c r="G77" i="81"/>
  <c r="I78" i="81"/>
  <c r="F32" i="81"/>
  <c r="F44" i="81" s="1"/>
  <c r="F59" i="81"/>
  <c r="F60" i="81" s="1"/>
  <c r="F57" i="81"/>
  <c r="F58" i="81" s="1"/>
  <c r="J78" i="81"/>
  <c r="G32" i="81"/>
  <c r="G44" i="81" s="1"/>
  <c r="AB18" i="80" s="1"/>
  <c r="G57" i="81"/>
  <c r="G58" i="81" s="1"/>
  <c r="AB25" i="80" s="1"/>
  <c r="I119" i="61"/>
  <c r="F33" i="81"/>
  <c r="O101" i="61"/>
  <c r="O97" i="61" s="1"/>
  <c r="M140" i="61"/>
  <c r="J77" i="81"/>
  <c r="I57" i="81"/>
  <c r="I58" i="81" s="1"/>
  <c r="AD25" i="80" s="1"/>
  <c r="I59" i="81"/>
  <c r="I60" i="81" s="1"/>
  <c r="AD26" i="80" s="1"/>
  <c r="I32" i="81"/>
  <c r="I44" i="81" s="1"/>
  <c r="AD18" i="80" s="1"/>
  <c r="G33" i="81"/>
  <c r="J119" i="61"/>
  <c r="K78" i="81"/>
  <c r="H57" i="81"/>
  <c r="H58" i="81" s="1"/>
  <c r="AC25" i="80" s="1"/>
  <c r="H32" i="81"/>
  <c r="H44" i="81" s="1"/>
  <c r="AC18" i="80" s="1"/>
  <c r="C105" i="61"/>
  <c r="C102" i="61" s="1"/>
  <c r="R134" i="61"/>
  <c r="R135" i="61" s="1"/>
  <c r="M130" i="61"/>
  <c r="I23" i="81"/>
  <c r="I26" i="81" s="1"/>
  <c r="G24" i="81"/>
  <c r="E27" i="81"/>
  <c r="K103" i="61"/>
  <c r="K105" i="61" s="1"/>
  <c r="K102" i="61" s="1"/>
  <c r="K25" i="81"/>
  <c r="F111" i="61"/>
  <c r="F28" i="81"/>
  <c r="K29" i="81"/>
  <c r="N130" i="61"/>
  <c r="Q144" i="61"/>
  <c r="J11" i="61"/>
  <c r="J16" i="61" s="1"/>
  <c r="J23" i="81"/>
  <c r="J26" i="81" s="1"/>
  <c r="H24" i="81"/>
  <c r="F27" i="81"/>
  <c r="G28" i="81"/>
  <c r="K77" i="81"/>
  <c r="E78" i="81"/>
  <c r="J57" i="81"/>
  <c r="J58" i="81" s="1"/>
  <c r="AE25" i="80" s="1"/>
  <c r="J59" i="81"/>
  <c r="J60" i="81" s="1"/>
  <c r="AE26" i="80" s="1"/>
  <c r="J32" i="81"/>
  <c r="J44" i="81" s="1"/>
  <c r="AE18" i="80" s="1"/>
  <c r="H33" i="81"/>
  <c r="K11" i="61"/>
  <c r="K23" i="81"/>
  <c r="I33" i="81"/>
  <c r="P145" i="61"/>
  <c r="G27" i="81"/>
  <c r="E103" i="61"/>
  <c r="E25" i="81"/>
  <c r="H111" i="61"/>
  <c r="H28" i="81"/>
  <c r="E119" i="61"/>
  <c r="H27" i="81"/>
  <c r="F103" i="61"/>
  <c r="F25" i="81"/>
  <c r="I28" i="81"/>
  <c r="F29" i="81"/>
  <c r="F119" i="61"/>
  <c r="E77" i="81"/>
  <c r="G78" i="81"/>
  <c r="J33" i="81"/>
  <c r="E107" i="61"/>
  <c r="G11" i="61"/>
  <c r="G4" i="61" s="1"/>
  <c r="J66" i="61"/>
  <c r="K66" i="81" s="1"/>
  <c r="I11" i="61"/>
  <c r="H127" i="61"/>
  <c r="K138" i="61"/>
  <c r="E144" i="61"/>
  <c r="D16" i="61"/>
  <c r="D18" i="61" s="1"/>
  <c r="D21" i="61" s="1"/>
  <c r="I76" i="61"/>
  <c r="D127" i="61"/>
  <c r="L107" i="61"/>
  <c r="I144" i="61"/>
  <c r="D61" i="61"/>
  <c r="J138" i="61"/>
  <c r="J140" i="61" s="1"/>
  <c r="C11" i="61"/>
  <c r="C16" i="61" s="1"/>
  <c r="C18" i="61" s="1"/>
  <c r="C98" i="61" s="1"/>
  <c r="C76" i="61"/>
  <c r="C79" i="61" s="1"/>
  <c r="C84" i="61" s="1"/>
  <c r="C88" i="61" s="1"/>
  <c r="C93" i="61" s="1"/>
  <c r="D76" i="61"/>
  <c r="D79" i="61" s="1"/>
  <c r="H11" i="61"/>
  <c r="E133" i="61"/>
  <c r="F76" i="61"/>
  <c r="F79" i="61" s="1"/>
  <c r="F68" i="81" s="1"/>
  <c r="L61" i="61"/>
  <c r="L69" i="61" s="1"/>
  <c r="F66" i="61"/>
  <c r="G67" i="81" s="1"/>
  <c r="E76" i="61"/>
  <c r="E79" i="61" s="1"/>
  <c r="H6" i="78"/>
  <c r="G6" i="78"/>
  <c r="D46" i="78"/>
  <c r="C46" i="78"/>
  <c r="F36" i="78"/>
  <c r="F40" i="78" s="1"/>
  <c r="F23" i="78" s="1"/>
  <c r="H36" i="78"/>
  <c r="G36" i="78"/>
  <c r="G40" i="78" s="1"/>
  <c r="G23" i="78" s="1"/>
  <c r="H40" i="78"/>
  <c r="H23" i="78" s="1"/>
  <c r="S15" i="77"/>
  <c r="M9" i="68"/>
  <c r="M10" i="68" s="1"/>
  <c r="M11" i="68" s="1"/>
  <c r="P18" i="77"/>
  <c r="P17" i="77"/>
  <c r="P16" i="77"/>
  <c r="S18" i="77"/>
  <c r="S17" i="77"/>
  <c r="P15" i="77"/>
  <c r="T5" i="77"/>
  <c r="T15" i="77" s="1"/>
  <c r="S16" i="77"/>
  <c r="N17" i="77"/>
  <c r="N15" i="77"/>
  <c r="L16" i="77"/>
  <c r="N18" i="77"/>
  <c r="H15" i="77"/>
  <c r="J16" i="77"/>
  <c r="Q15" i="77"/>
  <c r="Q18" i="77"/>
  <c r="H18" i="77"/>
  <c r="L17" i="77"/>
  <c r="Q16" i="77"/>
  <c r="H16" i="77"/>
  <c r="L15" i="77"/>
  <c r="T18" i="77"/>
  <c r="J18" i="77"/>
  <c r="J17" i="77"/>
  <c r="J15" i="77"/>
  <c r="N16" i="77"/>
  <c r="L18" i="77"/>
  <c r="Q17" i="77"/>
  <c r="H17" i="77"/>
  <c r="F11" i="61"/>
  <c r="G111" i="61"/>
  <c r="G113" i="61" s="1"/>
  <c r="G110" i="61" s="1"/>
  <c r="G100" i="61" s="1"/>
  <c r="D119" i="61"/>
  <c r="J129" i="61"/>
  <c r="J130" i="61" s="1"/>
  <c r="J123" i="61"/>
  <c r="G138" i="61"/>
  <c r="G140" i="61" s="1"/>
  <c r="J103" i="61"/>
  <c r="J105" i="61" s="1"/>
  <c r="J102" i="61" s="1"/>
  <c r="F123" i="61"/>
  <c r="J76" i="61"/>
  <c r="J79" i="61" s="1"/>
  <c r="J68" i="81" s="1"/>
  <c r="E16" i="61"/>
  <c r="E4" i="61"/>
  <c r="I16" i="61"/>
  <c r="I4" i="61"/>
  <c r="C21" i="61"/>
  <c r="K16" i="61"/>
  <c r="H16" i="61"/>
  <c r="H4" i="61"/>
  <c r="L16" i="61"/>
  <c r="K4" i="61"/>
  <c r="F118" i="61"/>
  <c r="F124" i="61" s="1"/>
  <c r="F96" i="61"/>
  <c r="J118" i="61"/>
  <c r="J132" i="61" s="1"/>
  <c r="J134" i="61" s="1"/>
  <c r="J96" i="61"/>
  <c r="N118" i="61"/>
  <c r="N96" i="61"/>
  <c r="F107" i="61"/>
  <c r="F109" i="61" s="1"/>
  <c r="F106" i="61" s="1"/>
  <c r="F99" i="61" s="1"/>
  <c r="J107" i="61"/>
  <c r="N107" i="61"/>
  <c r="N109" i="61" s="1"/>
  <c r="N106" i="61" s="1"/>
  <c r="N99" i="61" s="1"/>
  <c r="F130" i="61"/>
  <c r="F41" i="61"/>
  <c r="J41" i="61"/>
  <c r="F47" i="61"/>
  <c r="J47" i="61"/>
  <c r="F142" i="61"/>
  <c r="F144" i="61" s="1"/>
  <c r="J142" i="61"/>
  <c r="J144" i="61" s="1"/>
  <c r="D128" i="61"/>
  <c r="D130" i="61" s="1"/>
  <c r="H128" i="61"/>
  <c r="L128" i="61"/>
  <c r="L130" i="61" s="1"/>
  <c r="F61" i="61"/>
  <c r="J61" i="61"/>
  <c r="I79" i="61"/>
  <c r="O84" i="61"/>
  <c r="C118" i="61"/>
  <c r="C132" i="61" s="1"/>
  <c r="C134" i="61" s="1"/>
  <c r="C96" i="61"/>
  <c r="G118" i="61"/>
  <c r="G132" i="61" s="1"/>
  <c r="G134" i="61" s="1"/>
  <c r="G96" i="61"/>
  <c r="K118" i="61"/>
  <c r="K132" i="61" s="1"/>
  <c r="K134" i="61" s="1"/>
  <c r="K96" i="61"/>
  <c r="C107" i="61"/>
  <c r="C109" i="61" s="1"/>
  <c r="C106" i="61" s="1"/>
  <c r="C99" i="61" s="1"/>
  <c r="G107" i="61"/>
  <c r="G109" i="61" s="1"/>
  <c r="G106" i="61" s="1"/>
  <c r="G99" i="61" s="1"/>
  <c r="K107" i="61"/>
  <c r="K109" i="61" s="1"/>
  <c r="K106" i="61" s="1"/>
  <c r="K99" i="61" s="1"/>
  <c r="C41" i="61"/>
  <c r="G41" i="61"/>
  <c r="K41" i="61"/>
  <c r="C47" i="61"/>
  <c r="G47" i="61"/>
  <c r="H65" i="81" s="1"/>
  <c r="K47" i="61"/>
  <c r="C142" i="61"/>
  <c r="C144" i="61" s="1"/>
  <c r="G142" i="61"/>
  <c r="G144" i="61" s="1"/>
  <c r="K142" i="61"/>
  <c r="K144" i="61" s="1"/>
  <c r="E128" i="61"/>
  <c r="E130" i="61" s="1"/>
  <c r="I128" i="61"/>
  <c r="C61" i="61"/>
  <c r="G61" i="61"/>
  <c r="H72" i="81" s="1"/>
  <c r="K61" i="61"/>
  <c r="P84" i="61"/>
  <c r="D118" i="61"/>
  <c r="D96" i="61"/>
  <c r="H118" i="61"/>
  <c r="H132" i="61" s="1"/>
  <c r="H134" i="61" s="1"/>
  <c r="H96" i="61"/>
  <c r="L118" i="61"/>
  <c r="L124" i="61" s="1"/>
  <c r="L96" i="61"/>
  <c r="H130" i="61"/>
  <c r="D41" i="61"/>
  <c r="H41" i="61"/>
  <c r="L41" i="61"/>
  <c r="D47" i="61"/>
  <c r="E65" i="81" s="1"/>
  <c r="H47" i="61"/>
  <c r="L47" i="61"/>
  <c r="D142" i="61"/>
  <c r="D144" i="61" s="1"/>
  <c r="H142" i="61"/>
  <c r="H144" i="61" s="1"/>
  <c r="L142" i="61"/>
  <c r="L144" i="61" s="1"/>
  <c r="C122" i="61"/>
  <c r="C66" i="61"/>
  <c r="G122" i="61"/>
  <c r="G59" i="81" s="1"/>
  <c r="G60" i="81" s="1"/>
  <c r="AB26" i="80" s="1"/>
  <c r="G66" i="61"/>
  <c r="H67" i="81" s="1"/>
  <c r="K122" i="61"/>
  <c r="K59" i="81" s="1"/>
  <c r="K60" i="81" s="1"/>
  <c r="AF26" i="80" s="1"/>
  <c r="K66" i="61"/>
  <c r="D123" i="61"/>
  <c r="H123" i="61"/>
  <c r="E138" i="61"/>
  <c r="E140" i="61" s="1"/>
  <c r="I138" i="61"/>
  <c r="I140" i="61" s="1"/>
  <c r="G76" i="61"/>
  <c r="K76" i="61"/>
  <c r="M84" i="61"/>
  <c r="Q84" i="61"/>
  <c r="E118" i="61"/>
  <c r="E124" i="61" s="1"/>
  <c r="E96" i="61"/>
  <c r="I118" i="61"/>
  <c r="I124" i="61" s="1"/>
  <c r="I96" i="61"/>
  <c r="M118" i="61"/>
  <c r="M96" i="61"/>
  <c r="I130" i="61"/>
  <c r="E41" i="61"/>
  <c r="I41" i="61"/>
  <c r="E47" i="61"/>
  <c r="I47" i="61"/>
  <c r="C128" i="61"/>
  <c r="C130" i="61" s="1"/>
  <c r="G128" i="61"/>
  <c r="G130" i="61" s="1"/>
  <c r="K128" i="61"/>
  <c r="K130" i="61" s="1"/>
  <c r="E61" i="61"/>
  <c r="F72" i="81" s="1"/>
  <c r="I61" i="61"/>
  <c r="J72" i="81" s="1"/>
  <c r="H76" i="61"/>
  <c r="L76" i="61"/>
  <c r="N84" i="61"/>
  <c r="D84" i="61"/>
  <c r="D88" i="61" s="1"/>
  <c r="D93" i="61" s="1"/>
  <c r="O114" i="61"/>
  <c r="C140" i="61"/>
  <c r="C145" i="61" s="1"/>
  <c r="K140" i="61"/>
  <c r="K145" i="61" s="1"/>
  <c r="D66" i="61"/>
  <c r="E66" i="81" s="1"/>
  <c r="H66" i="61"/>
  <c r="I72" i="81" s="1"/>
  <c r="L66" i="61"/>
  <c r="P101" i="61"/>
  <c r="E105" i="61"/>
  <c r="E102" i="61" s="1"/>
  <c r="I105" i="61"/>
  <c r="I102" i="61" s="1"/>
  <c r="D113" i="61"/>
  <c r="D110" i="61" s="1"/>
  <c r="D100" i="61" s="1"/>
  <c r="H113" i="61"/>
  <c r="H110" i="61" s="1"/>
  <c r="H100" i="61" s="1"/>
  <c r="L113" i="61"/>
  <c r="L110" i="61" s="1"/>
  <c r="L100" i="61" s="1"/>
  <c r="D140" i="61"/>
  <c r="H140" i="61"/>
  <c r="L140" i="61"/>
  <c r="E66" i="61"/>
  <c r="F67" i="81" s="1"/>
  <c r="I66" i="61"/>
  <c r="J66" i="81" s="1"/>
  <c r="Q101" i="61"/>
  <c r="F105" i="61"/>
  <c r="F102" i="61" s="1"/>
  <c r="D109" i="61"/>
  <c r="D106" i="61" s="1"/>
  <c r="D99" i="61" s="1"/>
  <c r="H109" i="61"/>
  <c r="H106" i="61" s="1"/>
  <c r="H99" i="61" s="1"/>
  <c r="L109" i="61"/>
  <c r="L106" i="61" s="1"/>
  <c r="L99" i="61" s="1"/>
  <c r="E113" i="61"/>
  <c r="E110" i="61" s="1"/>
  <c r="E100" i="61" s="1"/>
  <c r="I113" i="61"/>
  <c r="I110" i="61" s="1"/>
  <c r="I100" i="61" s="1"/>
  <c r="R114" i="61"/>
  <c r="R97" i="61"/>
  <c r="E109" i="61"/>
  <c r="E106" i="61" s="1"/>
  <c r="E99" i="61" s="1"/>
  <c r="I109" i="61"/>
  <c r="I106" i="61" s="1"/>
  <c r="I99" i="61" s="1"/>
  <c r="F113" i="61"/>
  <c r="F110" i="61" s="1"/>
  <c r="F100" i="61" s="1"/>
  <c r="J113" i="61"/>
  <c r="J110" i="61" s="1"/>
  <c r="J100" i="61" s="1"/>
  <c r="F140" i="61"/>
  <c r="D105" i="61"/>
  <c r="D102" i="61" s="1"/>
  <c r="H105" i="61"/>
  <c r="H102" i="61" s="1"/>
  <c r="L105" i="61"/>
  <c r="L102" i="61" s="1"/>
  <c r="J109" i="61"/>
  <c r="J106" i="61" s="1"/>
  <c r="J99" i="61" s="1"/>
  <c r="P132" i="61"/>
  <c r="P134" i="61" s="1"/>
  <c r="P124" i="61"/>
  <c r="O130" i="61"/>
  <c r="Q132" i="61"/>
  <c r="Q134" i="61" s="1"/>
  <c r="Q135" i="61" s="1"/>
  <c r="P130" i="61"/>
  <c r="O145" i="61"/>
  <c r="O124" i="61"/>
  <c r="O135" i="61" s="1"/>
  <c r="M145" i="61"/>
  <c r="Q145" i="61"/>
  <c r="I30" i="81" l="1"/>
  <c r="I45" i="81"/>
  <c r="AD19" i="80" s="1"/>
  <c r="K65" i="81"/>
  <c r="K51" i="81"/>
  <c r="K54" i="81" s="1"/>
  <c r="AF22" i="80" s="1"/>
  <c r="K55" i="81"/>
  <c r="K56" i="81" s="1"/>
  <c r="K50" i="81"/>
  <c r="K53" i="81" s="1"/>
  <c r="I55" i="81"/>
  <c r="I56" i="81" s="1"/>
  <c r="I50" i="81"/>
  <c r="I53" i="81" s="1"/>
  <c r="I51" i="81"/>
  <c r="I54" i="81" s="1"/>
  <c r="AD22" i="80" s="1"/>
  <c r="D145" i="61"/>
  <c r="E74" i="81"/>
  <c r="E73" i="81"/>
  <c r="F65" i="81"/>
  <c r="E50" i="81"/>
  <c r="E53" i="81" s="1"/>
  <c r="E51" i="81"/>
  <c r="E54" i="81" s="1"/>
  <c r="E55" i="81"/>
  <c r="E56" i="81" s="1"/>
  <c r="E61" i="81" s="1"/>
  <c r="G66" i="81"/>
  <c r="J67" i="81"/>
  <c r="F66" i="81"/>
  <c r="J45" i="81"/>
  <c r="AE19" i="80" s="1"/>
  <c r="J30" i="81"/>
  <c r="F26" i="81"/>
  <c r="K26" i="81"/>
  <c r="E67" i="81"/>
  <c r="E26" i="81"/>
  <c r="G65" i="81"/>
  <c r="I66" i="81"/>
  <c r="H66" i="81"/>
  <c r="H59" i="81"/>
  <c r="H60" i="81" s="1"/>
  <c r="AC26" i="80" s="1"/>
  <c r="G73" i="81"/>
  <c r="AB30" i="80" s="1"/>
  <c r="G74" i="81"/>
  <c r="AB31" i="80" s="1"/>
  <c r="I65" i="81"/>
  <c r="G72" i="81"/>
  <c r="J4" i="61"/>
  <c r="E68" i="81"/>
  <c r="I67" i="81"/>
  <c r="G26" i="81"/>
  <c r="H51" i="81"/>
  <c r="H54" i="81" s="1"/>
  <c r="AC22" i="80" s="1"/>
  <c r="H17" i="81"/>
  <c r="AC14" i="80" s="1"/>
  <c r="H55" i="81"/>
  <c r="H56" i="81" s="1"/>
  <c r="H50" i="81"/>
  <c r="H53" i="81" s="1"/>
  <c r="G50" i="81"/>
  <c r="G53" i="81" s="1"/>
  <c r="G51" i="81"/>
  <c r="G54" i="81" s="1"/>
  <c r="AB22" i="80" s="1"/>
  <c r="G55" i="81"/>
  <c r="G56" i="81" s="1"/>
  <c r="G49" i="81"/>
  <c r="G52" i="81" s="1"/>
  <c r="J50" i="81"/>
  <c r="J53" i="81" s="1"/>
  <c r="J51" i="81"/>
  <c r="J54" i="81" s="1"/>
  <c r="AE22" i="80" s="1"/>
  <c r="J55" i="81"/>
  <c r="J56" i="81" s="1"/>
  <c r="J145" i="61"/>
  <c r="K73" i="81"/>
  <c r="AF30" i="80" s="1"/>
  <c r="K74" i="81"/>
  <c r="AF31" i="80" s="1"/>
  <c r="E72" i="81"/>
  <c r="I68" i="81"/>
  <c r="I84" i="61"/>
  <c r="K72" i="81"/>
  <c r="I73" i="81"/>
  <c r="AD30" i="80" s="1"/>
  <c r="I145" i="61"/>
  <c r="J74" i="81"/>
  <c r="AE31" i="80" s="1"/>
  <c r="J73" i="81"/>
  <c r="AE30" i="80" s="1"/>
  <c r="G145" i="61"/>
  <c r="H73" i="81"/>
  <c r="AC30" i="80" s="1"/>
  <c r="J65" i="81"/>
  <c r="E145" i="61"/>
  <c r="F73" i="81"/>
  <c r="F74" i="81"/>
  <c r="F49" i="81"/>
  <c r="F52" i="81" s="1"/>
  <c r="F50" i="81"/>
  <c r="F53" i="81" s="1"/>
  <c r="F51" i="81"/>
  <c r="F54" i="81" s="1"/>
  <c r="F17" i="81"/>
  <c r="F55" i="81"/>
  <c r="F56" i="81" s="1"/>
  <c r="F61" i="81" s="1"/>
  <c r="K67" i="81"/>
  <c r="H26" i="81"/>
  <c r="I8" i="74"/>
  <c r="H46" i="78"/>
  <c r="AS8" i="32" s="1"/>
  <c r="G46" i="78"/>
  <c r="AR8" i="32" s="1"/>
  <c r="D98" i="61"/>
  <c r="G16" i="61"/>
  <c r="G18" i="61" s="1"/>
  <c r="F69" i="61"/>
  <c r="K79" i="61"/>
  <c r="G79" i="61"/>
  <c r="G68" i="81" s="1"/>
  <c r="D124" i="61"/>
  <c r="E49" i="81" s="1"/>
  <c r="E52" i="81" s="1"/>
  <c r="F145" i="61"/>
  <c r="J124" i="61"/>
  <c r="J17" i="81" s="1"/>
  <c r="AE14" i="80" s="1"/>
  <c r="E84" i="61"/>
  <c r="AN8" i="32"/>
  <c r="H31" i="74"/>
  <c r="Q4" i="82" s="1"/>
  <c r="AO8" i="32"/>
  <c r="I31" i="74"/>
  <c r="F9" i="78"/>
  <c r="F13" i="78" s="1"/>
  <c r="F6" i="78" s="1"/>
  <c r="F46" i="78" s="1"/>
  <c r="E9" i="78"/>
  <c r="E13" i="78" s="1"/>
  <c r="E6" i="78" s="1"/>
  <c r="E46" i="78" s="1"/>
  <c r="J8" i="74" s="1"/>
  <c r="T17" i="77"/>
  <c r="T16" i="77"/>
  <c r="L145" i="61"/>
  <c r="L132" i="61"/>
  <c r="L134" i="61" s="1"/>
  <c r="L135" i="61" s="1"/>
  <c r="C50" i="61"/>
  <c r="L50" i="61"/>
  <c r="L70" i="61" s="1"/>
  <c r="C69" i="61"/>
  <c r="G69" i="61"/>
  <c r="F16" i="61"/>
  <c r="F18" i="61" s="1"/>
  <c r="F4" i="61"/>
  <c r="D132" i="61"/>
  <c r="D134" i="61" s="1"/>
  <c r="P135" i="61"/>
  <c r="J84" i="61"/>
  <c r="L79" i="61"/>
  <c r="I50" i="61"/>
  <c r="M132" i="61"/>
  <c r="M134" i="61" s="1"/>
  <c r="M124" i="61"/>
  <c r="D69" i="61"/>
  <c r="H50" i="61"/>
  <c r="H124" i="61"/>
  <c r="H135" i="61" s="1"/>
  <c r="O88" i="61"/>
  <c r="J18" i="61"/>
  <c r="H18" i="61"/>
  <c r="K18" i="61"/>
  <c r="I18" i="61"/>
  <c r="P97" i="61"/>
  <c r="P114" i="61"/>
  <c r="F84" i="61"/>
  <c r="N88" i="61"/>
  <c r="I69" i="61"/>
  <c r="E50" i="61"/>
  <c r="Q88" i="61"/>
  <c r="D50" i="61"/>
  <c r="P88" i="61"/>
  <c r="K69" i="61"/>
  <c r="K50" i="61"/>
  <c r="K124" i="61"/>
  <c r="K135" i="61" s="1"/>
  <c r="C124" i="61"/>
  <c r="C135" i="61" s="1"/>
  <c r="J69" i="61"/>
  <c r="I132" i="61"/>
  <c r="I134" i="61" s="1"/>
  <c r="I135" i="61" s="1"/>
  <c r="J50" i="61"/>
  <c r="J135" i="61"/>
  <c r="L18" i="61"/>
  <c r="C101" i="61"/>
  <c r="H145" i="61"/>
  <c r="H74" i="81" s="1"/>
  <c r="AC31" i="80" s="1"/>
  <c r="K84" i="61"/>
  <c r="H79" i="61"/>
  <c r="H68" i="81" s="1"/>
  <c r="E69" i="61"/>
  <c r="H69" i="61"/>
  <c r="F132" i="61"/>
  <c r="F134" i="61" s="1"/>
  <c r="F135" i="61" s="1"/>
  <c r="G50" i="61"/>
  <c r="I88" i="61"/>
  <c r="E132" i="61"/>
  <c r="E134" i="61" s="1"/>
  <c r="E135" i="61" s="1"/>
  <c r="F50" i="61"/>
  <c r="Q114" i="61"/>
  <c r="Q97" i="61"/>
  <c r="M88" i="61"/>
  <c r="G124" i="61"/>
  <c r="G135" i="61" s="1"/>
  <c r="E88" i="61"/>
  <c r="N132" i="61"/>
  <c r="N134" i="61" s="1"/>
  <c r="N124" i="61"/>
  <c r="D101" i="61"/>
  <c r="E18" i="61"/>
  <c r="G8" i="81" l="1"/>
  <c r="G4" i="81"/>
  <c r="G82" i="81" s="1"/>
  <c r="AB35" i="80" s="1"/>
  <c r="G75" i="81"/>
  <c r="G30" i="81"/>
  <c r="G45" i="81"/>
  <c r="AB19" i="80" s="1"/>
  <c r="F30" i="81"/>
  <c r="F45" i="81"/>
  <c r="I17" i="81"/>
  <c r="AD14" i="80" s="1"/>
  <c r="I11" i="81"/>
  <c r="AD9" i="80" s="1"/>
  <c r="I9" i="81"/>
  <c r="AD7" i="80" s="1"/>
  <c r="K75" i="81"/>
  <c r="AF32" i="80" s="1"/>
  <c r="K4" i="81"/>
  <c r="K82" i="81" s="1"/>
  <c r="AF35" i="80" s="1"/>
  <c r="K8" i="81"/>
  <c r="H49" i="81"/>
  <c r="H52" i="81" s="1"/>
  <c r="K61" i="81"/>
  <c r="AF27" i="80" s="1"/>
  <c r="AF24" i="80"/>
  <c r="K17" i="81"/>
  <c r="AF14" i="80" s="1"/>
  <c r="E30" i="81"/>
  <c r="E45" i="81"/>
  <c r="K76" i="81"/>
  <c r="K68" i="81"/>
  <c r="G61" i="81"/>
  <c r="AB27" i="80" s="1"/>
  <c r="AB24" i="80"/>
  <c r="K30" i="81"/>
  <c r="K45" i="81"/>
  <c r="AF19" i="80" s="1"/>
  <c r="E17" i="81"/>
  <c r="E18" i="81" s="1"/>
  <c r="J75" i="81"/>
  <c r="J4" i="81"/>
  <c r="J82" i="81" s="1"/>
  <c r="J8" i="81"/>
  <c r="I74" i="81"/>
  <c r="AD31" i="80" s="1"/>
  <c r="K49" i="81"/>
  <c r="K52" i="81" s="1"/>
  <c r="H75" i="81"/>
  <c r="H8" i="81"/>
  <c r="AC6" i="80" s="1"/>
  <c r="H4" i="81"/>
  <c r="H82" i="81" s="1"/>
  <c r="G11" i="81"/>
  <c r="AB9" i="80" s="1"/>
  <c r="G9" i="81"/>
  <c r="AB7" i="80" s="1"/>
  <c r="F11" i="81"/>
  <c r="F9" i="81"/>
  <c r="J11" i="81"/>
  <c r="AE9" i="80" s="1"/>
  <c r="J9" i="81"/>
  <c r="AE7" i="80" s="1"/>
  <c r="AC24" i="80"/>
  <c r="H61" i="81"/>
  <c r="AC27" i="80" s="1"/>
  <c r="H45" i="81"/>
  <c r="AC19" i="80" s="1"/>
  <c r="H30" i="81"/>
  <c r="J49" i="81"/>
  <c r="J52" i="81" s="1"/>
  <c r="I49" i="81"/>
  <c r="I52" i="81" s="1"/>
  <c r="H11" i="81"/>
  <c r="AC9" i="80" s="1"/>
  <c r="H9" i="81"/>
  <c r="G17" i="81"/>
  <c r="AB14" i="80" s="1"/>
  <c r="AE24" i="80"/>
  <c r="J61" i="81"/>
  <c r="AE27" i="80" s="1"/>
  <c r="E75" i="81"/>
  <c r="E76" i="81" s="1"/>
  <c r="E4" i="81"/>
  <c r="E82" i="81" s="1"/>
  <c r="E8" i="81"/>
  <c r="K11" i="81"/>
  <c r="AF9" i="80" s="1"/>
  <c r="K9" i="81"/>
  <c r="AF7" i="80" s="1"/>
  <c r="E11" i="81"/>
  <c r="E9" i="81"/>
  <c r="I75" i="81"/>
  <c r="I4" i="81"/>
  <c r="I82" i="81" s="1"/>
  <c r="AD35" i="80" s="1"/>
  <c r="I8" i="81"/>
  <c r="M135" i="61"/>
  <c r="F75" i="81"/>
  <c r="F76" i="81" s="1"/>
  <c r="F4" i="81"/>
  <c r="F82" i="81" s="1"/>
  <c r="F8" i="81"/>
  <c r="F10" i="81" s="1"/>
  <c r="F12" i="81" s="1"/>
  <c r="AD24" i="80"/>
  <c r="I61" i="81"/>
  <c r="AD27" i="80" s="1"/>
  <c r="L31" i="74"/>
  <c r="C78" i="74" s="1"/>
  <c r="C80" i="74" s="1"/>
  <c r="K8" i="74"/>
  <c r="L8" i="74"/>
  <c r="I37" i="74"/>
  <c r="H37" i="74"/>
  <c r="I117" i="74"/>
  <c r="I43" i="74" s="1"/>
  <c r="I116" i="74"/>
  <c r="I44" i="74" s="1"/>
  <c r="H117" i="74"/>
  <c r="H116" i="74"/>
  <c r="H44" i="74" s="1"/>
  <c r="G84" i="61"/>
  <c r="G88" i="61" s="1"/>
  <c r="C70" i="61"/>
  <c r="D135" i="61"/>
  <c r="AP8" i="32"/>
  <c r="J31" i="74"/>
  <c r="AQ8" i="32"/>
  <c r="K31" i="74"/>
  <c r="F98" i="61"/>
  <c r="F101" i="61" s="1"/>
  <c r="F16" i="81" s="1"/>
  <c r="F18" i="81" s="1"/>
  <c r="F21" i="61"/>
  <c r="N98" i="61"/>
  <c r="N101" i="61" s="1"/>
  <c r="M93" i="61"/>
  <c r="G70" i="61"/>
  <c r="J70" i="61"/>
  <c r="K70" i="61"/>
  <c r="E70" i="61"/>
  <c r="N93" i="61"/>
  <c r="H70" i="61"/>
  <c r="I70" i="61"/>
  <c r="L84" i="61"/>
  <c r="N135" i="61"/>
  <c r="E93" i="61"/>
  <c r="G98" i="61"/>
  <c r="G101" i="61" s="1"/>
  <c r="G16" i="81" s="1"/>
  <c r="G21" i="61"/>
  <c r="F70" i="61"/>
  <c r="I93" i="61"/>
  <c r="K98" i="61"/>
  <c r="K101" i="61" s="1"/>
  <c r="K16" i="81" s="1"/>
  <c r="K21" i="61"/>
  <c r="J98" i="61"/>
  <c r="J101" i="61" s="1"/>
  <c r="J16" i="81" s="1"/>
  <c r="J21" i="61"/>
  <c r="O93" i="61"/>
  <c r="J88" i="61"/>
  <c r="H84" i="61"/>
  <c r="M98" i="61"/>
  <c r="M101" i="61" s="1"/>
  <c r="Q93" i="61"/>
  <c r="F88" i="61"/>
  <c r="H98" i="61"/>
  <c r="H101" i="61" s="1"/>
  <c r="H16" i="81" s="1"/>
  <c r="H21" i="61"/>
  <c r="D97" i="61"/>
  <c r="D114" i="61"/>
  <c r="E98" i="61"/>
  <c r="E101" i="61" s="1"/>
  <c r="E16" i="81" s="1"/>
  <c r="E21" i="61"/>
  <c r="K88" i="61"/>
  <c r="C114" i="61"/>
  <c r="C97" i="61"/>
  <c r="L98" i="61"/>
  <c r="L101" i="61" s="1"/>
  <c r="L21" i="61"/>
  <c r="P93" i="61"/>
  <c r="D70" i="61"/>
  <c r="I98" i="61"/>
  <c r="I101" i="61" s="1"/>
  <c r="I16" i="81" s="1"/>
  <c r="I21" i="61"/>
  <c r="AC35" i="80" l="1"/>
  <c r="H10" i="81"/>
  <c r="AC7" i="80"/>
  <c r="H76" i="81"/>
  <c r="AC32" i="80"/>
  <c r="K18" i="81"/>
  <c r="AF15" i="80" s="1"/>
  <c r="AF13" i="80"/>
  <c r="E10" i="81"/>
  <c r="E12" i="81" s="1"/>
  <c r="AB13" i="80"/>
  <c r="G18" i="81"/>
  <c r="AB15" i="80" s="1"/>
  <c r="AD13" i="80"/>
  <c r="I18" i="81"/>
  <c r="AD15" i="80" s="1"/>
  <c r="AD6" i="80"/>
  <c r="I10" i="81"/>
  <c r="AE6" i="80"/>
  <c r="J10" i="81"/>
  <c r="K10" i="81"/>
  <c r="AF6" i="80"/>
  <c r="AC13" i="80"/>
  <c r="H18" i="81"/>
  <c r="AC15" i="80" s="1"/>
  <c r="J18" i="81"/>
  <c r="AE15" i="80" s="1"/>
  <c r="AE13" i="80"/>
  <c r="AE35" i="80"/>
  <c r="AD32" i="80"/>
  <c r="I76" i="81"/>
  <c r="J76" i="81"/>
  <c r="AE32" i="80"/>
  <c r="G76" i="81"/>
  <c r="AB32" i="80"/>
  <c r="G10" i="81"/>
  <c r="AB6" i="80"/>
  <c r="L116" i="74"/>
  <c r="L44" i="74" s="1"/>
  <c r="C52" i="74"/>
  <c r="C54" i="74" s="1"/>
  <c r="L117" i="74"/>
  <c r="L43" i="74" s="1"/>
  <c r="L37" i="74"/>
  <c r="H43" i="74"/>
  <c r="K37" i="74"/>
  <c r="J37" i="74"/>
  <c r="K117" i="74"/>
  <c r="K43" i="74" s="1"/>
  <c r="K116" i="74"/>
  <c r="K44" i="74" s="1"/>
  <c r="J117" i="74"/>
  <c r="J43" i="74" s="1"/>
  <c r="J116" i="74"/>
  <c r="J44" i="74" s="1"/>
  <c r="M114" i="61"/>
  <c r="M97" i="61"/>
  <c r="K114" i="61"/>
  <c r="K83" i="81" s="1"/>
  <c r="K97" i="61"/>
  <c r="L97" i="61"/>
  <c r="L114" i="61"/>
  <c r="E114" i="61"/>
  <c r="E83" i="81" s="1"/>
  <c r="E84" i="81" s="1"/>
  <c r="E97" i="61"/>
  <c r="F93" i="61"/>
  <c r="G93" i="61"/>
  <c r="N114" i="61"/>
  <c r="N97" i="61"/>
  <c r="I114" i="61"/>
  <c r="I83" i="81" s="1"/>
  <c r="I97" i="61"/>
  <c r="H97" i="61"/>
  <c r="H114" i="61"/>
  <c r="H83" i="81" s="1"/>
  <c r="AC36" i="80" s="1"/>
  <c r="J93" i="61"/>
  <c r="L88" i="61"/>
  <c r="K93" i="61"/>
  <c r="H88" i="61"/>
  <c r="J114" i="61"/>
  <c r="J83" i="81" s="1"/>
  <c r="AE36" i="80" s="1"/>
  <c r="J97" i="61"/>
  <c r="G114" i="61"/>
  <c r="G83" i="81" s="1"/>
  <c r="G97" i="61"/>
  <c r="F114" i="61"/>
  <c r="F83" i="81" s="1"/>
  <c r="F84" i="81" s="1"/>
  <c r="F97" i="61"/>
  <c r="I12" i="81" l="1"/>
  <c r="AD10" i="80" s="1"/>
  <c r="AD8" i="80"/>
  <c r="AF36" i="80"/>
  <c r="K84" i="81"/>
  <c r="AF37" i="80" s="1"/>
  <c r="AB36" i="80"/>
  <c r="G84" i="81"/>
  <c r="AB37" i="80" s="1"/>
  <c r="H12" i="81"/>
  <c r="AC10" i="80" s="1"/>
  <c r="AC8" i="80"/>
  <c r="K12" i="81"/>
  <c r="AF10" i="80" s="1"/>
  <c r="AF8" i="80"/>
  <c r="J12" i="81"/>
  <c r="AE10" i="80" s="1"/>
  <c r="AE8" i="80"/>
  <c r="AD36" i="80"/>
  <c r="I84" i="81"/>
  <c r="AD37" i="80" s="1"/>
  <c r="G12" i="81"/>
  <c r="AB10" i="80" s="1"/>
  <c r="AB8" i="80"/>
  <c r="J84" i="81"/>
  <c r="AE37" i="80" s="1"/>
  <c r="H84" i="81"/>
  <c r="AC37" i="80" s="1"/>
  <c r="L93" i="61"/>
  <c r="H93" i="61"/>
  <c r="L92" i="57" l="1"/>
  <c r="K92" i="57"/>
  <c r="J92" i="57"/>
  <c r="I92" i="57"/>
  <c r="H92" i="57"/>
  <c r="G92" i="57"/>
  <c r="F92" i="57"/>
  <c r="E92" i="57"/>
  <c r="D92" i="57"/>
  <c r="C92" i="57"/>
  <c r="L91" i="57"/>
  <c r="K91" i="57"/>
  <c r="J91" i="57"/>
  <c r="I91" i="57"/>
  <c r="H91" i="57"/>
  <c r="G91" i="57"/>
  <c r="F91" i="57"/>
  <c r="E91" i="57"/>
  <c r="D91" i="57"/>
  <c r="C91" i="57"/>
  <c r="L90" i="57"/>
  <c r="K90" i="57"/>
  <c r="J90" i="57"/>
  <c r="I90" i="57"/>
  <c r="H90" i="57"/>
  <c r="G90" i="57"/>
  <c r="F90" i="57"/>
  <c r="E90" i="57"/>
  <c r="D90" i="57"/>
  <c r="C90" i="57"/>
  <c r="L87" i="57"/>
  <c r="K87" i="57"/>
  <c r="J87" i="57"/>
  <c r="I87" i="57"/>
  <c r="H87" i="57"/>
  <c r="G87" i="57"/>
  <c r="F87" i="57"/>
  <c r="E87" i="57"/>
  <c r="D87" i="57"/>
  <c r="C87" i="57"/>
  <c r="L86" i="57"/>
  <c r="K86" i="57"/>
  <c r="J86" i="57"/>
  <c r="I86" i="57"/>
  <c r="I78" i="75" s="1"/>
  <c r="H86" i="57"/>
  <c r="H78" i="75" s="1"/>
  <c r="G86" i="57"/>
  <c r="F86" i="57"/>
  <c r="E86" i="57"/>
  <c r="D86" i="57"/>
  <c r="C86" i="57"/>
  <c r="L83" i="57"/>
  <c r="K83" i="57"/>
  <c r="J83" i="57"/>
  <c r="I83" i="57"/>
  <c r="H83" i="57"/>
  <c r="G83" i="57"/>
  <c r="F83" i="57"/>
  <c r="E83" i="57"/>
  <c r="D83" i="57"/>
  <c r="C83" i="57"/>
  <c r="L82" i="57"/>
  <c r="K82" i="57"/>
  <c r="J82" i="57"/>
  <c r="I82" i="57"/>
  <c r="H82" i="57"/>
  <c r="G82" i="57"/>
  <c r="F82" i="57"/>
  <c r="E82" i="57"/>
  <c r="D82" i="57"/>
  <c r="C82" i="57"/>
  <c r="L81" i="57"/>
  <c r="K81" i="57"/>
  <c r="J81" i="57"/>
  <c r="I81" i="57"/>
  <c r="H81" i="57"/>
  <c r="G81" i="57"/>
  <c r="F81" i="57"/>
  <c r="E81" i="57"/>
  <c r="D81" i="57"/>
  <c r="C81" i="57"/>
  <c r="L78" i="57"/>
  <c r="K78" i="57"/>
  <c r="J78" i="57"/>
  <c r="I78" i="57"/>
  <c r="H78" i="57"/>
  <c r="G78" i="57"/>
  <c r="F78" i="57"/>
  <c r="E78" i="57"/>
  <c r="D78" i="57"/>
  <c r="C78" i="57"/>
  <c r="L75" i="57"/>
  <c r="K75" i="57"/>
  <c r="J75" i="57"/>
  <c r="I75" i="57"/>
  <c r="H75" i="57"/>
  <c r="G75" i="57"/>
  <c r="F75" i="57"/>
  <c r="E75" i="57"/>
  <c r="D75" i="57"/>
  <c r="C75" i="57"/>
  <c r="L74" i="57"/>
  <c r="K74" i="57"/>
  <c r="J74" i="57"/>
  <c r="I74" i="57"/>
  <c r="H74" i="57"/>
  <c r="G74" i="57"/>
  <c r="F74" i="57"/>
  <c r="E74" i="57"/>
  <c r="D74" i="57"/>
  <c r="C74" i="57"/>
  <c r="L73" i="57"/>
  <c r="K73" i="57"/>
  <c r="J73" i="57"/>
  <c r="I73" i="57"/>
  <c r="H73" i="57"/>
  <c r="G73" i="57"/>
  <c r="F73" i="57"/>
  <c r="E73" i="57"/>
  <c r="D73" i="57"/>
  <c r="C73" i="57"/>
  <c r="L72" i="57"/>
  <c r="K72" i="57"/>
  <c r="J72" i="57"/>
  <c r="I72" i="57"/>
  <c r="H72" i="57"/>
  <c r="G72" i="57"/>
  <c r="G76" i="57" s="1"/>
  <c r="F72" i="57"/>
  <c r="E72" i="57"/>
  <c r="D72" i="57"/>
  <c r="C72" i="57"/>
  <c r="L65" i="57"/>
  <c r="L138" i="57" s="1"/>
  <c r="K65" i="57"/>
  <c r="J65" i="57"/>
  <c r="I65" i="57"/>
  <c r="H65" i="57"/>
  <c r="H138" i="57" s="1"/>
  <c r="G65" i="57"/>
  <c r="G138" i="57" s="1"/>
  <c r="F65" i="57"/>
  <c r="E65" i="57"/>
  <c r="D65" i="57"/>
  <c r="D138" i="57" s="1"/>
  <c r="C65" i="57"/>
  <c r="C138" i="57" s="1"/>
  <c r="L64" i="57"/>
  <c r="L123" i="57" s="1"/>
  <c r="K64" i="57"/>
  <c r="K123" i="57" s="1"/>
  <c r="J64" i="57"/>
  <c r="J123" i="57" s="1"/>
  <c r="I64" i="57"/>
  <c r="H64" i="57"/>
  <c r="G64" i="57"/>
  <c r="G123" i="57" s="1"/>
  <c r="F64" i="57"/>
  <c r="F123" i="57" s="1"/>
  <c r="E64" i="57"/>
  <c r="D64" i="57"/>
  <c r="D123" i="57" s="1"/>
  <c r="C64" i="57"/>
  <c r="L63" i="57"/>
  <c r="K63" i="57"/>
  <c r="J63" i="57"/>
  <c r="I63" i="57"/>
  <c r="I122" i="57" s="1"/>
  <c r="H63" i="57"/>
  <c r="G63" i="57"/>
  <c r="G66" i="57" s="1"/>
  <c r="F63" i="57"/>
  <c r="E63" i="57"/>
  <c r="D63" i="57"/>
  <c r="C63" i="57"/>
  <c r="L60" i="57"/>
  <c r="L129" i="57" s="1"/>
  <c r="K60" i="57"/>
  <c r="J60" i="57"/>
  <c r="J129" i="57" s="1"/>
  <c r="I60" i="57"/>
  <c r="I129" i="57" s="1"/>
  <c r="H60" i="57"/>
  <c r="G60" i="57"/>
  <c r="F60" i="57"/>
  <c r="E60" i="57"/>
  <c r="E129" i="57" s="1"/>
  <c r="D60" i="57"/>
  <c r="C60" i="57"/>
  <c r="C129" i="57" s="1"/>
  <c r="L59" i="57"/>
  <c r="K59" i="57"/>
  <c r="J59" i="57"/>
  <c r="I59" i="57"/>
  <c r="H59" i="57"/>
  <c r="G59" i="57"/>
  <c r="F59" i="57"/>
  <c r="E59" i="57"/>
  <c r="D59" i="57"/>
  <c r="C59" i="57"/>
  <c r="L58" i="57"/>
  <c r="L139" i="57" s="1"/>
  <c r="K58" i="57"/>
  <c r="K139" i="57" s="1"/>
  <c r="J58" i="57"/>
  <c r="I58" i="57"/>
  <c r="I139" i="57" s="1"/>
  <c r="H58" i="57"/>
  <c r="H139" i="57" s="1"/>
  <c r="G58" i="57"/>
  <c r="F58" i="57"/>
  <c r="E58" i="57"/>
  <c r="D58" i="57"/>
  <c r="D139" i="57" s="1"/>
  <c r="C58" i="57"/>
  <c r="K55" i="57"/>
  <c r="K143" i="57" s="1"/>
  <c r="J55" i="57"/>
  <c r="J143" i="57" s="1"/>
  <c r="I55" i="57"/>
  <c r="H55" i="57"/>
  <c r="G55" i="57"/>
  <c r="G143" i="57" s="1"/>
  <c r="F55" i="57"/>
  <c r="F143" i="57" s="1"/>
  <c r="E55" i="57"/>
  <c r="E143" i="57" s="1"/>
  <c r="D55" i="57"/>
  <c r="D143" i="57" s="1"/>
  <c r="C55" i="57"/>
  <c r="C143" i="57" s="1"/>
  <c r="L54" i="57"/>
  <c r="K54" i="57"/>
  <c r="J54" i="57"/>
  <c r="I54" i="57"/>
  <c r="H54" i="57"/>
  <c r="G54" i="57"/>
  <c r="F54" i="57"/>
  <c r="E54" i="57"/>
  <c r="D54" i="57"/>
  <c r="C54" i="57"/>
  <c r="L53" i="57"/>
  <c r="L142" i="57" s="1"/>
  <c r="L144" i="57" s="1"/>
  <c r="K53" i="57"/>
  <c r="J53" i="57"/>
  <c r="I53" i="57"/>
  <c r="H53" i="57"/>
  <c r="H142" i="57" s="1"/>
  <c r="G53" i="57"/>
  <c r="G142" i="57" s="1"/>
  <c r="F53" i="57"/>
  <c r="F142" i="57" s="1"/>
  <c r="E53" i="57"/>
  <c r="D53" i="57"/>
  <c r="C53" i="57"/>
  <c r="C142" i="57" s="1"/>
  <c r="C144" i="57" s="1"/>
  <c r="L46" i="57"/>
  <c r="K46" i="57"/>
  <c r="J46" i="57"/>
  <c r="I46" i="57"/>
  <c r="H46" i="57"/>
  <c r="G46" i="57"/>
  <c r="F46" i="57"/>
  <c r="E46" i="57"/>
  <c r="D46" i="57"/>
  <c r="C46" i="57"/>
  <c r="L45" i="57"/>
  <c r="K45" i="57"/>
  <c r="J45" i="57"/>
  <c r="I45" i="57"/>
  <c r="I121" i="57" s="1"/>
  <c r="H45" i="57"/>
  <c r="G45" i="57"/>
  <c r="F45" i="57"/>
  <c r="F121" i="57" s="1"/>
  <c r="E45" i="57"/>
  <c r="E121" i="57" s="1"/>
  <c r="D45" i="57"/>
  <c r="D121" i="57" s="1"/>
  <c r="C45" i="57"/>
  <c r="C121" i="57" s="1"/>
  <c r="L44" i="57"/>
  <c r="K44" i="57"/>
  <c r="J44" i="57"/>
  <c r="I44" i="57"/>
  <c r="H44" i="57"/>
  <c r="G44" i="57"/>
  <c r="F44" i="57"/>
  <c r="E44" i="57"/>
  <c r="D44" i="57"/>
  <c r="C44" i="57"/>
  <c r="C119" i="57" s="1"/>
  <c r="L43" i="57"/>
  <c r="K43" i="57"/>
  <c r="K120" i="57" s="1"/>
  <c r="J43" i="57"/>
  <c r="J120" i="57" s="1"/>
  <c r="I43" i="57"/>
  <c r="H43" i="57"/>
  <c r="H120" i="57" s="1"/>
  <c r="G43" i="57"/>
  <c r="G120" i="57" s="1"/>
  <c r="F43" i="57"/>
  <c r="F120" i="57" s="1"/>
  <c r="E43" i="57"/>
  <c r="D43" i="57"/>
  <c r="C43" i="57"/>
  <c r="L40" i="57"/>
  <c r="K40" i="57"/>
  <c r="J40" i="57"/>
  <c r="I40" i="57"/>
  <c r="H40" i="57"/>
  <c r="G40" i="57"/>
  <c r="F40" i="57"/>
  <c r="E40" i="57"/>
  <c r="D40" i="57"/>
  <c r="C40" i="57"/>
  <c r="C128" i="57" s="1"/>
  <c r="L39" i="57"/>
  <c r="K39" i="57"/>
  <c r="J39" i="57"/>
  <c r="I39" i="57"/>
  <c r="I133" i="57" s="1"/>
  <c r="H39" i="57"/>
  <c r="H133" i="57" s="1"/>
  <c r="G39" i="57"/>
  <c r="F39" i="57"/>
  <c r="F133" i="57" s="1"/>
  <c r="E39" i="57"/>
  <c r="E133" i="57" s="1"/>
  <c r="D39" i="57"/>
  <c r="C39" i="57"/>
  <c r="C133" i="57" s="1"/>
  <c r="L38" i="57"/>
  <c r="L127" i="57" s="1"/>
  <c r="K38" i="57"/>
  <c r="K127" i="57" s="1"/>
  <c r="J38" i="57"/>
  <c r="I38" i="57"/>
  <c r="H38" i="57"/>
  <c r="H127" i="57" s="1"/>
  <c r="G38" i="57"/>
  <c r="G127" i="57" s="1"/>
  <c r="F38" i="57"/>
  <c r="E38" i="57"/>
  <c r="D38" i="57"/>
  <c r="C38" i="57"/>
  <c r="L37" i="57"/>
  <c r="K37" i="57"/>
  <c r="K126" i="57" s="1"/>
  <c r="J37" i="57"/>
  <c r="J126" i="57" s="1"/>
  <c r="I37" i="57"/>
  <c r="H37" i="57"/>
  <c r="H126" i="57" s="1"/>
  <c r="G37" i="57"/>
  <c r="G126" i="57" s="1"/>
  <c r="F37" i="57"/>
  <c r="F126" i="57" s="1"/>
  <c r="E37" i="57"/>
  <c r="D37" i="57"/>
  <c r="D126" i="57" s="1"/>
  <c r="C37" i="57"/>
  <c r="C126" i="57" s="1"/>
  <c r="L20" i="57"/>
  <c r="K20" i="57"/>
  <c r="J20" i="57"/>
  <c r="I20" i="57"/>
  <c r="H20" i="57"/>
  <c r="G20" i="57"/>
  <c r="F20" i="57"/>
  <c r="E20" i="57"/>
  <c r="D20" i="57"/>
  <c r="C20" i="57"/>
  <c r="L19" i="57"/>
  <c r="K19" i="57"/>
  <c r="J19" i="57"/>
  <c r="I19" i="57"/>
  <c r="H19" i="57"/>
  <c r="G19" i="57"/>
  <c r="F19" i="57"/>
  <c r="E19" i="57"/>
  <c r="D19" i="57"/>
  <c r="C19" i="57"/>
  <c r="L17" i="57"/>
  <c r="K17" i="57"/>
  <c r="J17" i="57"/>
  <c r="I17" i="57"/>
  <c r="H17" i="57"/>
  <c r="G17" i="57"/>
  <c r="F17" i="57"/>
  <c r="E17" i="57"/>
  <c r="D17" i="57"/>
  <c r="C17" i="57"/>
  <c r="N111" i="57"/>
  <c r="N113" i="57" s="1"/>
  <c r="N110" i="57" s="1"/>
  <c r="N100" i="57" s="1"/>
  <c r="L15" i="57"/>
  <c r="K15" i="57"/>
  <c r="J15" i="57"/>
  <c r="I15" i="57"/>
  <c r="I28" i="75" s="1"/>
  <c r="H15" i="57"/>
  <c r="G15" i="57"/>
  <c r="F15" i="57"/>
  <c r="E15" i="57"/>
  <c r="D15" i="57"/>
  <c r="C15" i="57"/>
  <c r="C111" i="57" s="1"/>
  <c r="C113" i="57" s="1"/>
  <c r="C110" i="57" s="1"/>
  <c r="C100" i="57" s="1"/>
  <c r="L14" i="57"/>
  <c r="K14" i="57"/>
  <c r="J14" i="57"/>
  <c r="I14" i="57"/>
  <c r="H14" i="57"/>
  <c r="G14" i="57"/>
  <c r="F14" i="57"/>
  <c r="E14" i="57"/>
  <c r="D14" i="57"/>
  <c r="C14" i="57"/>
  <c r="N103" i="57"/>
  <c r="N105" i="57" s="1"/>
  <c r="N102" i="57" s="1"/>
  <c r="L13" i="57"/>
  <c r="K13" i="57"/>
  <c r="J13" i="57"/>
  <c r="I13" i="57"/>
  <c r="H13" i="57"/>
  <c r="H103" i="57" s="1"/>
  <c r="H105" i="57" s="1"/>
  <c r="H102" i="57" s="1"/>
  <c r="G13" i="57"/>
  <c r="G25" i="75" s="1"/>
  <c r="F13" i="57"/>
  <c r="E13" i="57"/>
  <c r="D13" i="57"/>
  <c r="C13" i="57"/>
  <c r="L12" i="57"/>
  <c r="K12" i="57"/>
  <c r="J12" i="57"/>
  <c r="I12" i="57"/>
  <c r="I107" i="57" s="1"/>
  <c r="H12" i="57"/>
  <c r="G12" i="57"/>
  <c r="F12" i="57"/>
  <c r="E12" i="57"/>
  <c r="D12" i="57"/>
  <c r="C12" i="57"/>
  <c r="L10" i="57"/>
  <c r="K10" i="57"/>
  <c r="J10" i="57"/>
  <c r="I10" i="57"/>
  <c r="H10" i="57"/>
  <c r="G10" i="57"/>
  <c r="F10" i="57"/>
  <c r="E10" i="57"/>
  <c r="D10" i="57"/>
  <c r="C10" i="57"/>
  <c r="C11" i="57" s="1"/>
  <c r="L9" i="57"/>
  <c r="K9" i="57"/>
  <c r="J9" i="57"/>
  <c r="I9" i="57"/>
  <c r="H9" i="57"/>
  <c r="G9" i="57"/>
  <c r="F9" i="57"/>
  <c r="E9" i="57"/>
  <c r="D9" i="57"/>
  <c r="C9" i="57"/>
  <c r="M144" i="57"/>
  <c r="R143" i="57"/>
  <c r="Q143" i="57"/>
  <c r="P143" i="57"/>
  <c r="O143" i="57"/>
  <c r="N143" i="57"/>
  <c r="M143" i="57"/>
  <c r="L143" i="57"/>
  <c r="R142" i="57"/>
  <c r="R144" i="57" s="1"/>
  <c r="Q142" i="57"/>
  <c r="Q144" i="57" s="1"/>
  <c r="P142" i="57"/>
  <c r="O142" i="57"/>
  <c r="N142" i="57"/>
  <c r="N144" i="57" s="1"/>
  <c r="M142" i="57"/>
  <c r="R139" i="57"/>
  <c r="Q139" i="57"/>
  <c r="P139" i="57"/>
  <c r="P140" i="57" s="1"/>
  <c r="O139" i="57"/>
  <c r="N139" i="57"/>
  <c r="M139" i="57"/>
  <c r="R138" i="57"/>
  <c r="R140" i="57" s="1"/>
  <c r="Q138" i="57"/>
  <c r="P138" i="57"/>
  <c r="O138" i="57"/>
  <c r="O140" i="57" s="1"/>
  <c r="N138" i="57"/>
  <c r="M138" i="57"/>
  <c r="R133" i="57"/>
  <c r="Q133" i="57"/>
  <c r="P133" i="57"/>
  <c r="O133" i="57"/>
  <c r="N133" i="57"/>
  <c r="M133" i="57"/>
  <c r="R129" i="57"/>
  <c r="Q129" i="57"/>
  <c r="P129" i="57"/>
  <c r="O129" i="57"/>
  <c r="N129" i="57"/>
  <c r="M129" i="57"/>
  <c r="R128" i="57"/>
  <c r="Q128" i="57"/>
  <c r="P128" i="57"/>
  <c r="O128" i="57"/>
  <c r="N128" i="57"/>
  <c r="M128" i="57"/>
  <c r="R127" i="57"/>
  <c r="Q127" i="57"/>
  <c r="P127" i="57"/>
  <c r="O127" i="57"/>
  <c r="N127" i="57"/>
  <c r="M127" i="57"/>
  <c r="R126" i="57"/>
  <c r="Q126" i="57"/>
  <c r="P126" i="57"/>
  <c r="O126" i="57"/>
  <c r="O130" i="57" s="1"/>
  <c r="N126" i="57"/>
  <c r="M126" i="57"/>
  <c r="R123" i="57"/>
  <c r="Q123" i="57"/>
  <c r="P123" i="57"/>
  <c r="O123" i="57"/>
  <c r="N123" i="57"/>
  <c r="M123" i="57"/>
  <c r="R122" i="57"/>
  <c r="Q122" i="57"/>
  <c r="P122" i="57"/>
  <c r="O122" i="57"/>
  <c r="N122" i="57"/>
  <c r="M122" i="57"/>
  <c r="R121" i="57"/>
  <c r="Q121" i="57"/>
  <c r="P121" i="57"/>
  <c r="O121" i="57"/>
  <c r="N121" i="57"/>
  <c r="M121" i="57"/>
  <c r="R120" i="57"/>
  <c r="Q120" i="57"/>
  <c r="P120" i="57"/>
  <c r="O120" i="57"/>
  <c r="N120" i="57"/>
  <c r="M120" i="57"/>
  <c r="R119" i="57"/>
  <c r="Q119" i="57"/>
  <c r="P119" i="57"/>
  <c r="O119" i="57"/>
  <c r="N119" i="57"/>
  <c r="M119" i="57"/>
  <c r="R118" i="57"/>
  <c r="R132" i="57" s="1"/>
  <c r="R134" i="57" s="1"/>
  <c r="Q118" i="57"/>
  <c r="Q132" i="57" s="1"/>
  <c r="P118" i="57"/>
  <c r="O118" i="57"/>
  <c r="O132" i="57" s="1"/>
  <c r="O134" i="57" s="1"/>
  <c r="L112" i="57"/>
  <c r="K112" i="57"/>
  <c r="J112" i="57"/>
  <c r="I112" i="57"/>
  <c r="H112" i="57"/>
  <c r="G112" i="57"/>
  <c r="F112" i="57"/>
  <c r="E112" i="57"/>
  <c r="D112" i="57"/>
  <c r="C112" i="57"/>
  <c r="R111" i="57"/>
  <c r="R113" i="57" s="1"/>
  <c r="Q111" i="57"/>
  <c r="Q113" i="57" s="1"/>
  <c r="Q110" i="57" s="1"/>
  <c r="P111" i="57"/>
  <c r="P113" i="57" s="1"/>
  <c r="P110" i="57" s="1"/>
  <c r="P100" i="57" s="1"/>
  <c r="O111" i="57"/>
  <c r="O113" i="57" s="1"/>
  <c r="O110" i="57" s="1"/>
  <c r="O100" i="57" s="1"/>
  <c r="R110" i="57"/>
  <c r="L108" i="57"/>
  <c r="K108" i="57"/>
  <c r="J108" i="57"/>
  <c r="I108" i="57"/>
  <c r="H108" i="57"/>
  <c r="G108" i="57"/>
  <c r="F108" i="57"/>
  <c r="E108" i="57"/>
  <c r="D108" i="57"/>
  <c r="C108" i="57"/>
  <c r="R107" i="57"/>
  <c r="R109" i="57" s="1"/>
  <c r="Q107" i="57"/>
  <c r="Q109" i="57" s="1"/>
  <c r="Q106" i="57" s="1"/>
  <c r="P107" i="57"/>
  <c r="P109" i="57" s="1"/>
  <c r="P106" i="57" s="1"/>
  <c r="O107" i="57"/>
  <c r="O109" i="57" s="1"/>
  <c r="O106" i="57" s="1"/>
  <c r="O99" i="57" s="1"/>
  <c r="R106" i="57"/>
  <c r="R99" i="57" s="1"/>
  <c r="L104" i="57"/>
  <c r="K104" i="57"/>
  <c r="J104" i="57"/>
  <c r="I104" i="57"/>
  <c r="H104" i="57"/>
  <c r="G104" i="57"/>
  <c r="F104" i="57"/>
  <c r="E104" i="57"/>
  <c r="D104" i="57"/>
  <c r="C104" i="57"/>
  <c r="R103" i="57"/>
  <c r="R105" i="57" s="1"/>
  <c r="R102" i="57" s="1"/>
  <c r="Q103" i="57"/>
  <c r="Q105" i="57" s="1"/>
  <c r="Q102" i="57" s="1"/>
  <c r="P103" i="57"/>
  <c r="P105" i="57" s="1"/>
  <c r="P102" i="57" s="1"/>
  <c r="O103" i="57"/>
  <c r="O105" i="57" s="1"/>
  <c r="O102" i="57" s="1"/>
  <c r="R100" i="57"/>
  <c r="Q100" i="57"/>
  <c r="Q99" i="57"/>
  <c r="P99" i="57"/>
  <c r="R98" i="57"/>
  <c r="Q98" i="57"/>
  <c r="P98" i="57"/>
  <c r="O98" i="57"/>
  <c r="R96" i="57"/>
  <c r="Q96" i="57"/>
  <c r="P96" i="57"/>
  <c r="O96" i="57"/>
  <c r="Q76" i="57"/>
  <c r="P76" i="57"/>
  <c r="O76" i="57"/>
  <c r="N76" i="57"/>
  <c r="N79" i="57" s="1"/>
  <c r="N84" i="57" s="1"/>
  <c r="M76" i="57"/>
  <c r="Q70" i="57"/>
  <c r="P70" i="57"/>
  <c r="O70" i="57"/>
  <c r="N70" i="57"/>
  <c r="M70" i="57"/>
  <c r="Q66" i="57"/>
  <c r="P66" i="57"/>
  <c r="O66" i="57"/>
  <c r="N66" i="57"/>
  <c r="M66" i="57"/>
  <c r="K138" i="57"/>
  <c r="I138" i="57"/>
  <c r="E138" i="57"/>
  <c r="H123" i="57"/>
  <c r="C123" i="57"/>
  <c r="G122" i="57"/>
  <c r="F122" i="57"/>
  <c r="E122" i="57"/>
  <c r="Q61" i="57"/>
  <c r="P61" i="57"/>
  <c r="O61" i="57"/>
  <c r="N61" i="57"/>
  <c r="M61" i="57"/>
  <c r="I61" i="57"/>
  <c r="K129" i="57"/>
  <c r="G129" i="57"/>
  <c r="G139" i="57"/>
  <c r="C139" i="57"/>
  <c r="I143" i="57"/>
  <c r="H143" i="57"/>
  <c r="K142" i="57"/>
  <c r="J142" i="57"/>
  <c r="D142" i="57"/>
  <c r="L121" i="57"/>
  <c r="H121" i="57"/>
  <c r="L119" i="57"/>
  <c r="K119" i="57"/>
  <c r="L120" i="57"/>
  <c r="D120" i="57"/>
  <c r="C120" i="57"/>
  <c r="L133" i="57"/>
  <c r="J133" i="57"/>
  <c r="D133" i="57"/>
  <c r="I127" i="57"/>
  <c r="D127" i="57"/>
  <c r="C127" i="57"/>
  <c r="L126" i="57"/>
  <c r="M111" i="57"/>
  <c r="M113" i="57" s="1"/>
  <c r="M110" i="57" s="1"/>
  <c r="M100" i="57" s="1"/>
  <c r="L111" i="57"/>
  <c r="L113" i="57" s="1"/>
  <c r="L110" i="57" s="1"/>
  <c r="L100" i="57" s="1"/>
  <c r="H111" i="57"/>
  <c r="H113" i="57" s="1"/>
  <c r="H110" i="57" s="1"/>
  <c r="H100" i="57" s="1"/>
  <c r="F111" i="57"/>
  <c r="E111" i="57"/>
  <c r="D111" i="57"/>
  <c r="D113" i="57" s="1"/>
  <c r="D110" i="57" s="1"/>
  <c r="D100" i="57" s="1"/>
  <c r="M103" i="57"/>
  <c r="M105" i="57" s="1"/>
  <c r="M102" i="57" s="1"/>
  <c r="L103" i="57"/>
  <c r="K103" i="57"/>
  <c r="I103" i="57"/>
  <c r="E103" i="57"/>
  <c r="E105" i="57" s="1"/>
  <c r="E102" i="57" s="1"/>
  <c r="D103" i="57"/>
  <c r="C103" i="57"/>
  <c r="N107" i="57"/>
  <c r="N109" i="57" s="1"/>
  <c r="N106" i="57" s="1"/>
  <c r="N99" i="57" s="1"/>
  <c r="M107" i="57"/>
  <c r="M109" i="57" s="1"/>
  <c r="M106" i="57" s="1"/>
  <c r="M99" i="57" s="1"/>
  <c r="F107" i="57"/>
  <c r="D2" i="57"/>
  <c r="E2" i="57" s="1"/>
  <c r="F2" i="57" s="1"/>
  <c r="G2" i="57" s="1"/>
  <c r="H2" i="57" s="1"/>
  <c r="I2" i="57" s="1"/>
  <c r="J2" i="57" s="1"/>
  <c r="K2" i="57" s="1"/>
  <c r="L2" i="57" s="1"/>
  <c r="M2" i="57" s="1"/>
  <c r="N2" i="57" s="1"/>
  <c r="O2" i="57" s="1"/>
  <c r="P2" i="57" s="1"/>
  <c r="Q2" i="57" s="1"/>
  <c r="M133" i="56"/>
  <c r="N133" i="56"/>
  <c r="O133" i="56"/>
  <c r="P133" i="56"/>
  <c r="Q133" i="56"/>
  <c r="R133" i="56"/>
  <c r="M133" i="55"/>
  <c r="N133" i="55"/>
  <c r="O133" i="55"/>
  <c r="P133" i="55"/>
  <c r="Q133" i="55"/>
  <c r="R133" i="55"/>
  <c r="C121" i="56"/>
  <c r="C112" i="56"/>
  <c r="C108" i="56"/>
  <c r="C104" i="56"/>
  <c r="C92" i="56"/>
  <c r="C91" i="56"/>
  <c r="C90" i="56"/>
  <c r="C87" i="56"/>
  <c r="C86" i="56"/>
  <c r="C83" i="56"/>
  <c r="C82" i="56"/>
  <c r="C81" i="56"/>
  <c r="C78" i="56"/>
  <c r="C75" i="56"/>
  <c r="C74" i="56"/>
  <c r="C73" i="56"/>
  <c r="C72" i="56"/>
  <c r="C65" i="56"/>
  <c r="C138" i="56" s="1"/>
  <c r="C64" i="56"/>
  <c r="C63" i="56"/>
  <c r="C122" i="56" s="1"/>
  <c r="C60" i="56"/>
  <c r="C129" i="56" s="1"/>
  <c r="C59" i="56"/>
  <c r="C58" i="56"/>
  <c r="C139" i="56" s="1"/>
  <c r="C55" i="56"/>
  <c r="C143" i="56" s="1"/>
  <c r="C54" i="56"/>
  <c r="C53" i="56"/>
  <c r="C142" i="56" s="1"/>
  <c r="C46" i="56"/>
  <c r="C45" i="56"/>
  <c r="C44" i="56"/>
  <c r="C119" i="56" s="1"/>
  <c r="C43" i="56"/>
  <c r="C120" i="56" s="1"/>
  <c r="C40" i="56"/>
  <c r="C39" i="56"/>
  <c r="C133" i="56" s="1"/>
  <c r="C38" i="56"/>
  <c r="C127" i="56" s="1"/>
  <c r="C37" i="56"/>
  <c r="C126" i="56" s="1"/>
  <c r="C20" i="56"/>
  <c r="C19" i="56"/>
  <c r="C17" i="56"/>
  <c r="C15" i="56"/>
  <c r="C111" i="56" s="1"/>
  <c r="C14" i="56"/>
  <c r="C13" i="56"/>
  <c r="C103" i="56" s="1"/>
  <c r="C12" i="56"/>
  <c r="C107" i="56" s="1"/>
  <c r="C10" i="56"/>
  <c r="C9" i="56"/>
  <c r="C118" i="56" s="1"/>
  <c r="L92" i="56"/>
  <c r="K92" i="56"/>
  <c r="J92" i="56"/>
  <c r="I92" i="56"/>
  <c r="H92" i="56"/>
  <c r="G92" i="56"/>
  <c r="F92" i="56"/>
  <c r="E92" i="56"/>
  <c r="D92" i="56"/>
  <c r="L91" i="56"/>
  <c r="K91" i="56"/>
  <c r="J91" i="56"/>
  <c r="I91" i="56"/>
  <c r="H91" i="56"/>
  <c r="G91" i="56"/>
  <c r="F91" i="56"/>
  <c r="E91" i="56"/>
  <c r="D91" i="56"/>
  <c r="L90" i="56"/>
  <c r="K90" i="56"/>
  <c r="J90" i="56"/>
  <c r="I90" i="56"/>
  <c r="H90" i="56"/>
  <c r="G90" i="56"/>
  <c r="F90" i="56"/>
  <c r="E90" i="56"/>
  <c r="D90" i="56"/>
  <c r="L87" i="56"/>
  <c r="K87" i="56"/>
  <c r="J87" i="56"/>
  <c r="I87" i="56"/>
  <c r="H87" i="56"/>
  <c r="G87" i="56"/>
  <c r="F87" i="56"/>
  <c r="E87" i="56"/>
  <c r="D87" i="56"/>
  <c r="L86" i="56"/>
  <c r="K86" i="56"/>
  <c r="J86" i="56"/>
  <c r="I86" i="56"/>
  <c r="H86" i="56"/>
  <c r="G86" i="56"/>
  <c r="F86" i="56"/>
  <c r="E86" i="56"/>
  <c r="D86" i="56"/>
  <c r="L83" i="56"/>
  <c r="K83" i="56"/>
  <c r="J83" i="56"/>
  <c r="I83" i="56"/>
  <c r="H83" i="56"/>
  <c r="G83" i="56"/>
  <c r="F83" i="56"/>
  <c r="E83" i="56"/>
  <c r="D83" i="56"/>
  <c r="L82" i="56"/>
  <c r="K82" i="56"/>
  <c r="J82" i="56"/>
  <c r="I82" i="56"/>
  <c r="H82" i="56"/>
  <c r="G82" i="56"/>
  <c r="F82" i="56"/>
  <c r="E82" i="56"/>
  <c r="D82" i="56"/>
  <c r="L81" i="56"/>
  <c r="K81" i="56"/>
  <c r="J81" i="56"/>
  <c r="I81" i="56"/>
  <c r="H81" i="56"/>
  <c r="G81" i="56"/>
  <c r="F81" i="56"/>
  <c r="E81" i="56"/>
  <c r="D81" i="56"/>
  <c r="L78" i="56"/>
  <c r="K78" i="56"/>
  <c r="J78" i="56"/>
  <c r="I78" i="56"/>
  <c r="H78" i="56"/>
  <c r="G78" i="56"/>
  <c r="F78" i="56"/>
  <c r="E78" i="56"/>
  <c r="D78" i="56"/>
  <c r="L75" i="56"/>
  <c r="K75" i="56"/>
  <c r="J75" i="56"/>
  <c r="I75" i="56"/>
  <c r="H75" i="56"/>
  <c r="G75" i="56"/>
  <c r="F75" i="56"/>
  <c r="E75" i="56"/>
  <c r="D75" i="56"/>
  <c r="L74" i="56"/>
  <c r="K74" i="56"/>
  <c r="J74" i="56"/>
  <c r="I74" i="56"/>
  <c r="H74" i="56"/>
  <c r="G74" i="56"/>
  <c r="F74" i="56"/>
  <c r="E74" i="56"/>
  <c r="D74" i="56"/>
  <c r="L73" i="56"/>
  <c r="K73" i="56"/>
  <c r="J73" i="56"/>
  <c r="I73" i="56"/>
  <c r="H73" i="56"/>
  <c r="G73" i="56"/>
  <c r="F73" i="56"/>
  <c r="E73" i="56"/>
  <c r="D73" i="56"/>
  <c r="L72" i="56"/>
  <c r="K72" i="56"/>
  <c r="J72" i="56"/>
  <c r="I72" i="56"/>
  <c r="H72" i="56"/>
  <c r="G72" i="56"/>
  <c r="F72" i="56"/>
  <c r="E72" i="56"/>
  <c r="D72" i="56"/>
  <c r="L65" i="56"/>
  <c r="L138" i="56" s="1"/>
  <c r="K65" i="56"/>
  <c r="J65" i="56"/>
  <c r="J138" i="56" s="1"/>
  <c r="I65" i="56"/>
  <c r="H65" i="56"/>
  <c r="H138" i="56" s="1"/>
  <c r="G65" i="56"/>
  <c r="F65" i="56"/>
  <c r="F138" i="56" s="1"/>
  <c r="E65" i="56"/>
  <c r="E138" i="56" s="1"/>
  <c r="D65" i="56"/>
  <c r="L64" i="56"/>
  <c r="L123" i="56" s="1"/>
  <c r="K64" i="56"/>
  <c r="K123" i="56" s="1"/>
  <c r="J64" i="56"/>
  <c r="J123" i="56" s="1"/>
  <c r="I64" i="56"/>
  <c r="H64" i="56"/>
  <c r="H123" i="56" s="1"/>
  <c r="G64" i="56"/>
  <c r="G123" i="56" s="1"/>
  <c r="F64" i="56"/>
  <c r="F123" i="56" s="1"/>
  <c r="E64" i="56"/>
  <c r="D64" i="56"/>
  <c r="D123" i="56" s="1"/>
  <c r="L63" i="56"/>
  <c r="L122" i="56" s="1"/>
  <c r="K63" i="56"/>
  <c r="J63" i="56"/>
  <c r="I63" i="56"/>
  <c r="H63" i="56"/>
  <c r="G63" i="56"/>
  <c r="F63" i="56"/>
  <c r="E63" i="56"/>
  <c r="D63" i="56"/>
  <c r="D122" i="56" s="1"/>
  <c r="L60" i="56"/>
  <c r="L129" i="56" s="1"/>
  <c r="K60" i="56"/>
  <c r="J60" i="56"/>
  <c r="J129" i="56" s="1"/>
  <c r="I60" i="56"/>
  <c r="H60" i="56"/>
  <c r="H129" i="56" s="1"/>
  <c r="G60" i="56"/>
  <c r="F60" i="56"/>
  <c r="F129" i="56" s="1"/>
  <c r="E60" i="56"/>
  <c r="D60" i="56"/>
  <c r="L59" i="56"/>
  <c r="K59" i="56"/>
  <c r="J59" i="56"/>
  <c r="I59" i="56"/>
  <c r="H59" i="56"/>
  <c r="G59" i="56"/>
  <c r="F59" i="56"/>
  <c r="E59" i="56"/>
  <c r="D59" i="56"/>
  <c r="L58" i="56"/>
  <c r="K58" i="56"/>
  <c r="J58" i="56"/>
  <c r="J139" i="56" s="1"/>
  <c r="I58" i="56"/>
  <c r="H58" i="56"/>
  <c r="G58" i="56"/>
  <c r="F58" i="56"/>
  <c r="E58" i="56"/>
  <c r="D58" i="56"/>
  <c r="K55" i="56"/>
  <c r="J55" i="56"/>
  <c r="I55" i="56"/>
  <c r="I143" i="56" s="1"/>
  <c r="H55" i="56"/>
  <c r="H143" i="56" s="1"/>
  <c r="G55" i="56"/>
  <c r="G143" i="56" s="1"/>
  <c r="F55" i="56"/>
  <c r="E55" i="56"/>
  <c r="D55" i="56"/>
  <c r="D143" i="56" s="1"/>
  <c r="L54" i="56"/>
  <c r="K54" i="56"/>
  <c r="J54" i="56"/>
  <c r="I54" i="56"/>
  <c r="H54" i="56"/>
  <c r="G54" i="56"/>
  <c r="F54" i="56"/>
  <c r="E54" i="56"/>
  <c r="D54" i="56"/>
  <c r="L53" i="56"/>
  <c r="L142" i="56" s="1"/>
  <c r="K53" i="56"/>
  <c r="K142" i="56" s="1"/>
  <c r="J53" i="56"/>
  <c r="I53" i="56"/>
  <c r="H53" i="56"/>
  <c r="H142" i="56" s="1"/>
  <c r="G53" i="56"/>
  <c r="G142" i="56" s="1"/>
  <c r="F53" i="56"/>
  <c r="F142" i="56" s="1"/>
  <c r="E53" i="56"/>
  <c r="D53" i="56"/>
  <c r="D142" i="56" s="1"/>
  <c r="L46" i="56"/>
  <c r="K46" i="56"/>
  <c r="J46" i="56"/>
  <c r="I46" i="56"/>
  <c r="H46" i="56"/>
  <c r="G46" i="56"/>
  <c r="F46" i="56"/>
  <c r="E46" i="56"/>
  <c r="D46" i="56"/>
  <c r="L45" i="56"/>
  <c r="K45" i="56"/>
  <c r="J45" i="56"/>
  <c r="J121" i="56" s="1"/>
  <c r="I45" i="56"/>
  <c r="I121" i="56" s="1"/>
  <c r="H45" i="56"/>
  <c r="H121" i="56" s="1"/>
  <c r="G45" i="56"/>
  <c r="F45" i="56"/>
  <c r="E45" i="56"/>
  <c r="E121" i="56" s="1"/>
  <c r="D45" i="56"/>
  <c r="D121" i="56" s="1"/>
  <c r="L44" i="56"/>
  <c r="L119" i="56" s="1"/>
  <c r="K44" i="56"/>
  <c r="J44" i="56"/>
  <c r="I44" i="56"/>
  <c r="H44" i="56"/>
  <c r="G44" i="56"/>
  <c r="F44" i="56"/>
  <c r="E44" i="56"/>
  <c r="D44" i="56"/>
  <c r="L43" i="56"/>
  <c r="K43" i="56"/>
  <c r="J43" i="56"/>
  <c r="J120" i="56" s="1"/>
  <c r="I43" i="56"/>
  <c r="H43" i="56"/>
  <c r="G43" i="56"/>
  <c r="F43" i="56"/>
  <c r="F120" i="56" s="1"/>
  <c r="E43" i="56"/>
  <c r="D43" i="56"/>
  <c r="D120" i="56" s="1"/>
  <c r="L40" i="56"/>
  <c r="K40" i="56"/>
  <c r="J40" i="56"/>
  <c r="I40" i="56"/>
  <c r="H40" i="56"/>
  <c r="G40" i="56"/>
  <c r="F40" i="56"/>
  <c r="E40" i="56"/>
  <c r="D40" i="56"/>
  <c r="L39" i="56"/>
  <c r="L133" i="56" s="1"/>
  <c r="K39" i="56"/>
  <c r="K133" i="56" s="1"/>
  <c r="J39" i="56"/>
  <c r="J133" i="56" s="1"/>
  <c r="I39" i="56"/>
  <c r="I133" i="56" s="1"/>
  <c r="H39" i="56"/>
  <c r="H133" i="56" s="1"/>
  <c r="G39" i="56"/>
  <c r="F39" i="56"/>
  <c r="F133" i="56" s="1"/>
  <c r="E39" i="56"/>
  <c r="E133" i="56" s="1"/>
  <c r="D39" i="56"/>
  <c r="D133" i="56" s="1"/>
  <c r="L38" i="56"/>
  <c r="L127" i="56" s="1"/>
  <c r="K38" i="56"/>
  <c r="K127" i="56" s="1"/>
  <c r="J38" i="56"/>
  <c r="I38" i="56"/>
  <c r="H38" i="56"/>
  <c r="G38" i="56"/>
  <c r="G127" i="56" s="1"/>
  <c r="F38" i="56"/>
  <c r="F127" i="56" s="1"/>
  <c r="E38" i="56"/>
  <c r="E127" i="56" s="1"/>
  <c r="D38" i="56"/>
  <c r="L37" i="56"/>
  <c r="K37" i="56"/>
  <c r="J37" i="56"/>
  <c r="I37" i="56"/>
  <c r="I126" i="56" s="1"/>
  <c r="H37" i="56"/>
  <c r="G37" i="56"/>
  <c r="F37" i="56"/>
  <c r="E37" i="56"/>
  <c r="E126" i="56" s="1"/>
  <c r="D37" i="56"/>
  <c r="L20" i="56"/>
  <c r="K20" i="56"/>
  <c r="J20" i="56"/>
  <c r="I20" i="56"/>
  <c r="H20" i="56"/>
  <c r="G20" i="56"/>
  <c r="F20" i="56"/>
  <c r="E20" i="56"/>
  <c r="D20" i="56"/>
  <c r="L19" i="56"/>
  <c r="K19" i="56"/>
  <c r="J19" i="56"/>
  <c r="I19" i="56"/>
  <c r="H19" i="56"/>
  <c r="G19" i="56"/>
  <c r="F19" i="56"/>
  <c r="E19" i="56"/>
  <c r="D19" i="56"/>
  <c r="L17" i="56"/>
  <c r="K17" i="56"/>
  <c r="J17" i="56"/>
  <c r="I17" i="56"/>
  <c r="H17" i="56"/>
  <c r="G17" i="56"/>
  <c r="F17" i="56"/>
  <c r="E17" i="56"/>
  <c r="D17" i="56"/>
  <c r="N111" i="56"/>
  <c r="N113" i="56" s="1"/>
  <c r="N110" i="56" s="1"/>
  <c r="N100" i="56" s="1"/>
  <c r="L15" i="56"/>
  <c r="L111" i="56" s="1"/>
  <c r="K15" i="56"/>
  <c r="J15" i="56"/>
  <c r="I15" i="56"/>
  <c r="H15" i="56"/>
  <c r="G15" i="56"/>
  <c r="G111" i="56" s="1"/>
  <c r="F15" i="56"/>
  <c r="E15" i="56"/>
  <c r="D15" i="56"/>
  <c r="D111" i="56" s="1"/>
  <c r="L14" i="56"/>
  <c r="K14" i="56"/>
  <c r="J14" i="56"/>
  <c r="I14" i="56"/>
  <c r="H14" i="56"/>
  <c r="G14" i="56"/>
  <c r="F14" i="56"/>
  <c r="E14" i="56"/>
  <c r="D14" i="56"/>
  <c r="M103" i="56"/>
  <c r="M105" i="56" s="1"/>
  <c r="M102" i="56" s="1"/>
  <c r="L13" i="56"/>
  <c r="L103" i="56" s="1"/>
  <c r="K13" i="56"/>
  <c r="J13" i="56"/>
  <c r="I13" i="56"/>
  <c r="H13" i="56"/>
  <c r="G13" i="56"/>
  <c r="F13" i="56"/>
  <c r="E13" i="56"/>
  <c r="D13" i="56"/>
  <c r="D103" i="56" s="1"/>
  <c r="L12" i="56"/>
  <c r="L107" i="56" s="1"/>
  <c r="K12" i="56"/>
  <c r="J12" i="56"/>
  <c r="I12" i="56"/>
  <c r="H12" i="56"/>
  <c r="G12" i="56"/>
  <c r="F12" i="56"/>
  <c r="E12" i="56"/>
  <c r="D12" i="56"/>
  <c r="D107" i="56" s="1"/>
  <c r="L10" i="56"/>
  <c r="K10" i="56"/>
  <c r="J10" i="56"/>
  <c r="I10" i="56"/>
  <c r="H10" i="56"/>
  <c r="G10" i="56"/>
  <c r="F10" i="56"/>
  <c r="E10" i="56"/>
  <c r="D10" i="56"/>
  <c r="L9" i="56"/>
  <c r="K9" i="56"/>
  <c r="J9" i="56"/>
  <c r="I9" i="56"/>
  <c r="H9" i="56"/>
  <c r="G9" i="56"/>
  <c r="F9" i="56"/>
  <c r="E9" i="56"/>
  <c r="D9" i="56"/>
  <c r="D11" i="56" s="1"/>
  <c r="R143" i="56"/>
  <c r="Q143" i="56"/>
  <c r="P143" i="56"/>
  <c r="O143" i="56"/>
  <c r="N143" i="56"/>
  <c r="M143" i="56"/>
  <c r="L143" i="56"/>
  <c r="R142" i="56"/>
  <c r="Q142" i="56"/>
  <c r="P142" i="56"/>
  <c r="P144" i="56" s="1"/>
  <c r="O142" i="56"/>
  <c r="N142" i="56"/>
  <c r="M142" i="56"/>
  <c r="M144" i="56" s="1"/>
  <c r="R139" i="56"/>
  <c r="Q139" i="56"/>
  <c r="P139" i="56"/>
  <c r="O139" i="56"/>
  <c r="N139" i="56"/>
  <c r="M139" i="56"/>
  <c r="R138" i="56"/>
  <c r="Q138" i="56"/>
  <c r="P138" i="56"/>
  <c r="O138" i="56"/>
  <c r="O140" i="56" s="1"/>
  <c r="N138" i="56"/>
  <c r="N140" i="56" s="1"/>
  <c r="M138" i="56"/>
  <c r="R129" i="56"/>
  <c r="Q129" i="56"/>
  <c r="P129" i="56"/>
  <c r="O129" i="56"/>
  <c r="N129" i="56"/>
  <c r="M129" i="56"/>
  <c r="R128" i="56"/>
  <c r="Q128" i="56"/>
  <c r="P128" i="56"/>
  <c r="O128" i="56"/>
  <c r="N128" i="56"/>
  <c r="M128" i="56"/>
  <c r="R127" i="56"/>
  <c r="Q127" i="56"/>
  <c r="P127" i="56"/>
  <c r="O127" i="56"/>
  <c r="N127" i="56"/>
  <c r="M127" i="56"/>
  <c r="R126" i="56"/>
  <c r="Q126" i="56"/>
  <c r="P126" i="56"/>
  <c r="O126" i="56"/>
  <c r="N126" i="56"/>
  <c r="M126" i="56"/>
  <c r="R123" i="56"/>
  <c r="Q123" i="56"/>
  <c r="P123" i="56"/>
  <c r="O123" i="56"/>
  <c r="N123" i="56"/>
  <c r="M123" i="56"/>
  <c r="R122" i="56"/>
  <c r="Q122" i="56"/>
  <c r="P122" i="56"/>
  <c r="O122" i="56"/>
  <c r="N122" i="56"/>
  <c r="M122" i="56"/>
  <c r="R121" i="56"/>
  <c r="Q121" i="56"/>
  <c r="P121" i="56"/>
  <c r="O121" i="56"/>
  <c r="N121" i="56"/>
  <c r="M121" i="56"/>
  <c r="R120" i="56"/>
  <c r="Q120" i="56"/>
  <c r="P120" i="56"/>
  <c r="O120" i="56"/>
  <c r="N120" i="56"/>
  <c r="M120" i="56"/>
  <c r="R119" i="56"/>
  <c r="Q119" i="56"/>
  <c r="P119" i="56"/>
  <c r="O119" i="56"/>
  <c r="N119" i="56"/>
  <c r="M119" i="56"/>
  <c r="R118" i="56"/>
  <c r="R132" i="56" s="1"/>
  <c r="Q118" i="56"/>
  <c r="Q132" i="56" s="1"/>
  <c r="P118" i="56"/>
  <c r="O118" i="56"/>
  <c r="O132" i="56" s="1"/>
  <c r="O134" i="56" s="1"/>
  <c r="L112" i="56"/>
  <c r="K112" i="56"/>
  <c r="J112" i="56"/>
  <c r="I112" i="56"/>
  <c r="H112" i="56"/>
  <c r="G112" i="56"/>
  <c r="F112" i="56"/>
  <c r="E112" i="56"/>
  <c r="D112" i="56"/>
  <c r="R111" i="56"/>
  <c r="R113" i="56" s="1"/>
  <c r="R110" i="56" s="1"/>
  <c r="R100" i="56" s="1"/>
  <c r="Q111" i="56"/>
  <c r="Q113" i="56" s="1"/>
  <c r="Q110" i="56" s="1"/>
  <c r="P111" i="56"/>
  <c r="P113" i="56" s="1"/>
  <c r="P110" i="56" s="1"/>
  <c r="P100" i="56" s="1"/>
  <c r="O111" i="56"/>
  <c r="O113" i="56" s="1"/>
  <c r="O110" i="56" s="1"/>
  <c r="O100" i="56" s="1"/>
  <c r="L108" i="56"/>
  <c r="K108" i="56"/>
  <c r="J108" i="56"/>
  <c r="I108" i="56"/>
  <c r="H108" i="56"/>
  <c r="G108" i="56"/>
  <c r="F108" i="56"/>
  <c r="E108" i="56"/>
  <c r="D108" i="56"/>
  <c r="R107" i="56"/>
  <c r="R109" i="56" s="1"/>
  <c r="R106" i="56" s="1"/>
  <c r="R99" i="56" s="1"/>
  <c r="Q107" i="56"/>
  <c r="Q109" i="56" s="1"/>
  <c r="Q106" i="56" s="1"/>
  <c r="Q99" i="56" s="1"/>
  <c r="P107" i="56"/>
  <c r="P109" i="56" s="1"/>
  <c r="P106" i="56" s="1"/>
  <c r="P99" i="56" s="1"/>
  <c r="P101" i="56" s="1"/>
  <c r="O107" i="56"/>
  <c r="O109" i="56" s="1"/>
  <c r="O106" i="56" s="1"/>
  <c r="O99" i="56" s="1"/>
  <c r="L104" i="56"/>
  <c r="K104" i="56"/>
  <c r="J104" i="56"/>
  <c r="I104" i="56"/>
  <c r="H104" i="56"/>
  <c r="G104" i="56"/>
  <c r="F104" i="56"/>
  <c r="E104" i="56"/>
  <c r="D104" i="56"/>
  <c r="R103" i="56"/>
  <c r="R105" i="56" s="1"/>
  <c r="R102" i="56" s="1"/>
  <c r="Q103" i="56"/>
  <c r="Q105" i="56" s="1"/>
  <c r="Q102" i="56" s="1"/>
  <c r="P103" i="56"/>
  <c r="P105" i="56" s="1"/>
  <c r="P102" i="56" s="1"/>
  <c r="O103" i="56"/>
  <c r="O105" i="56" s="1"/>
  <c r="O102" i="56" s="1"/>
  <c r="H103" i="56"/>
  <c r="Q100" i="56"/>
  <c r="R98" i="56"/>
  <c r="Q98" i="56"/>
  <c r="P98" i="56"/>
  <c r="O98" i="56"/>
  <c r="R96" i="56"/>
  <c r="Q96" i="56"/>
  <c r="P96" i="56"/>
  <c r="O96" i="56"/>
  <c r="Q76" i="56"/>
  <c r="Q79" i="56" s="1"/>
  <c r="Q84" i="56" s="1"/>
  <c r="P76" i="56"/>
  <c r="P79" i="56" s="1"/>
  <c r="O76" i="56"/>
  <c r="N76" i="56"/>
  <c r="N79" i="56" s="1"/>
  <c r="N84" i="56" s="1"/>
  <c r="M76" i="56"/>
  <c r="M79" i="56" s="1"/>
  <c r="Q70" i="56"/>
  <c r="P70" i="56"/>
  <c r="O70" i="56"/>
  <c r="N70" i="56"/>
  <c r="M70" i="56"/>
  <c r="Q66" i="56"/>
  <c r="P66" i="56"/>
  <c r="O66" i="56"/>
  <c r="N66" i="56"/>
  <c r="M66" i="56"/>
  <c r="Q61" i="56"/>
  <c r="P61" i="56"/>
  <c r="O61" i="56"/>
  <c r="N61" i="56"/>
  <c r="M61" i="56"/>
  <c r="K139" i="56"/>
  <c r="K143" i="56"/>
  <c r="F143" i="56"/>
  <c r="L121" i="56"/>
  <c r="F121" i="56"/>
  <c r="L120" i="56"/>
  <c r="N103" i="56"/>
  <c r="N105" i="56" s="1"/>
  <c r="N102" i="56" s="1"/>
  <c r="D2" i="56"/>
  <c r="E2" i="56" s="1"/>
  <c r="F2" i="56" s="1"/>
  <c r="G2" i="56" s="1"/>
  <c r="H2" i="56" s="1"/>
  <c r="I2" i="56" s="1"/>
  <c r="J2" i="56" s="1"/>
  <c r="K2" i="56" s="1"/>
  <c r="L2" i="56" s="1"/>
  <c r="M2" i="56" s="1"/>
  <c r="N2" i="56" s="1"/>
  <c r="O2" i="56" s="1"/>
  <c r="P2" i="56" s="1"/>
  <c r="Q2" i="56" s="1"/>
  <c r="C69" i="55"/>
  <c r="E53" i="55"/>
  <c r="F53" i="55"/>
  <c r="G53" i="55"/>
  <c r="H53" i="55"/>
  <c r="I53" i="55"/>
  <c r="J53" i="55"/>
  <c r="K53" i="55"/>
  <c r="L53" i="55"/>
  <c r="D53" i="55"/>
  <c r="D60" i="55"/>
  <c r="D129" i="55" s="1"/>
  <c r="E60" i="55"/>
  <c r="E129" i="55" s="1"/>
  <c r="F60" i="55"/>
  <c r="G60" i="55"/>
  <c r="H60" i="55"/>
  <c r="I60" i="55"/>
  <c r="J60" i="55"/>
  <c r="K60" i="55"/>
  <c r="L60" i="55"/>
  <c r="E59" i="55"/>
  <c r="F59" i="55"/>
  <c r="G59" i="55"/>
  <c r="H59" i="55"/>
  <c r="I59" i="55"/>
  <c r="J59" i="55"/>
  <c r="K59" i="55"/>
  <c r="L59" i="55"/>
  <c r="D59" i="55"/>
  <c r="D38" i="32"/>
  <c r="D54" i="54"/>
  <c r="E54" i="54"/>
  <c r="F54" i="54"/>
  <c r="G54" i="54"/>
  <c r="H54" i="54"/>
  <c r="I54" i="54"/>
  <c r="J54" i="54"/>
  <c r="K54" i="54"/>
  <c r="L54" i="54"/>
  <c r="C54" i="54"/>
  <c r="N103" i="55"/>
  <c r="N105" i="55" s="1"/>
  <c r="N102" i="55" s="1"/>
  <c r="M103" i="55"/>
  <c r="M105" i="55" s="1"/>
  <c r="M102" i="55" s="1"/>
  <c r="N118" i="55"/>
  <c r="N132" i="55" s="1"/>
  <c r="O96" i="55"/>
  <c r="P96" i="55"/>
  <c r="Q96" i="55"/>
  <c r="R96" i="55"/>
  <c r="O98" i="55"/>
  <c r="P98" i="55"/>
  <c r="Q98" i="55"/>
  <c r="R98" i="55"/>
  <c r="O103" i="55"/>
  <c r="P103" i="55"/>
  <c r="P105" i="55" s="1"/>
  <c r="P102" i="55" s="1"/>
  <c r="Q103" i="55"/>
  <c r="Q105" i="55" s="1"/>
  <c r="Q102" i="55" s="1"/>
  <c r="R103" i="55"/>
  <c r="R105" i="55" s="1"/>
  <c r="R102" i="55" s="1"/>
  <c r="D104" i="55"/>
  <c r="E104" i="55"/>
  <c r="F104" i="55"/>
  <c r="G104" i="55"/>
  <c r="H104" i="55"/>
  <c r="I104" i="55"/>
  <c r="J104" i="55"/>
  <c r="K104" i="55"/>
  <c r="L104" i="55"/>
  <c r="O105" i="55"/>
  <c r="O102" i="55" s="1"/>
  <c r="O107" i="55"/>
  <c r="O109" i="55" s="1"/>
  <c r="O106" i="55" s="1"/>
  <c r="O99" i="55" s="1"/>
  <c r="P107" i="55"/>
  <c r="Q107" i="55"/>
  <c r="Q109" i="55" s="1"/>
  <c r="Q106" i="55" s="1"/>
  <c r="Q99" i="55" s="1"/>
  <c r="R107" i="55"/>
  <c r="R109" i="55" s="1"/>
  <c r="R106" i="55" s="1"/>
  <c r="R99" i="55" s="1"/>
  <c r="D108" i="55"/>
  <c r="E108" i="55"/>
  <c r="F108" i="55"/>
  <c r="G108" i="55"/>
  <c r="H108" i="55"/>
  <c r="I108" i="55"/>
  <c r="J108" i="55"/>
  <c r="K108" i="55"/>
  <c r="L108" i="55"/>
  <c r="P109" i="55"/>
  <c r="P106" i="55" s="1"/>
  <c r="P99" i="55" s="1"/>
  <c r="P101" i="55" s="1"/>
  <c r="O111" i="55"/>
  <c r="O113" i="55" s="1"/>
  <c r="O110" i="55" s="1"/>
  <c r="O100" i="55" s="1"/>
  <c r="P111" i="55"/>
  <c r="P113" i="55" s="1"/>
  <c r="P110" i="55" s="1"/>
  <c r="P100" i="55" s="1"/>
  <c r="Q111" i="55"/>
  <c r="Q113" i="55" s="1"/>
  <c r="Q110" i="55" s="1"/>
  <c r="Q100" i="55" s="1"/>
  <c r="R111" i="55"/>
  <c r="R113" i="55" s="1"/>
  <c r="R110" i="55" s="1"/>
  <c r="R100" i="55" s="1"/>
  <c r="D112" i="55"/>
  <c r="E112" i="55"/>
  <c r="F112" i="55"/>
  <c r="G112" i="55"/>
  <c r="H112" i="55"/>
  <c r="I112" i="55"/>
  <c r="J112" i="55"/>
  <c r="K112" i="55"/>
  <c r="L112" i="55"/>
  <c r="O118" i="55"/>
  <c r="O132" i="55" s="1"/>
  <c r="P118" i="55"/>
  <c r="P132" i="55" s="1"/>
  <c r="Q118" i="55"/>
  <c r="Q132" i="55" s="1"/>
  <c r="Q134" i="55" s="1"/>
  <c r="R118" i="55"/>
  <c r="M119" i="55"/>
  <c r="N119" i="55"/>
  <c r="O119" i="55"/>
  <c r="P119" i="55"/>
  <c r="Q119" i="55"/>
  <c r="R119" i="55"/>
  <c r="M120" i="55"/>
  <c r="N120" i="55"/>
  <c r="O120" i="55"/>
  <c r="P120" i="55"/>
  <c r="Q120" i="55"/>
  <c r="R120" i="55"/>
  <c r="M121" i="55"/>
  <c r="N121" i="55"/>
  <c r="O121" i="55"/>
  <c r="P121" i="55"/>
  <c r="Q121" i="55"/>
  <c r="R121" i="55"/>
  <c r="M122" i="55"/>
  <c r="N122" i="55"/>
  <c r="O122" i="55"/>
  <c r="P122" i="55"/>
  <c r="Q122" i="55"/>
  <c r="R122" i="55"/>
  <c r="M123" i="55"/>
  <c r="N123" i="55"/>
  <c r="O123" i="55"/>
  <c r="P123" i="55"/>
  <c r="Q123" i="55"/>
  <c r="R123" i="55"/>
  <c r="M126" i="55"/>
  <c r="N126" i="55"/>
  <c r="O126" i="55"/>
  <c r="P126" i="55"/>
  <c r="Q126" i="55"/>
  <c r="R126" i="55"/>
  <c r="M127" i="55"/>
  <c r="N127" i="55"/>
  <c r="O127" i="55"/>
  <c r="P127" i="55"/>
  <c r="Q127" i="55"/>
  <c r="R127" i="55"/>
  <c r="M128" i="55"/>
  <c r="N128" i="55"/>
  <c r="O128" i="55"/>
  <c r="P128" i="55"/>
  <c r="Q128" i="55"/>
  <c r="R128" i="55"/>
  <c r="M129" i="55"/>
  <c r="N129" i="55"/>
  <c r="O129" i="55"/>
  <c r="O130" i="55" s="1"/>
  <c r="P129" i="55"/>
  <c r="Q129" i="55"/>
  <c r="R129" i="55"/>
  <c r="M138" i="55"/>
  <c r="N138" i="55"/>
  <c r="O138" i="55"/>
  <c r="P138" i="55"/>
  <c r="Q138" i="55"/>
  <c r="R138" i="55"/>
  <c r="M139" i="55"/>
  <c r="N139" i="55"/>
  <c r="N140" i="55" s="1"/>
  <c r="O139" i="55"/>
  <c r="P139" i="55"/>
  <c r="Q139" i="55"/>
  <c r="R139" i="55"/>
  <c r="R140" i="55" s="1"/>
  <c r="M142" i="55"/>
  <c r="M144" i="55" s="1"/>
  <c r="N142" i="55"/>
  <c r="O142" i="55"/>
  <c r="P142" i="55"/>
  <c r="Q142" i="55"/>
  <c r="R142" i="55"/>
  <c r="L143" i="55"/>
  <c r="M143" i="55"/>
  <c r="N143" i="55"/>
  <c r="O143" i="55"/>
  <c r="P143" i="55"/>
  <c r="Q143" i="55"/>
  <c r="R143" i="55"/>
  <c r="M70" i="55"/>
  <c r="N70" i="55"/>
  <c r="O70" i="55"/>
  <c r="P70" i="55"/>
  <c r="Q70" i="55"/>
  <c r="M76" i="55"/>
  <c r="N76" i="55"/>
  <c r="N79" i="55" s="1"/>
  <c r="O76" i="55"/>
  <c r="P76" i="55"/>
  <c r="P79" i="55" s="1"/>
  <c r="Q76" i="55"/>
  <c r="Q79" i="55" s="1"/>
  <c r="Q84" i="55" s="1"/>
  <c r="Q88" i="55" s="1"/>
  <c r="Q93" i="55" s="1"/>
  <c r="M66" i="55"/>
  <c r="N66" i="55"/>
  <c r="O66" i="55"/>
  <c r="P66" i="55"/>
  <c r="Q66" i="55"/>
  <c r="M61" i="55"/>
  <c r="N61" i="55"/>
  <c r="O61" i="55"/>
  <c r="P61" i="55"/>
  <c r="Q61" i="55"/>
  <c r="D2" i="55"/>
  <c r="E2" i="55" s="1"/>
  <c r="F2" i="55" s="1"/>
  <c r="G2" i="55" s="1"/>
  <c r="H2" i="55" s="1"/>
  <c r="I2" i="55" s="1"/>
  <c r="J2" i="55" s="1"/>
  <c r="K2" i="55" s="1"/>
  <c r="L2" i="55"/>
  <c r="M2" i="55" s="1"/>
  <c r="N2" i="55" s="1"/>
  <c r="O2" i="55" s="1"/>
  <c r="P2" i="55" s="1"/>
  <c r="Q2" i="55" s="1"/>
  <c r="C112" i="54"/>
  <c r="D112" i="54"/>
  <c r="E112" i="54"/>
  <c r="F112" i="54"/>
  <c r="G112" i="54"/>
  <c r="H112" i="54"/>
  <c r="I112" i="54"/>
  <c r="J112" i="54"/>
  <c r="K112" i="54"/>
  <c r="L112" i="54"/>
  <c r="C108" i="54"/>
  <c r="D108" i="54"/>
  <c r="E108" i="54"/>
  <c r="F108" i="54"/>
  <c r="G108" i="54"/>
  <c r="H108" i="54"/>
  <c r="I108" i="54"/>
  <c r="J108" i="54"/>
  <c r="K108" i="54"/>
  <c r="L108" i="54"/>
  <c r="D104" i="54"/>
  <c r="E104" i="54"/>
  <c r="F104" i="54"/>
  <c r="G104" i="54"/>
  <c r="H104" i="54"/>
  <c r="I104" i="54"/>
  <c r="J104" i="54"/>
  <c r="K104" i="54"/>
  <c r="L104" i="54"/>
  <c r="C104" i="54"/>
  <c r="E111" i="32"/>
  <c r="F111" i="32"/>
  <c r="G111" i="32"/>
  <c r="H111" i="32"/>
  <c r="I111" i="32"/>
  <c r="J111" i="32"/>
  <c r="K111" i="32"/>
  <c r="F107" i="32"/>
  <c r="G107" i="32"/>
  <c r="H107" i="32"/>
  <c r="I107" i="32"/>
  <c r="J107" i="32"/>
  <c r="K107" i="32"/>
  <c r="E107" i="32"/>
  <c r="F103" i="32"/>
  <c r="G103" i="32"/>
  <c r="H103" i="32"/>
  <c r="I103" i="32"/>
  <c r="J103" i="32"/>
  <c r="K103" i="32"/>
  <c r="E103" i="32"/>
  <c r="D2" i="54"/>
  <c r="E2" i="54" s="1"/>
  <c r="F2" i="54" s="1"/>
  <c r="G2" i="54" s="1"/>
  <c r="H2" i="54" s="1"/>
  <c r="I2" i="54" s="1"/>
  <c r="J2" i="54" s="1"/>
  <c r="K2" i="54" s="1"/>
  <c r="L2" i="54" s="1"/>
  <c r="M2" i="54" s="1"/>
  <c r="N2" i="54" s="1"/>
  <c r="O2" i="54" s="1"/>
  <c r="P2" i="54" s="1"/>
  <c r="Q2" i="54" s="1"/>
  <c r="N96" i="54"/>
  <c r="N107" i="54"/>
  <c r="N109" i="54" s="1"/>
  <c r="N106" i="54" s="1"/>
  <c r="N99" i="54" s="1"/>
  <c r="O96" i="54"/>
  <c r="P96" i="54"/>
  <c r="Q96" i="54"/>
  <c r="R96" i="54"/>
  <c r="O98" i="54"/>
  <c r="P98" i="54"/>
  <c r="Q98" i="54"/>
  <c r="R98" i="54"/>
  <c r="O103" i="54"/>
  <c r="O105" i="54" s="1"/>
  <c r="O102" i="54" s="1"/>
  <c r="P103" i="54"/>
  <c r="P105" i="54" s="1"/>
  <c r="P102" i="54" s="1"/>
  <c r="Q103" i="54"/>
  <c r="Q105" i="54" s="1"/>
  <c r="Q102" i="54" s="1"/>
  <c r="R103" i="54"/>
  <c r="R105" i="54"/>
  <c r="R102" i="54"/>
  <c r="O107" i="54"/>
  <c r="O109" i="54" s="1"/>
  <c r="O106" i="54" s="1"/>
  <c r="O99" i="54" s="1"/>
  <c r="O101" i="54" s="1"/>
  <c r="P107" i="54"/>
  <c r="P109" i="54" s="1"/>
  <c r="P106" i="54" s="1"/>
  <c r="P99" i="54" s="1"/>
  <c r="Q107" i="54"/>
  <c r="R107" i="54"/>
  <c r="R109" i="54" s="1"/>
  <c r="R106" i="54" s="1"/>
  <c r="R99" i="54" s="1"/>
  <c r="O111" i="54"/>
  <c r="P111" i="54"/>
  <c r="P113" i="54" s="1"/>
  <c r="P110" i="54" s="1"/>
  <c r="P100" i="54" s="1"/>
  <c r="P101" i="54" s="1"/>
  <c r="Q111" i="54"/>
  <c r="Q113" i="54" s="1"/>
  <c r="Q110" i="54" s="1"/>
  <c r="Q100" i="54" s="1"/>
  <c r="R111" i="54"/>
  <c r="R113" i="54" s="1"/>
  <c r="R110" i="54" s="1"/>
  <c r="R100" i="54" s="1"/>
  <c r="O118" i="54"/>
  <c r="P118" i="54"/>
  <c r="P132" i="54" s="1"/>
  <c r="Q118" i="54"/>
  <c r="R118" i="54"/>
  <c r="R132" i="54" s="1"/>
  <c r="M119" i="54"/>
  <c r="N119" i="54"/>
  <c r="O119" i="54"/>
  <c r="P119" i="54"/>
  <c r="Q119" i="54"/>
  <c r="R119" i="54"/>
  <c r="M120" i="54"/>
  <c r="N120" i="54"/>
  <c r="O120" i="54"/>
  <c r="P120" i="54"/>
  <c r="Q120" i="54"/>
  <c r="R120" i="54"/>
  <c r="M121" i="54"/>
  <c r="N121" i="54"/>
  <c r="O121" i="54"/>
  <c r="P121" i="54"/>
  <c r="Q121" i="54"/>
  <c r="R121" i="54"/>
  <c r="M122" i="54"/>
  <c r="N122" i="54"/>
  <c r="O122" i="54"/>
  <c r="P122" i="54"/>
  <c r="Q122" i="54"/>
  <c r="R122" i="54"/>
  <c r="M123" i="54"/>
  <c r="N123" i="54"/>
  <c r="O123" i="54"/>
  <c r="P123" i="54"/>
  <c r="Q123" i="54"/>
  <c r="R123" i="54"/>
  <c r="M126" i="54"/>
  <c r="N126" i="54"/>
  <c r="O126" i="54"/>
  <c r="P126" i="54"/>
  <c r="Q126" i="54"/>
  <c r="R126" i="54"/>
  <c r="M127" i="54"/>
  <c r="M130" i="54" s="1"/>
  <c r="N127" i="54"/>
  <c r="O127" i="54"/>
  <c r="P127" i="54"/>
  <c r="Q127" i="54"/>
  <c r="R127" i="54"/>
  <c r="M128" i="54"/>
  <c r="N128" i="54"/>
  <c r="O128" i="54"/>
  <c r="P128" i="54"/>
  <c r="Q128" i="54"/>
  <c r="R128" i="54"/>
  <c r="M129" i="54"/>
  <c r="N129" i="54"/>
  <c r="O129" i="54"/>
  <c r="P129" i="54"/>
  <c r="Q129" i="54"/>
  <c r="R129" i="54"/>
  <c r="O132" i="54"/>
  <c r="O134" i="54" s="1"/>
  <c r="Q132" i="54"/>
  <c r="Q134" i="54" s="1"/>
  <c r="M133" i="54"/>
  <c r="N133" i="54"/>
  <c r="O133" i="54"/>
  <c r="P133" i="54"/>
  <c r="Q133" i="54"/>
  <c r="R133" i="54"/>
  <c r="M138" i="54"/>
  <c r="N138" i="54"/>
  <c r="O138" i="54"/>
  <c r="P138" i="54"/>
  <c r="Q138" i="54"/>
  <c r="R138" i="54"/>
  <c r="M139" i="54"/>
  <c r="N139" i="54"/>
  <c r="O139" i="54"/>
  <c r="P139" i="54"/>
  <c r="Q139" i="54"/>
  <c r="R139" i="54"/>
  <c r="M142" i="54"/>
  <c r="N142" i="54"/>
  <c r="O142" i="54"/>
  <c r="O144" i="54" s="1"/>
  <c r="P142" i="54"/>
  <c r="Q142" i="54"/>
  <c r="R142" i="54"/>
  <c r="M143" i="54"/>
  <c r="M144" i="54" s="1"/>
  <c r="N143" i="54"/>
  <c r="O143" i="54"/>
  <c r="P143" i="54"/>
  <c r="P144" i="54" s="1"/>
  <c r="Q143" i="54"/>
  <c r="R143" i="54"/>
  <c r="M70" i="54"/>
  <c r="N70" i="54"/>
  <c r="O70" i="54"/>
  <c r="P70" i="54"/>
  <c r="Q70" i="54"/>
  <c r="M76" i="54"/>
  <c r="M79" i="54" s="1"/>
  <c r="N76" i="54"/>
  <c r="N79" i="54" s="1"/>
  <c r="O76" i="54"/>
  <c r="O79" i="54" s="1"/>
  <c r="P76" i="54"/>
  <c r="P79" i="54" s="1"/>
  <c r="P84" i="54" s="1"/>
  <c r="Q76" i="54"/>
  <c r="Q79" i="54" s="1"/>
  <c r="Q84" i="54" s="1"/>
  <c r="Q88" i="54" s="1"/>
  <c r="Q93" i="54" s="1"/>
  <c r="M66" i="54"/>
  <c r="N66" i="54"/>
  <c r="O66" i="54"/>
  <c r="P66" i="54"/>
  <c r="Q66" i="54"/>
  <c r="M61" i="54"/>
  <c r="N61" i="54"/>
  <c r="O61" i="54"/>
  <c r="P61" i="54"/>
  <c r="Q61" i="54"/>
  <c r="L141" i="32"/>
  <c r="M141" i="32"/>
  <c r="N141" i="32"/>
  <c r="O141" i="32"/>
  <c r="P141" i="32"/>
  <c r="Q141" i="32"/>
  <c r="R141" i="32"/>
  <c r="L142" i="32"/>
  <c r="M142" i="32"/>
  <c r="N142" i="32"/>
  <c r="O142" i="32"/>
  <c r="P142" i="32"/>
  <c r="Q142" i="32"/>
  <c r="R142" i="32"/>
  <c r="L137" i="32"/>
  <c r="M137" i="32"/>
  <c r="N137" i="32"/>
  <c r="O137" i="32"/>
  <c r="P137" i="32"/>
  <c r="Q137" i="32"/>
  <c r="R137" i="32"/>
  <c r="L138" i="32"/>
  <c r="M138" i="32"/>
  <c r="N138" i="32"/>
  <c r="O138" i="32"/>
  <c r="P138" i="32"/>
  <c r="Q138" i="32"/>
  <c r="R138" i="32"/>
  <c r="L132" i="32"/>
  <c r="M132" i="32"/>
  <c r="N132" i="32"/>
  <c r="O132" i="32"/>
  <c r="P132" i="32"/>
  <c r="Q132" i="32"/>
  <c r="R132" i="32"/>
  <c r="L125" i="32"/>
  <c r="M125" i="32"/>
  <c r="N125" i="32"/>
  <c r="O125" i="32"/>
  <c r="P125" i="32"/>
  <c r="Q125" i="32"/>
  <c r="R125" i="32"/>
  <c r="L126" i="32"/>
  <c r="M126" i="32"/>
  <c r="N126" i="32"/>
  <c r="O126" i="32"/>
  <c r="P126" i="32"/>
  <c r="Q126" i="32"/>
  <c r="R126" i="32"/>
  <c r="L127" i="32"/>
  <c r="M127" i="32"/>
  <c r="N127" i="32"/>
  <c r="O127" i="32"/>
  <c r="P127" i="32"/>
  <c r="Q127" i="32"/>
  <c r="R127" i="32"/>
  <c r="L128" i="32"/>
  <c r="M128" i="32"/>
  <c r="N128" i="32"/>
  <c r="O128" i="32"/>
  <c r="P128" i="32"/>
  <c r="Q128" i="32"/>
  <c r="R128" i="32"/>
  <c r="L117" i="32"/>
  <c r="L131" i="32" s="1"/>
  <c r="M117" i="32"/>
  <c r="N117" i="32"/>
  <c r="N131" i="32" s="1"/>
  <c r="O117" i="32"/>
  <c r="P117" i="32"/>
  <c r="P131" i="32" s="1"/>
  <c r="Q117" i="32"/>
  <c r="R117" i="32"/>
  <c r="L118" i="32"/>
  <c r="M118" i="32"/>
  <c r="N118" i="32"/>
  <c r="O118" i="32"/>
  <c r="P118" i="32"/>
  <c r="Q118" i="32"/>
  <c r="R118" i="32"/>
  <c r="L119" i="32"/>
  <c r="M119" i="32"/>
  <c r="N119" i="32"/>
  <c r="O119" i="32"/>
  <c r="P119" i="32"/>
  <c r="Q119" i="32"/>
  <c r="R119" i="32"/>
  <c r="L120" i="32"/>
  <c r="M120" i="32"/>
  <c r="N120" i="32"/>
  <c r="O120" i="32"/>
  <c r="P120" i="32"/>
  <c r="Q120" i="32"/>
  <c r="R120" i="32"/>
  <c r="L121" i="32"/>
  <c r="M121" i="32"/>
  <c r="N121" i="32"/>
  <c r="O121" i="32"/>
  <c r="P121" i="32"/>
  <c r="Q121" i="32"/>
  <c r="R121" i="32"/>
  <c r="L122" i="32"/>
  <c r="M122" i="32"/>
  <c r="N122" i="32"/>
  <c r="O122" i="32"/>
  <c r="P122" i="32"/>
  <c r="Q122" i="32"/>
  <c r="R122" i="32"/>
  <c r="D95" i="32"/>
  <c r="L95" i="32"/>
  <c r="M95" i="32"/>
  <c r="N95" i="32"/>
  <c r="O95" i="32"/>
  <c r="P95" i="32"/>
  <c r="Q95" i="32"/>
  <c r="R95" i="32"/>
  <c r="D97" i="32"/>
  <c r="L97" i="32"/>
  <c r="M97" i="32"/>
  <c r="N97" i="32"/>
  <c r="O97" i="32"/>
  <c r="P97" i="32"/>
  <c r="Q97" i="32"/>
  <c r="R97" i="32"/>
  <c r="D102" i="32"/>
  <c r="D104" i="32" s="1"/>
  <c r="D101" i="32" s="1"/>
  <c r="L102" i="32"/>
  <c r="L104" i="32" s="1"/>
  <c r="L101" i="32" s="1"/>
  <c r="M102" i="32"/>
  <c r="M104" i="32" s="1"/>
  <c r="M101" i="32" s="1"/>
  <c r="N102" i="32"/>
  <c r="N104" i="32" s="1"/>
  <c r="N101" i="32" s="1"/>
  <c r="O102" i="32"/>
  <c r="O104" i="32" s="1"/>
  <c r="O101" i="32" s="1"/>
  <c r="P102" i="32"/>
  <c r="P104" i="32" s="1"/>
  <c r="P101" i="32" s="1"/>
  <c r="Q102" i="32"/>
  <c r="Q104" i="32" s="1"/>
  <c r="Q101" i="32" s="1"/>
  <c r="R102" i="32"/>
  <c r="R104" i="32" s="1"/>
  <c r="R101" i="32" s="1"/>
  <c r="D106" i="32"/>
  <c r="D108" i="32" s="1"/>
  <c r="D105" i="32" s="1"/>
  <c r="D98" i="32" s="1"/>
  <c r="L106" i="32"/>
  <c r="L108" i="32" s="1"/>
  <c r="L105" i="32" s="1"/>
  <c r="L98" i="32" s="1"/>
  <c r="M106" i="32"/>
  <c r="M108" i="32" s="1"/>
  <c r="M105" i="32" s="1"/>
  <c r="M98" i="32" s="1"/>
  <c r="N106" i="32"/>
  <c r="N108" i="32" s="1"/>
  <c r="N105" i="32" s="1"/>
  <c r="N98" i="32" s="1"/>
  <c r="O106" i="32"/>
  <c r="O108" i="32" s="1"/>
  <c r="O105" i="32" s="1"/>
  <c r="O98" i="32" s="1"/>
  <c r="P106" i="32"/>
  <c r="P108" i="32" s="1"/>
  <c r="P105" i="32" s="1"/>
  <c r="P98" i="32" s="1"/>
  <c r="Q106" i="32"/>
  <c r="Q108" i="32" s="1"/>
  <c r="Q105" i="32" s="1"/>
  <c r="Q98" i="32" s="1"/>
  <c r="R106" i="32"/>
  <c r="R108" i="32" s="1"/>
  <c r="R105" i="32" s="1"/>
  <c r="R98" i="32" s="1"/>
  <c r="D110" i="32"/>
  <c r="D112" i="32" s="1"/>
  <c r="D109" i="32" s="1"/>
  <c r="D99" i="32" s="1"/>
  <c r="L110" i="32"/>
  <c r="L112" i="32" s="1"/>
  <c r="L109" i="32" s="1"/>
  <c r="L99" i="32" s="1"/>
  <c r="M110" i="32"/>
  <c r="M112" i="32" s="1"/>
  <c r="M109" i="32" s="1"/>
  <c r="M99" i="32" s="1"/>
  <c r="N110" i="32"/>
  <c r="N112" i="32" s="1"/>
  <c r="N109" i="32" s="1"/>
  <c r="N99" i="32" s="1"/>
  <c r="O110" i="32"/>
  <c r="O112" i="32" s="1"/>
  <c r="O109" i="32" s="1"/>
  <c r="O99" i="32" s="1"/>
  <c r="P110" i="32"/>
  <c r="P112" i="32" s="1"/>
  <c r="P109" i="32" s="1"/>
  <c r="P99" i="32" s="1"/>
  <c r="Q110" i="32"/>
  <c r="Q112" i="32" s="1"/>
  <c r="Q109" i="32" s="1"/>
  <c r="Q99" i="32" s="1"/>
  <c r="R110" i="32"/>
  <c r="R112" i="32" s="1"/>
  <c r="R109" i="32" s="1"/>
  <c r="R99" i="32" s="1"/>
  <c r="D64" i="32"/>
  <c r="D137" i="32" s="1"/>
  <c r="D62" i="32"/>
  <c r="D121" i="32" s="1"/>
  <c r="D63" i="32"/>
  <c r="D122" i="32" s="1"/>
  <c r="D57" i="32"/>
  <c r="D58" i="32"/>
  <c r="D54" i="32"/>
  <c r="D52" i="32"/>
  <c r="AG141" i="32" s="1"/>
  <c r="D45" i="32"/>
  <c r="D43" i="32"/>
  <c r="D42" i="32"/>
  <c r="D44" i="32"/>
  <c r="D120" i="32" s="1"/>
  <c r="D36" i="32"/>
  <c r="D125" i="32" s="1"/>
  <c r="D37" i="32"/>
  <c r="D39" i="32"/>
  <c r="F91" i="32"/>
  <c r="G91" i="32"/>
  <c r="H91" i="32"/>
  <c r="I91" i="32"/>
  <c r="J91" i="32"/>
  <c r="K91" i="32"/>
  <c r="E91" i="32"/>
  <c r="D59" i="32"/>
  <c r="D128" i="32" s="1"/>
  <c r="F19" i="32"/>
  <c r="AH19" i="32" s="1"/>
  <c r="G19" i="32"/>
  <c r="AI19" i="32" s="1"/>
  <c r="H19" i="32"/>
  <c r="AJ19" i="32" s="1"/>
  <c r="I19" i="32"/>
  <c r="AK19" i="32" s="1"/>
  <c r="J19" i="32"/>
  <c r="AL19" i="32" s="1"/>
  <c r="K19" i="32"/>
  <c r="AM19" i="32" s="1"/>
  <c r="E19" i="32"/>
  <c r="AG19" i="32" s="1"/>
  <c r="F11" i="32"/>
  <c r="G11" i="32"/>
  <c r="H11" i="32"/>
  <c r="I11" i="32"/>
  <c r="J11" i="32"/>
  <c r="K11" i="32"/>
  <c r="E11" i="32"/>
  <c r="E92" i="55"/>
  <c r="F92" i="55"/>
  <c r="G92" i="55"/>
  <c r="H92" i="55"/>
  <c r="I92" i="55"/>
  <c r="J92" i="55"/>
  <c r="K92" i="55"/>
  <c r="L92" i="55"/>
  <c r="D92" i="55"/>
  <c r="E92" i="54"/>
  <c r="G92" i="54"/>
  <c r="H92" i="54"/>
  <c r="D92" i="54"/>
  <c r="F92" i="54"/>
  <c r="I92" i="54"/>
  <c r="J92" i="54"/>
  <c r="K92" i="54"/>
  <c r="L92" i="54"/>
  <c r="C92" i="54"/>
  <c r="E87" i="55"/>
  <c r="F87" i="55"/>
  <c r="G87" i="55"/>
  <c r="H87" i="55"/>
  <c r="I87" i="55"/>
  <c r="J87" i="55"/>
  <c r="K87" i="55"/>
  <c r="L87" i="55"/>
  <c r="E86" i="55"/>
  <c r="E78" i="72" s="1"/>
  <c r="F86" i="55"/>
  <c r="F78" i="72" s="1"/>
  <c r="G86" i="55"/>
  <c r="H86" i="55"/>
  <c r="H78" i="72" s="1"/>
  <c r="I86" i="55"/>
  <c r="J86" i="55"/>
  <c r="J78" i="72" s="1"/>
  <c r="K86" i="55"/>
  <c r="L86" i="55"/>
  <c r="E90" i="55"/>
  <c r="F90" i="55"/>
  <c r="G90" i="55"/>
  <c r="H90" i="55"/>
  <c r="I90" i="55"/>
  <c r="J90" i="55"/>
  <c r="K90" i="55"/>
  <c r="L90" i="55"/>
  <c r="E91" i="55"/>
  <c r="F91" i="55"/>
  <c r="G91" i="55"/>
  <c r="H91" i="55"/>
  <c r="I91" i="55"/>
  <c r="J91" i="55"/>
  <c r="K91" i="55"/>
  <c r="L91" i="55"/>
  <c r="D86" i="55"/>
  <c r="D90" i="55"/>
  <c r="D91" i="55"/>
  <c r="D87" i="55"/>
  <c r="F87" i="54"/>
  <c r="H87" i="54"/>
  <c r="L87" i="54"/>
  <c r="E72" i="55"/>
  <c r="F72" i="55"/>
  <c r="G72" i="55"/>
  <c r="H72" i="55"/>
  <c r="I72" i="55"/>
  <c r="J72" i="55"/>
  <c r="K72" i="55"/>
  <c r="L72" i="55"/>
  <c r="E74" i="55"/>
  <c r="F74" i="55"/>
  <c r="G74" i="55"/>
  <c r="H74" i="55"/>
  <c r="I74" i="55"/>
  <c r="J74" i="55"/>
  <c r="K74" i="55"/>
  <c r="L74" i="55"/>
  <c r="E75" i="55"/>
  <c r="F75" i="55"/>
  <c r="G75" i="55"/>
  <c r="H75" i="55"/>
  <c r="I75" i="55"/>
  <c r="J75" i="55"/>
  <c r="K75" i="55"/>
  <c r="L75" i="55"/>
  <c r="E73" i="55"/>
  <c r="E77" i="72" s="1"/>
  <c r="F73" i="55"/>
  <c r="G73" i="55"/>
  <c r="H73" i="55"/>
  <c r="H77" i="72" s="1"/>
  <c r="I73" i="55"/>
  <c r="J73" i="55"/>
  <c r="K73" i="55"/>
  <c r="L73" i="55"/>
  <c r="E81" i="55"/>
  <c r="F81" i="55"/>
  <c r="G81" i="55"/>
  <c r="H81" i="55"/>
  <c r="I81" i="55"/>
  <c r="J81" i="55"/>
  <c r="K81" i="55"/>
  <c r="L81" i="55"/>
  <c r="E82" i="55"/>
  <c r="F82" i="55"/>
  <c r="G82" i="55"/>
  <c r="H82" i="55"/>
  <c r="I82" i="55"/>
  <c r="J82" i="55"/>
  <c r="K82" i="55"/>
  <c r="L82" i="55"/>
  <c r="E78" i="55"/>
  <c r="F78" i="55"/>
  <c r="G78" i="55"/>
  <c r="H78" i="55"/>
  <c r="I78" i="55"/>
  <c r="J78" i="55"/>
  <c r="K78" i="55"/>
  <c r="L78" i="55"/>
  <c r="E83" i="55"/>
  <c r="F83" i="55"/>
  <c r="G83" i="55"/>
  <c r="H83" i="55"/>
  <c r="I83" i="55"/>
  <c r="J83" i="55"/>
  <c r="K83" i="55"/>
  <c r="L83" i="55"/>
  <c r="D74" i="55"/>
  <c r="D75" i="55"/>
  <c r="D73" i="55"/>
  <c r="D81" i="55"/>
  <c r="D82" i="55"/>
  <c r="D78" i="55"/>
  <c r="D83" i="55"/>
  <c r="D87" i="54"/>
  <c r="E87" i="54"/>
  <c r="J87" i="54"/>
  <c r="D90" i="54"/>
  <c r="F90" i="54"/>
  <c r="F91" i="54"/>
  <c r="C90" i="54"/>
  <c r="F74" i="54"/>
  <c r="H74" i="54"/>
  <c r="G75" i="54"/>
  <c r="E81" i="54"/>
  <c r="H81" i="54"/>
  <c r="D82" i="54"/>
  <c r="E82" i="54"/>
  <c r="F82" i="54"/>
  <c r="G82" i="54"/>
  <c r="H82" i="54"/>
  <c r="I82" i="54"/>
  <c r="J82" i="54"/>
  <c r="K82" i="54"/>
  <c r="E83" i="54"/>
  <c r="H83" i="54"/>
  <c r="J83" i="54"/>
  <c r="C82" i="54"/>
  <c r="L72" i="54"/>
  <c r="E90" i="54"/>
  <c r="G90" i="54"/>
  <c r="I90" i="54"/>
  <c r="J90" i="54"/>
  <c r="K90" i="54"/>
  <c r="L90" i="54"/>
  <c r="D91" i="54"/>
  <c r="E91" i="54"/>
  <c r="G91" i="54"/>
  <c r="H91" i="54"/>
  <c r="I91" i="54"/>
  <c r="J91" i="54"/>
  <c r="K91" i="54"/>
  <c r="L91" i="54"/>
  <c r="C91" i="54"/>
  <c r="F83" i="54"/>
  <c r="G83" i="54"/>
  <c r="K83" i="54"/>
  <c r="C83" i="54"/>
  <c r="D75" i="54"/>
  <c r="D74" i="54"/>
  <c r="D78" i="54"/>
  <c r="I75" i="54"/>
  <c r="K75" i="54"/>
  <c r="L75" i="54"/>
  <c r="C74" i="54"/>
  <c r="E74" i="54"/>
  <c r="G74" i="54"/>
  <c r="J74" i="54"/>
  <c r="K74" i="54"/>
  <c r="L74" i="54"/>
  <c r="G78" i="54"/>
  <c r="J78" i="54"/>
  <c r="L78" i="54"/>
  <c r="F78" i="54"/>
  <c r="H78" i="54"/>
  <c r="I78" i="54"/>
  <c r="K78" i="54"/>
  <c r="E75" i="54"/>
  <c r="C75" i="54"/>
  <c r="E39" i="55"/>
  <c r="E133" i="55" s="1"/>
  <c r="F39" i="55"/>
  <c r="G39" i="55"/>
  <c r="G133" i="55" s="1"/>
  <c r="H39" i="55"/>
  <c r="H133" i="55" s="1"/>
  <c r="I39" i="55"/>
  <c r="I133" i="55" s="1"/>
  <c r="J39" i="55"/>
  <c r="J133" i="55" s="1"/>
  <c r="K39" i="55"/>
  <c r="K133" i="55" s="1"/>
  <c r="L39" i="55"/>
  <c r="L133" i="55" s="1"/>
  <c r="D39" i="55"/>
  <c r="D133" i="55" s="1"/>
  <c r="D20" i="54"/>
  <c r="E20" i="54"/>
  <c r="F20" i="54"/>
  <c r="G20" i="54"/>
  <c r="H20" i="54"/>
  <c r="I20" i="54"/>
  <c r="J20" i="54"/>
  <c r="K20" i="54"/>
  <c r="L20" i="54"/>
  <c r="C20" i="54"/>
  <c r="E19" i="55"/>
  <c r="F19" i="55"/>
  <c r="G19" i="55"/>
  <c r="H19" i="55"/>
  <c r="I19" i="55"/>
  <c r="J19" i="55"/>
  <c r="K19" i="55"/>
  <c r="L19" i="55"/>
  <c r="E20" i="55"/>
  <c r="F20" i="55"/>
  <c r="G20" i="55"/>
  <c r="H20" i="55"/>
  <c r="I20" i="55"/>
  <c r="J20" i="55"/>
  <c r="K20" i="55"/>
  <c r="L20" i="55"/>
  <c r="D19" i="55"/>
  <c r="D20" i="55"/>
  <c r="E12" i="55"/>
  <c r="F12" i="55"/>
  <c r="G12" i="55"/>
  <c r="H12" i="55"/>
  <c r="I12" i="55"/>
  <c r="J12" i="55"/>
  <c r="K12" i="55"/>
  <c r="L12" i="55"/>
  <c r="D12" i="55"/>
  <c r="D9" i="55"/>
  <c r="D96" i="55" s="1"/>
  <c r="AH2" i="32"/>
  <c r="AI2" i="32" s="1"/>
  <c r="AJ2" i="32" s="1"/>
  <c r="AK2" i="32" s="1"/>
  <c r="AL2" i="32" s="1"/>
  <c r="AM2" i="32" s="1"/>
  <c r="AN2" i="32" s="1"/>
  <c r="AO2" i="32" s="1"/>
  <c r="AP2" i="32" s="1"/>
  <c r="AQ2" i="32" s="1"/>
  <c r="AR2" i="32" s="1"/>
  <c r="AS2" i="32" s="1"/>
  <c r="P84" i="55"/>
  <c r="P88" i="55" s="1"/>
  <c r="P93" i="55" s="1"/>
  <c r="N111" i="55"/>
  <c r="N113" i="55" s="1"/>
  <c r="N110" i="55" s="1"/>
  <c r="N100" i="55" s="1"/>
  <c r="M96" i="55"/>
  <c r="O79" i="55"/>
  <c r="O84" i="55" s="1"/>
  <c r="O88" i="55" s="1"/>
  <c r="O93" i="55" s="1"/>
  <c r="N84" i="55"/>
  <c r="P124" i="55"/>
  <c r="Q130" i="54"/>
  <c r="O113" i="54"/>
  <c r="O110" i="54" s="1"/>
  <c r="O100" i="54" s="1"/>
  <c r="P130" i="54"/>
  <c r="Q109" i="54"/>
  <c r="Q106" i="54" s="1"/>
  <c r="Q99" i="54" s="1"/>
  <c r="I87" i="54"/>
  <c r="G87" i="54"/>
  <c r="K87" i="54"/>
  <c r="E12" i="32"/>
  <c r="F12" i="32"/>
  <c r="G12" i="32"/>
  <c r="H12" i="32"/>
  <c r="I12" i="32"/>
  <c r="AK12" i="32" s="1"/>
  <c r="AK102" i="32" s="1"/>
  <c r="AK104" i="32" s="1"/>
  <c r="AK101" i="32" s="1"/>
  <c r="J12" i="32"/>
  <c r="K12" i="32"/>
  <c r="AN12" i="32"/>
  <c r="AN102" i="32" s="1"/>
  <c r="AN104" i="32" s="1"/>
  <c r="AN101" i="32" s="1"/>
  <c r="AO12" i="32"/>
  <c r="AO102" i="32" s="1"/>
  <c r="AO104" i="32" s="1"/>
  <c r="AO101" i="32" s="1"/>
  <c r="AP12" i="32"/>
  <c r="AP102" i="32" s="1"/>
  <c r="AP104" i="32" s="1"/>
  <c r="AP101" i="32" s="1"/>
  <c r="AQ12" i="32"/>
  <c r="AQ102" i="32" s="1"/>
  <c r="AQ104" i="32" s="1"/>
  <c r="AQ101" i="32" s="1"/>
  <c r="AR12" i="32"/>
  <c r="AR102" i="32" s="1"/>
  <c r="AR104" i="32" s="1"/>
  <c r="AR101" i="32" s="1"/>
  <c r="AS12" i="32"/>
  <c r="AS102" i="32" s="1"/>
  <c r="AS104" i="32" s="1"/>
  <c r="AS101" i="32" s="1"/>
  <c r="F2" i="32"/>
  <c r="G2" i="32" s="1"/>
  <c r="H2" i="32" s="1"/>
  <c r="I2" i="32" s="1"/>
  <c r="J2" i="32" s="1"/>
  <c r="K2" i="32" s="1"/>
  <c r="L2" i="32" s="1"/>
  <c r="M2" i="32" s="1"/>
  <c r="N2" i="32" s="1"/>
  <c r="O2" i="32" s="1"/>
  <c r="P2" i="32" s="1"/>
  <c r="Q2" i="32" s="1"/>
  <c r="K54" i="55"/>
  <c r="J37" i="54"/>
  <c r="J126" i="54" s="1"/>
  <c r="E65" i="55"/>
  <c r="E138" i="55" s="1"/>
  <c r="F65" i="55"/>
  <c r="F138" i="55" s="1"/>
  <c r="G65" i="55"/>
  <c r="H65" i="55"/>
  <c r="I65" i="55"/>
  <c r="J65" i="55"/>
  <c r="J138" i="55" s="1"/>
  <c r="K65" i="55"/>
  <c r="K138" i="55" s="1"/>
  <c r="L65" i="55"/>
  <c r="L138" i="55" s="1"/>
  <c r="E63" i="55"/>
  <c r="E122" i="55" s="1"/>
  <c r="F63" i="55"/>
  <c r="G63" i="55"/>
  <c r="H63" i="55"/>
  <c r="I63" i="55"/>
  <c r="J63" i="55"/>
  <c r="J122" i="55" s="1"/>
  <c r="K63" i="55"/>
  <c r="L63" i="55"/>
  <c r="L122" i="55" s="1"/>
  <c r="E64" i="55"/>
  <c r="F64" i="55"/>
  <c r="G64" i="55"/>
  <c r="H64" i="55"/>
  <c r="H123" i="55" s="1"/>
  <c r="I64" i="55"/>
  <c r="J64" i="55"/>
  <c r="K64" i="55"/>
  <c r="L64" i="55"/>
  <c r="L123" i="55" s="1"/>
  <c r="E58" i="55"/>
  <c r="E139" i="55" s="1"/>
  <c r="E140" i="55" s="1"/>
  <c r="F58" i="55"/>
  <c r="F139" i="55" s="1"/>
  <c r="G58" i="55"/>
  <c r="H58" i="55"/>
  <c r="H139" i="55" s="1"/>
  <c r="I58" i="55"/>
  <c r="I139" i="55" s="1"/>
  <c r="J58" i="55"/>
  <c r="K58" i="55"/>
  <c r="L58" i="55"/>
  <c r="L129" i="55"/>
  <c r="E55" i="55"/>
  <c r="F55" i="55"/>
  <c r="F143" i="55" s="1"/>
  <c r="G55" i="55"/>
  <c r="G143" i="55" s="1"/>
  <c r="H55" i="55"/>
  <c r="I55" i="55"/>
  <c r="J55" i="55"/>
  <c r="J143" i="55" s="1"/>
  <c r="K55" i="55"/>
  <c r="L46" i="55"/>
  <c r="L44" i="55"/>
  <c r="L119" i="55" s="1"/>
  <c r="L43" i="55"/>
  <c r="L45" i="55"/>
  <c r="L121" i="55" s="1"/>
  <c r="L37" i="55"/>
  <c r="L126" i="55" s="1"/>
  <c r="L38" i="55"/>
  <c r="L127" i="55" s="1"/>
  <c r="L40" i="55"/>
  <c r="L9" i="55"/>
  <c r="L14" i="55"/>
  <c r="L15" i="55"/>
  <c r="L111" i="55" s="1"/>
  <c r="L13" i="55"/>
  <c r="L103" i="55" s="1"/>
  <c r="L105" i="55" s="1"/>
  <c r="L102" i="55" s="1"/>
  <c r="L17" i="55"/>
  <c r="D63" i="55"/>
  <c r="D64" i="55"/>
  <c r="D58" i="55"/>
  <c r="D55" i="55"/>
  <c r="D65" i="55"/>
  <c r="E46" i="55"/>
  <c r="F46" i="55"/>
  <c r="G46" i="55"/>
  <c r="H46" i="55"/>
  <c r="I46" i="55"/>
  <c r="J46" i="55"/>
  <c r="K46" i="55"/>
  <c r="E44" i="55"/>
  <c r="F44" i="55"/>
  <c r="G44" i="55"/>
  <c r="H44" i="55"/>
  <c r="I44" i="55"/>
  <c r="J44" i="55"/>
  <c r="K44" i="55"/>
  <c r="E43" i="55"/>
  <c r="F43" i="55"/>
  <c r="G43" i="55"/>
  <c r="G120" i="55" s="1"/>
  <c r="H43" i="55"/>
  <c r="H120" i="55" s="1"/>
  <c r="I43" i="55"/>
  <c r="J43" i="55"/>
  <c r="K43" i="55"/>
  <c r="E45" i="55"/>
  <c r="E121" i="55" s="1"/>
  <c r="F45" i="55"/>
  <c r="G45" i="55"/>
  <c r="G121" i="55" s="1"/>
  <c r="H45" i="55"/>
  <c r="I45" i="55"/>
  <c r="I121" i="55" s="1"/>
  <c r="J45" i="55"/>
  <c r="K45" i="55"/>
  <c r="E37" i="55"/>
  <c r="E126" i="55" s="1"/>
  <c r="F37" i="55"/>
  <c r="F126" i="55" s="1"/>
  <c r="G37" i="55"/>
  <c r="H37" i="55"/>
  <c r="I37" i="55"/>
  <c r="I126" i="55" s="1"/>
  <c r="J37" i="55"/>
  <c r="J126" i="55" s="1"/>
  <c r="K37" i="55"/>
  <c r="E38" i="55"/>
  <c r="F38" i="55"/>
  <c r="F127" i="55" s="1"/>
  <c r="G38" i="55"/>
  <c r="G127" i="55" s="1"/>
  <c r="H38" i="55"/>
  <c r="I38" i="55"/>
  <c r="J38" i="55"/>
  <c r="K38" i="55"/>
  <c r="E40" i="55"/>
  <c r="F40" i="55"/>
  <c r="G40" i="55"/>
  <c r="H40" i="55"/>
  <c r="I40" i="55"/>
  <c r="J40" i="55"/>
  <c r="K40" i="55"/>
  <c r="D44" i="55"/>
  <c r="D43" i="55"/>
  <c r="D120" i="55" s="1"/>
  <c r="D45" i="55"/>
  <c r="D37" i="55"/>
  <c r="D38" i="55"/>
  <c r="D127" i="55" s="1"/>
  <c r="D40" i="55"/>
  <c r="D46" i="55"/>
  <c r="D14" i="55"/>
  <c r="E14" i="55"/>
  <c r="F14" i="55"/>
  <c r="G14" i="55"/>
  <c r="H14" i="55"/>
  <c r="I14" i="55"/>
  <c r="J14" i="55"/>
  <c r="K14" i="55"/>
  <c r="D15" i="55"/>
  <c r="D111" i="55" s="1"/>
  <c r="E15" i="55"/>
  <c r="F15" i="55"/>
  <c r="G15" i="55"/>
  <c r="H15" i="55"/>
  <c r="H28" i="72" s="1"/>
  <c r="I15" i="55"/>
  <c r="J15" i="55"/>
  <c r="K15" i="55"/>
  <c r="D13" i="55"/>
  <c r="D103" i="55" s="1"/>
  <c r="E13" i="55"/>
  <c r="F13" i="55"/>
  <c r="G13" i="55"/>
  <c r="H13" i="55"/>
  <c r="I13" i="55"/>
  <c r="J13" i="55"/>
  <c r="K13" i="55"/>
  <c r="D17" i="55"/>
  <c r="E17" i="55"/>
  <c r="F17" i="55"/>
  <c r="G17" i="55"/>
  <c r="H17" i="55"/>
  <c r="I17" i="55"/>
  <c r="J17" i="55"/>
  <c r="K17" i="55"/>
  <c r="K9" i="55"/>
  <c r="J9" i="55"/>
  <c r="I9" i="55"/>
  <c r="H9" i="55"/>
  <c r="G9" i="55"/>
  <c r="F9" i="55"/>
  <c r="E9" i="55"/>
  <c r="E53" i="32"/>
  <c r="F53" i="32"/>
  <c r="G53" i="32"/>
  <c r="H53" i="32"/>
  <c r="I53" i="32"/>
  <c r="J53" i="32"/>
  <c r="J64" i="32"/>
  <c r="J137" i="32" s="1"/>
  <c r="J45" i="32"/>
  <c r="AL45" i="32" s="1"/>
  <c r="AM24" i="32"/>
  <c r="G32" i="74" s="1"/>
  <c r="AL25" i="32"/>
  <c r="F36" i="74" s="1"/>
  <c r="AG26" i="32"/>
  <c r="AI26" i="32"/>
  <c r="C37" i="74" s="1"/>
  <c r="I13" i="32"/>
  <c r="H14" i="32"/>
  <c r="AJ14" i="32" s="1"/>
  <c r="K16" i="32"/>
  <c r="I86" i="32"/>
  <c r="K85" i="32"/>
  <c r="G89" i="32"/>
  <c r="AI89" i="32" s="1"/>
  <c r="F90" i="32"/>
  <c r="AH90" i="32" s="1"/>
  <c r="G90" i="32"/>
  <c r="AI90" i="32" s="1"/>
  <c r="E89" i="32"/>
  <c r="E90" i="32"/>
  <c r="AG90" i="32" s="1"/>
  <c r="E86" i="32"/>
  <c r="F73" i="32"/>
  <c r="K73" i="32"/>
  <c r="E72" i="32"/>
  <c r="F72" i="32"/>
  <c r="K72" i="32"/>
  <c r="G80" i="32"/>
  <c r="AI80" i="32" s="1"/>
  <c r="I77" i="32"/>
  <c r="AK77" i="32" s="1"/>
  <c r="I80" i="32"/>
  <c r="AK80" i="32" s="1"/>
  <c r="E80" i="32"/>
  <c r="AG80" i="32" s="1"/>
  <c r="J85" i="32"/>
  <c r="I85" i="32"/>
  <c r="K80" i="32"/>
  <c r="AM80" i="32" s="1"/>
  <c r="J80" i="32"/>
  <c r="AL80" i="32" s="1"/>
  <c r="H80" i="32"/>
  <c r="AJ80" i="32" s="1"/>
  <c r="F80" i="32"/>
  <c r="AH80" i="32" s="1"/>
  <c r="H85" i="32"/>
  <c r="G85" i="32"/>
  <c r="F85" i="32"/>
  <c r="F79" i="30" s="1"/>
  <c r="E85" i="32"/>
  <c r="H86" i="32"/>
  <c r="G86" i="32"/>
  <c r="H90" i="32"/>
  <c r="AJ90" i="32" s="1"/>
  <c r="I90" i="32"/>
  <c r="AK90" i="32" s="1"/>
  <c r="J90" i="32"/>
  <c r="AL90" i="32" s="1"/>
  <c r="K90" i="32"/>
  <c r="AM90" i="32" s="1"/>
  <c r="F89" i="32"/>
  <c r="H89" i="32"/>
  <c r="AJ89" i="32" s="1"/>
  <c r="I89" i="32"/>
  <c r="AK89" i="32" s="1"/>
  <c r="J89" i="32"/>
  <c r="AL89" i="32" s="1"/>
  <c r="K89" i="32"/>
  <c r="K86" i="32"/>
  <c r="J86" i="32"/>
  <c r="F86" i="32"/>
  <c r="J82" i="32"/>
  <c r="E71" i="32"/>
  <c r="F71" i="32"/>
  <c r="I74" i="32"/>
  <c r="J74" i="32"/>
  <c r="E82" i="32"/>
  <c r="AG82" i="32" s="1"/>
  <c r="F82" i="32"/>
  <c r="G82" i="32"/>
  <c r="AI82" i="32" s="1"/>
  <c r="H82" i="32"/>
  <c r="I82" i="32"/>
  <c r="K82" i="32"/>
  <c r="K74" i="32"/>
  <c r="E74" i="32"/>
  <c r="G72" i="32"/>
  <c r="I72" i="32"/>
  <c r="J72" i="32"/>
  <c r="E81" i="32"/>
  <c r="AG81" i="32" s="1"/>
  <c r="F81" i="32"/>
  <c r="AH81" i="32" s="1"/>
  <c r="G81" i="32"/>
  <c r="AI81" i="32" s="1"/>
  <c r="H81" i="32"/>
  <c r="AJ81" i="32" s="1"/>
  <c r="I81" i="32"/>
  <c r="AK81" i="32" s="1"/>
  <c r="J81" i="32"/>
  <c r="AL81" i="32" s="1"/>
  <c r="K81" i="32"/>
  <c r="AM81" i="32" s="1"/>
  <c r="H72" i="32"/>
  <c r="E73" i="32"/>
  <c r="G73" i="32"/>
  <c r="AI73" i="32" s="1"/>
  <c r="H73" i="32"/>
  <c r="I73" i="32"/>
  <c r="J73" i="32"/>
  <c r="F77" i="32"/>
  <c r="AH77" i="32" s="1"/>
  <c r="J77" i="32"/>
  <c r="AL77" i="32" s="1"/>
  <c r="K77" i="32"/>
  <c r="E77" i="32"/>
  <c r="AG77" i="32" s="1"/>
  <c r="G77" i="32"/>
  <c r="AI77" i="32" s="1"/>
  <c r="H77" i="32"/>
  <c r="AJ77" i="32" s="1"/>
  <c r="H71" i="32"/>
  <c r="I71" i="32"/>
  <c r="J71" i="32"/>
  <c r="K71" i="32"/>
  <c r="G71" i="32"/>
  <c r="G52" i="32"/>
  <c r="I52" i="32"/>
  <c r="AL141" i="32" s="1"/>
  <c r="J52" i="32"/>
  <c r="AM141" i="32" s="1"/>
  <c r="K52" i="32"/>
  <c r="K141" i="32" s="1"/>
  <c r="H52" i="32"/>
  <c r="AK141" i="32" s="1"/>
  <c r="E52" i="32"/>
  <c r="AH141" i="32" s="1"/>
  <c r="F52" i="32"/>
  <c r="AI141" i="32" s="1"/>
  <c r="G57" i="32"/>
  <c r="I57" i="32"/>
  <c r="E58" i="32"/>
  <c r="F58" i="32"/>
  <c r="G58" i="32"/>
  <c r="H58" i="32"/>
  <c r="I58" i="32"/>
  <c r="J58" i="32"/>
  <c r="K58" i="32"/>
  <c r="E54" i="32"/>
  <c r="F54" i="32"/>
  <c r="G54" i="32"/>
  <c r="H54" i="32"/>
  <c r="I54" i="32"/>
  <c r="I142" i="32" s="1"/>
  <c r="J54" i="32"/>
  <c r="J142" i="32" s="1"/>
  <c r="K54" i="32"/>
  <c r="K142" i="32" s="1"/>
  <c r="E59" i="32"/>
  <c r="E128" i="32" s="1"/>
  <c r="F59" i="32"/>
  <c r="G59" i="32"/>
  <c r="H59" i="32"/>
  <c r="I59" i="32"/>
  <c r="J59" i="32"/>
  <c r="J128" i="32" s="1"/>
  <c r="K59" i="32"/>
  <c r="K128" i="32" s="1"/>
  <c r="J57" i="32"/>
  <c r="K57" i="32"/>
  <c r="H57" i="32"/>
  <c r="AK138" i="32" s="1"/>
  <c r="E57" i="32"/>
  <c r="AH138" i="32" s="1"/>
  <c r="F57" i="32"/>
  <c r="E64" i="32"/>
  <c r="E137" i="32" s="1"/>
  <c r="F64" i="32"/>
  <c r="G64" i="32"/>
  <c r="H64" i="32"/>
  <c r="H137" i="32" s="1"/>
  <c r="I64" i="32"/>
  <c r="K64" i="32"/>
  <c r="E63" i="32"/>
  <c r="F63" i="32"/>
  <c r="G63" i="32"/>
  <c r="H63" i="32"/>
  <c r="I63" i="32"/>
  <c r="J63" i="32"/>
  <c r="K63" i="32"/>
  <c r="I62" i="32"/>
  <c r="J62" i="32"/>
  <c r="K62" i="32"/>
  <c r="AN121" i="32" s="1"/>
  <c r="H62" i="32"/>
  <c r="AK121" i="32" s="1"/>
  <c r="E105" i="74" s="1"/>
  <c r="E62" i="32"/>
  <c r="F62" i="32"/>
  <c r="G62" i="32"/>
  <c r="G36" i="32"/>
  <c r="AI36" i="32" s="1"/>
  <c r="AI125" i="32" s="1"/>
  <c r="I36" i="32"/>
  <c r="E38" i="32"/>
  <c r="E132" i="32" s="1"/>
  <c r="F38" i="32"/>
  <c r="AH38" i="32" s="1"/>
  <c r="AH132" i="32" s="1"/>
  <c r="G38" i="32"/>
  <c r="AI38" i="32" s="1"/>
  <c r="AI132" i="32" s="1"/>
  <c r="H38" i="32"/>
  <c r="I38" i="32"/>
  <c r="AK38" i="32" s="1"/>
  <c r="AK132" i="32" s="1"/>
  <c r="J38" i="32"/>
  <c r="AL38" i="32" s="1"/>
  <c r="AL132" i="32" s="1"/>
  <c r="K38" i="32"/>
  <c r="AM38" i="32" s="1"/>
  <c r="AM132" i="32" s="1"/>
  <c r="E39" i="32"/>
  <c r="AG39" i="32" s="1"/>
  <c r="AG127" i="32" s="1"/>
  <c r="F39" i="32"/>
  <c r="AH39" i="32" s="1"/>
  <c r="AH127" i="32" s="1"/>
  <c r="G39" i="32"/>
  <c r="AI39" i="32" s="1"/>
  <c r="AI127" i="32" s="1"/>
  <c r="H39" i="32"/>
  <c r="AJ39" i="32" s="1"/>
  <c r="AJ127" i="32" s="1"/>
  <c r="I39" i="32"/>
  <c r="AK39" i="32" s="1"/>
  <c r="AK127" i="32" s="1"/>
  <c r="J39" i="32"/>
  <c r="K39" i="32"/>
  <c r="AM39" i="32" s="1"/>
  <c r="AM127" i="32" s="1"/>
  <c r="E37" i="32"/>
  <c r="F37" i="32"/>
  <c r="AH37" i="32" s="1"/>
  <c r="AH126" i="32" s="1"/>
  <c r="G37" i="32"/>
  <c r="AI37" i="32" s="1"/>
  <c r="AI126" i="32" s="1"/>
  <c r="H37" i="32"/>
  <c r="I37" i="32"/>
  <c r="AK37" i="32" s="1"/>
  <c r="AK126" i="32" s="1"/>
  <c r="J37" i="32"/>
  <c r="AL37" i="32" s="1"/>
  <c r="AL126" i="32" s="1"/>
  <c r="K37" i="32"/>
  <c r="E44" i="32"/>
  <c r="AG44" i="32" s="1"/>
  <c r="AG120" i="32" s="1"/>
  <c r="F44" i="32"/>
  <c r="AH44" i="32" s="1"/>
  <c r="AH120" i="32" s="1"/>
  <c r="G44" i="32"/>
  <c r="H44" i="32"/>
  <c r="I44" i="32"/>
  <c r="J44" i="32"/>
  <c r="AL44" i="32" s="1"/>
  <c r="AL120" i="32" s="1"/>
  <c r="K44" i="32"/>
  <c r="J36" i="32"/>
  <c r="K36" i="32"/>
  <c r="AM36" i="32" s="1"/>
  <c r="AM125" i="32" s="1"/>
  <c r="H36" i="32"/>
  <c r="AJ36" i="32" s="1"/>
  <c r="AJ125" i="32" s="1"/>
  <c r="E36" i="32"/>
  <c r="AG36" i="32" s="1"/>
  <c r="AG125" i="32" s="1"/>
  <c r="F36" i="32"/>
  <c r="G45" i="32"/>
  <c r="AI45" i="32" s="1"/>
  <c r="E43" i="32"/>
  <c r="F43" i="32"/>
  <c r="AH43" i="32" s="1"/>
  <c r="AH118" i="32" s="1"/>
  <c r="G43" i="32"/>
  <c r="AI43" i="32" s="1"/>
  <c r="AI118" i="32" s="1"/>
  <c r="H43" i="32"/>
  <c r="AJ43" i="32" s="1"/>
  <c r="AJ118" i="32" s="1"/>
  <c r="AK43" i="32"/>
  <c r="AK118" i="32" s="1"/>
  <c r="J43" i="32"/>
  <c r="AL43" i="32" s="1"/>
  <c r="AL118" i="32" s="1"/>
  <c r="K43" i="32"/>
  <c r="AM43" i="32" s="1"/>
  <c r="AM118" i="32" s="1"/>
  <c r="E42" i="32"/>
  <c r="E119" i="32" s="1"/>
  <c r="F42" i="32"/>
  <c r="G42" i="32"/>
  <c r="AI42" i="32" s="1"/>
  <c r="AI119" i="32" s="1"/>
  <c r="H42" i="32"/>
  <c r="I42" i="32"/>
  <c r="AK42" i="32" s="1"/>
  <c r="AK119" i="32" s="1"/>
  <c r="J42" i="32"/>
  <c r="K42" i="32"/>
  <c r="AM42" i="32" s="1"/>
  <c r="AM119" i="32" s="1"/>
  <c r="K45" i="32"/>
  <c r="AM45" i="32" s="1"/>
  <c r="C64" i="54"/>
  <c r="C123" i="54" s="1"/>
  <c r="J65" i="54"/>
  <c r="L65" i="54"/>
  <c r="L138" i="54" s="1"/>
  <c r="H65" i="54"/>
  <c r="J64" i="54"/>
  <c r="E63" i="54"/>
  <c r="F63" i="54"/>
  <c r="G63" i="54"/>
  <c r="H63" i="54"/>
  <c r="K63" i="54"/>
  <c r="K122" i="54" s="1"/>
  <c r="C58" i="54"/>
  <c r="F58" i="54"/>
  <c r="K58" i="54"/>
  <c r="I60" i="54"/>
  <c r="C59" i="54"/>
  <c r="D59" i="54"/>
  <c r="E59" i="54"/>
  <c r="F59" i="54"/>
  <c r="G59" i="54"/>
  <c r="H59" i="54"/>
  <c r="I59" i="54"/>
  <c r="J59" i="54"/>
  <c r="K59" i="54"/>
  <c r="L59" i="54"/>
  <c r="F60" i="54"/>
  <c r="H58" i="54"/>
  <c r="D55" i="54"/>
  <c r="E55" i="54"/>
  <c r="F55" i="54"/>
  <c r="G55" i="54"/>
  <c r="H55" i="54"/>
  <c r="H143" i="54" s="1"/>
  <c r="I55" i="54"/>
  <c r="J55" i="54"/>
  <c r="K55" i="54"/>
  <c r="L55" i="54"/>
  <c r="L143" i="54" s="1"/>
  <c r="C55" i="54"/>
  <c r="C143" i="54" s="1"/>
  <c r="K53" i="54"/>
  <c r="L53" i="54"/>
  <c r="L142" i="54" s="1"/>
  <c r="G53" i="54"/>
  <c r="F46" i="54"/>
  <c r="H45" i="54"/>
  <c r="E44" i="54"/>
  <c r="F44" i="54"/>
  <c r="G44" i="54"/>
  <c r="H44" i="54"/>
  <c r="I44" i="54"/>
  <c r="J44" i="54"/>
  <c r="K44" i="54"/>
  <c r="L44" i="54"/>
  <c r="L119" i="54" s="1"/>
  <c r="D43" i="54"/>
  <c r="E43" i="54"/>
  <c r="E120" i="54" s="1"/>
  <c r="F43" i="54"/>
  <c r="G43" i="54"/>
  <c r="G120" i="54" s="1"/>
  <c r="H43" i="54"/>
  <c r="I43" i="54"/>
  <c r="J43" i="54"/>
  <c r="K43" i="54"/>
  <c r="L43" i="54"/>
  <c r="L120" i="54" s="1"/>
  <c r="G45" i="54"/>
  <c r="G121" i="54" s="1"/>
  <c r="C43" i="54"/>
  <c r="C120" i="54" s="1"/>
  <c r="C44" i="54"/>
  <c r="C119" i="54" s="1"/>
  <c r="C39" i="54"/>
  <c r="C133" i="54" s="1"/>
  <c r="D39" i="54"/>
  <c r="D133" i="54" s="1"/>
  <c r="E39" i="54"/>
  <c r="E133" i="54" s="1"/>
  <c r="G39" i="54"/>
  <c r="G133" i="54" s="1"/>
  <c r="I39" i="54"/>
  <c r="I133" i="54" s="1"/>
  <c r="J39" i="54"/>
  <c r="J133" i="54" s="1"/>
  <c r="K39" i="54"/>
  <c r="K133" i="54" s="1"/>
  <c r="L39" i="54"/>
  <c r="L133" i="54" s="1"/>
  <c r="D38" i="54"/>
  <c r="E38" i="54"/>
  <c r="E127" i="54" s="1"/>
  <c r="J38" i="54"/>
  <c r="C40" i="54"/>
  <c r="D40" i="54"/>
  <c r="E40" i="54"/>
  <c r="F40" i="54"/>
  <c r="G40" i="54"/>
  <c r="H40" i="54"/>
  <c r="I40" i="54"/>
  <c r="J40" i="54"/>
  <c r="K40" i="54"/>
  <c r="L40" i="54"/>
  <c r="C37" i="54"/>
  <c r="C126" i="54" s="1"/>
  <c r="E37" i="54"/>
  <c r="F37" i="54"/>
  <c r="G37" i="54"/>
  <c r="H37" i="54"/>
  <c r="I37" i="54"/>
  <c r="I126" i="54" s="1"/>
  <c r="K37" i="54"/>
  <c r="I18" i="32"/>
  <c r="J18" i="32"/>
  <c r="H18" i="32"/>
  <c r="F18" i="32"/>
  <c r="G18" i="32"/>
  <c r="E18" i="32"/>
  <c r="H16" i="32"/>
  <c r="AJ16" i="32" s="1"/>
  <c r="D41" i="74" s="1"/>
  <c r="I16" i="32"/>
  <c r="J16" i="32"/>
  <c r="G16" i="32"/>
  <c r="AI16" i="32" s="1"/>
  <c r="C41" i="74" s="1"/>
  <c r="F16" i="32"/>
  <c r="E16" i="32"/>
  <c r="AG16" i="32" s="1"/>
  <c r="D19" i="54"/>
  <c r="E19" i="54"/>
  <c r="F19" i="54"/>
  <c r="G19" i="54"/>
  <c r="H19" i="54"/>
  <c r="I19" i="54"/>
  <c r="J19" i="54"/>
  <c r="K19" i="54"/>
  <c r="L19" i="54"/>
  <c r="C19" i="54"/>
  <c r="F13" i="32"/>
  <c r="AH13" i="32" s="1"/>
  <c r="F72" i="54"/>
  <c r="G73" i="54"/>
  <c r="C72" i="54"/>
  <c r="D13" i="54"/>
  <c r="D103" i="54" s="1"/>
  <c r="F13" i="54"/>
  <c r="L13" i="54"/>
  <c r="I14" i="32"/>
  <c r="J14" i="32"/>
  <c r="J110" i="32" s="1"/>
  <c r="K14" i="32"/>
  <c r="H13" i="32"/>
  <c r="AJ13" i="32" s="1"/>
  <c r="J13" i="32"/>
  <c r="AL13" i="32" s="1"/>
  <c r="K13" i="32"/>
  <c r="AM13" i="32" s="1"/>
  <c r="G14" i="32"/>
  <c r="G13" i="32"/>
  <c r="AI13" i="32" s="1"/>
  <c r="F14" i="32"/>
  <c r="E14" i="32"/>
  <c r="C28" i="54"/>
  <c r="G12" i="54"/>
  <c r="H12" i="54"/>
  <c r="I12" i="54"/>
  <c r="K12" i="54"/>
  <c r="K86" i="54"/>
  <c r="K78" i="71" s="1"/>
  <c r="AG25" i="32"/>
  <c r="AH26" i="32"/>
  <c r="AH24" i="32"/>
  <c r="D81" i="54"/>
  <c r="J81" i="54"/>
  <c r="AI25" i="32"/>
  <c r="C36" i="74" s="1"/>
  <c r="AK25" i="32"/>
  <c r="E36" i="74" s="1"/>
  <c r="AM25" i="32"/>
  <c r="G36" i="74" s="1"/>
  <c r="AJ26" i="32"/>
  <c r="D37" i="74" s="1"/>
  <c r="AK26" i="32"/>
  <c r="E37" i="74" s="1"/>
  <c r="AL26" i="32"/>
  <c r="F37" i="74" s="1"/>
  <c r="AM26" i="32"/>
  <c r="G37" i="74" s="1"/>
  <c r="AI24" i="32"/>
  <c r="C32" i="74" s="1"/>
  <c r="AK24" i="32"/>
  <c r="E32" i="74" s="1"/>
  <c r="AL24" i="32"/>
  <c r="F32" i="74" s="1"/>
  <c r="C81" i="54"/>
  <c r="E37" i="30"/>
  <c r="F37" i="30"/>
  <c r="J37" i="30"/>
  <c r="J8" i="32"/>
  <c r="G37" i="30"/>
  <c r="H37" i="30"/>
  <c r="H8" i="32"/>
  <c r="I37" i="30"/>
  <c r="K37" i="30"/>
  <c r="L28" i="54"/>
  <c r="D27" i="54"/>
  <c r="E27" i="54"/>
  <c r="F27" i="54"/>
  <c r="G27" i="54"/>
  <c r="H27" i="54"/>
  <c r="I27" i="54"/>
  <c r="K27" i="54"/>
  <c r="L27" i="54"/>
  <c r="C27" i="54"/>
  <c r="D26" i="54"/>
  <c r="E26" i="54"/>
  <c r="F26" i="54"/>
  <c r="G26" i="54"/>
  <c r="H26" i="54"/>
  <c r="I26" i="54"/>
  <c r="J26" i="54"/>
  <c r="K26" i="54"/>
  <c r="L26" i="54"/>
  <c r="C26" i="54"/>
  <c r="D25" i="54"/>
  <c r="E25" i="54"/>
  <c r="F25" i="54"/>
  <c r="G25" i="54"/>
  <c r="H25" i="54"/>
  <c r="J25" i="54"/>
  <c r="K25" i="54"/>
  <c r="L25" i="54"/>
  <c r="D9" i="54"/>
  <c r="E9" i="54"/>
  <c r="F9" i="54"/>
  <c r="G9" i="54"/>
  <c r="H9" i="54"/>
  <c r="I9" i="54"/>
  <c r="J9" i="54"/>
  <c r="K9" i="54"/>
  <c r="L9" i="54"/>
  <c r="L96" i="54" s="1"/>
  <c r="C9" i="54"/>
  <c r="AS90" i="32"/>
  <c r="AR90" i="32"/>
  <c r="AQ90" i="32"/>
  <c r="AP90" i="32"/>
  <c r="AO90" i="32"/>
  <c r="AN90" i="32"/>
  <c r="AS89" i="32"/>
  <c r="AR89" i="32"/>
  <c r="AQ89" i="32"/>
  <c r="AP89" i="32"/>
  <c r="AO89" i="32"/>
  <c r="AN89" i="32"/>
  <c r="AS82" i="32"/>
  <c r="AR82" i="32"/>
  <c r="AP82" i="32"/>
  <c r="AS81" i="32"/>
  <c r="AR81" i="32"/>
  <c r="AQ81" i="32"/>
  <c r="AP81" i="32"/>
  <c r="AO81" i="32"/>
  <c r="AN81" i="32"/>
  <c r="AS80" i="32"/>
  <c r="AR80" i="32"/>
  <c r="AQ80" i="32"/>
  <c r="AP80" i="32"/>
  <c r="AO80" i="32"/>
  <c r="AN80" i="32"/>
  <c r="AS77" i="32"/>
  <c r="AR77" i="32"/>
  <c r="AQ77" i="32"/>
  <c r="AP77" i="32"/>
  <c r="AO77" i="32"/>
  <c r="AN77" i="32"/>
  <c r="AR74" i="32"/>
  <c r="AQ74" i="32"/>
  <c r="AP74" i="32"/>
  <c r="AS73" i="32"/>
  <c r="AR73" i="32"/>
  <c r="AQ73" i="32"/>
  <c r="AP73" i="32"/>
  <c r="AO73" i="32"/>
  <c r="AN73" i="32"/>
  <c r="AP58" i="32"/>
  <c r="AS46" i="32"/>
  <c r="AR46" i="32"/>
  <c r="AP46" i="32"/>
  <c r="AS45" i="32"/>
  <c r="AP45" i="32"/>
  <c r="AO45" i="32"/>
  <c r="AR43" i="32"/>
  <c r="AR118" i="32" s="1"/>
  <c r="AS30" i="32"/>
  <c r="AR30" i="32"/>
  <c r="AQ30" i="32"/>
  <c r="AP30" i="32"/>
  <c r="AO30" i="32"/>
  <c r="AN30" i="32"/>
  <c r="AM30" i="32"/>
  <c r="AL30" i="32"/>
  <c r="AK30" i="32"/>
  <c r="AJ30" i="32"/>
  <c r="AI30" i="32"/>
  <c r="AH30" i="32"/>
  <c r="AG30" i="32"/>
  <c r="AS29" i="32"/>
  <c r="AR29" i="32"/>
  <c r="AQ29" i="32"/>
  <c r="AP29" i="32"/>
  <c r="AO29" i="32"/>
  <c r="AN29" i="32"/>
  <c r="AM29" i="32"/>
  <c r="AL29" i="32"/>
  <c r="AK29" i="32"/>
  <c r="AJ29" i="32"/>
  <c r="AI29" i="32"/>
  <c r="AH29" i="32"/>
  <c r="AG29" i="32"/>
  <c r="AS27" i="32"/>
  <c r="AR27" i="32"/>
  <c r="AQ27" i="32"/>
  <c r="AP27" i="32"/>
  <c r="AO27" i="32"/>
  <c r="AN27" i="32"/>
  <c r="AS24" i="32"/>
  <c r="AQ24" i="32"/>
  <c r="AP24" i="32"/>
  <c r="AO24" i="32"/>
  <c r="AN24" i="32"/>
  <c r="AS19" i="32"/>
  <c r="AR19" i="32"/>
  <c r="AQ19" i="32"/>
  <c r="AP19" i="32"/>
  <c r="AO19" i="32"/>
  <c r="AN19" i="32"/>
  <c r="AS16" i="32"/>
  <c r="AO16" i="32"/>
  <c r="AP71" i="32"/>
  <c r="AS13" i="32"/>
  <c r="AR13" i="32"/>
  <c r="AQ13" i="32"/>
  <c r="AP13" i="32"/>
  <c r="AO13" i="32"/>
  <c r="AN13" i="32"/>
  <c r="AR11" i="32"/>
  <c r="AQ11" i="32"/>
  <c r="AS3" i="32"/>
  <c r="AR3" i="32"/>
  <c r="AQ3" i="32"/>
  <c r="AP3" i="32"/>
  <c r="AO3" i="32"/>
  <c r="AN3" i="32"/>
  <c r="AM3" i="32"/>
  <c r="AL3" i="32"/>
  <c r="AK3" i="32"/>
  <c r="AJ3" i="32"/>
  <c r="AI3" i="32"/>
  <c r="AH3" i="32"/>
  <c r="AG3" i="32"/>
  <c r="E3" i="30"/>
  <c r="F3" i="30" s="1"/>
  <c r="G3" i="30" s="1"/>
  <c r="H3" i="30" s="1"/>
  <c r="I3" i="30" s="1"/>
  <c r="J3" i="30" s="1"/>
  <c r="K3" i="30" s="1"/>
  <c r="L3" i="30" s="1"/>
  <c r="M3" i="30" s="1"/>
  <c r="N3" i="30" s="1"/>
  <c r="O3" i="30" s="1"/>
  <c r="P3" i="30" s="1"/>
  <c r="Q3" i="30" s="1"/>
  <c r="N88" i="55"/>
  <c r="K18" i="32"/>
  <c r="E13" i="32"/>
  <c r="H74" i="32"/>
  <c r="E45" i="32"/>
  <c r="AG45" i="32" s="1"/>
  <c r="F74" i="32"/>
  <c r="AH74" i="32" s="1"/>
  <c r="AK31" i="32"/>
  <c r="I45" i="32"/>
  <c r="AK45" i="32" s="1"/>
  <c r="H45" i="32"/>
  <c r="AJ45" i="32" s="1"/>
  <c r="F45" i="32"/>
  <c r="AH45" i="32" s="1"/>
  <c r="AL31" i="32"/>
  <c r="AJ31" i="32"/>
  <c r="F14" i="54"/>
  <c r="F81" i="54"/>
  <c r="I15" i="54"/>
  <c r="I86" i="54"/>
  <c r="E14" i="54"/>
  <c r="J17" i="54"/>
  <c r="D14" i="54"/>
  <c r="G15" i="54"/>
  <c r="G86" i="54"/>
  <c r="G78" i="71" s="1"/>
  <c r="I17" i="54"/>
  <c r="I73" i="54"/>
  <c r="J14" i="54"/>
  <c r="C15" i="54"/>
  <c r="C111" i="54" s="1"/>
  <c r="C86" i="54"/>
  <c r="E15" i="54"/>
  <c r="E86" i="54"/>
  <c r="E78" i="71" s="1"/>
  <c r="G17" i="54"/>
  <c r="C14" i="54"/>
  <c r="I14" i="54"/>
  <c r="I81" i="54"/>
  <c r="L15" i="54"/>
  <c r="L111" i="54" s="1"/>
  <c r="L86" i="54"/>
  <c r="D15" i="54"/>
  <c r="D111" i="54" s="1"/>
  <c r="D113" i="54" s="1"/>
  <c r="D110" i="54" s="1"/>
  <c r="D100" i="54" s="1"/>
  <c r="D86" i="54"/>
  <c r="F17" i="54"/>
  <c r="F29" i="71" s="1"/>
  <c r="K14" i="54"/>
  <c r="K81" i="54"/>
  <c r="F15" i="54"/>
  <c r="H14" i="54"/>
  <c r="C73" i="54"/>
  <c r="E17" i="54"/>
  <c r="E73" i="54"/>
  <c r="E77" i="71" s="1"/>
  <c r="G14" i="54"/>
  <c r="J15" i="54"/>
  <c r="J86" i="54"/>
  <c r="J78" i="71" s="1"/>
  <c r="L17" i="54"/>
  <c r="L73" i="54"/>
  <c r="D17" i="54"/>
  <c r="D73" i="54"/>
  <c r="C17" i="54"/>
  <c r="F12" i="54"/>
  <c r="L12" i="54"/>
  <c r="D12" i="54"/>
  <c r="J12" i="54"/>
  <c r="C12" i="54"/>
  <c r="E12" i="54"/>
  <c r="C13" i="54"/>
  <c r="C103" i="54" s="1"/>
  <c r="AG24" i="32"/>
  <c r="AR25" i="32"/>
  <c r="AR17" i="32"/>
  <c r="AR97" i="32" s="1"/>
  <c r="E46" i="54"/>
  <c r="H53" i="54"/>
  <c r="L38" i="54"/>
  <c r="L127" i="54" s="1"/>
  <c r="H60" i="54"/>
  <c r="D46" i="54"/>
  <c r="J13" i="54"/>
  <c r="J25" i="71" s="1"/>
  <c r="J58" i="54"/>
  <c r="I58" i="54"/>
  <c r="K65" i="54"/>
  <c r="K138" i="54" s="1"/>
  <c r="C65" i="54"/>
  <c r="C138" i="54" s="1"/>
  <c r="F38" i="54"/>
  <c r="H38" i="54"/>
  <c r="C46" i="54"/>
  <c r="C53" i="54"/>
  <c r="C142" i="54" s="1"/>
  <c r="E53" i="54"/>
  <c r="E142" i="54" s="1"/>
  <c r="L60" i="54"/>
  <c r="L129" i="54" s="1"/>
  <c r="L64" i="54"/>
  <c r="L123" i="54" s="1"/>
  <c r="D65" i="54"/>
  <c r="D138" i="54" s="1"/>
  <c r="F64" i="54"/>
  <c r="I45" i="54"/>
  <c r="K46" i="54"/>
  <c r="L46" i="54"/>
  <c r="L58" i="54"/>
  <c r="K60" i="54"/>
  <c r="C60" i="54"/>
  <c r="C129" i="54" s="1"/>
  <c r="I65" i="54"/>
  <c r="E64" i="54"/>
  <c r="E123" i="54" s="1"/>
  <c r="D28" i="54"/>
  <c r="J60" i="54"/>
  <c r="J129" i="54" s="1"/>
  <c r="D64" i="54"/>
  <c r="D123" i="54" s="1"/>
  <c r="K64" i="54"/>
  <c r="K38" i="54"/>
  <c r="K127" i="54" s="1"/>
  <c r="C38" i="54"/>
  <c r="C127" i="54" s="1"/>
  <c r="E45" i="54"/>
  <c r="G60" i="54"/>
  <c r="G65" i="54"/>
  <c r="I64" i="54"/>
  <c r="I123" i="54" s="1"/>
  <c r="E13" i="54"/>
  <c r="L45" i="54"/>
  <c r="L121" i="54" s="1"/>
  <c r="H46" i="54"/>
  <c r="H13" i="54"/>
  <c r="K13" i="54"/>
  <c r="K45" i="54"/>
  <c r="E60" i="54"/>
  <c r="D63" i="54"/>
  <c r="C63" i="54"/>
  <c r="C122" i="54" s="1"/>
  <c r="I63" i="54"/>
  <c r="E58" i="54"/>
  <c r="D58" i="54"/>
  <c r="AP39" i="32"/>
  <c r="AR31" i="32"/>
  <c r="AN74" i="32"/>
  <c r="AO82" i="32"/>
  <c r="AQ25" i="32"/>
  <c r="AN31" i="32"/>
  <c r="AP16" i="32"/>
  <c r="AN25" i="32"/>
  <c r="Q75" i="32"/>
  <c r="Q78" i="32" s="1"/>
  <c r="Q83" i="32" s="1"/>
  <c r="AP31" i="32"/>
  <c r="AO36" i="32"/>
  <c r="AO125" i="32" s="1"/>
  <c r="AH31" i="32"/>
  <c r="AS36" i="32"/>
  <c r="AS125" i="32" s="1"/>
  <c r="AI31" i="32"/>
  <c r="AM31" i="32"/>
  <c r="AQ31" i="32"/>
  <c r="AP25" i="32"/>
  <c r="AP20" i="32"/>
  <c r="AN16" i="32"/>
  <c r="AR16" i="32"/>
  <c r="AR36" i="32"/>
  <c r="AR125" i="32" s="1"/>
  <c r="AQ39" i="32"/>
  <c r="AS31" i="32"/>
  <c r="AQ38" i="32"/>
  <c r="AQ132" i="32" s="1"/>
  <c r="AP42" i="32"/>
  <c r="AP119" i="32" s="1"/>
  <c r="AP63" i="32"/>
  <c r="AP122" i="32" s="1"/>
  <c r="AG31" i="32"/>
  <c r="AO31" i="32"/>
  <c r="AP54" i="32"/>
  <c r="AP142" i="32" s="1"/>
  <c r="N60" i="32"/>
  <c r="AR24" i="32"/>
  <c r="AR52" i="32"/>
  <c r="AR141" i="32" s="1"/>
  <c r="AO63" i="32"/>
  <c r="AO122" i="32" s="1"/>
  <c r="Q65" i="32"/>
  <c r="AS63" i="32"/>
  <c r="AS122" i="32" s="1"/>
  <c r="AS64" i="32"/>
  <c r="AS137" i="32" s="1"/>
  <c r="AP37" i="32"/>
  <c r="AP126" i="32" s="1"/>
  <c r="AN11" i="32"/>
  <c r="AO43" i="32"/>
  <c r="AO118" i="32" s="1"/>
  <c r="AS43" i="32"/>
  <c r="AS118" i="32" s="1"/>
  <c r="AQ57" i="32"/>
  <c r="AQ138" i="32" s="1"/>
  <c r="AQ42" i="32"/>
  <c r="AQ119" i="32" s="1"/>
  <c r="AQ52" i="32"/>
  <c r="AQ141" i="32" s="1"/>
  <c r="AP59" i="32"/>
  <c r="AP128" i="32" s="1"/>
  <c r="AQ62" i="32"/>
  <c r="AQ121" i="32" s="1"/>
  <c r="AP14" i="32"/>
  <c r="AP110" i="32" s="1"/>
  <c r="AP112" i="32" s="1"/>
  <c r="AP109" i="32" s="1"/>
  <c r="AP99" i="32" s="1"/>
  <c r="AQ16" i="32"/>
  <c r="AH32" i="32"/>
  <c r="AL32" i="32"/>
  <c r="AP32" i="32"/>
  <c r="AQ36" i="32"/>
  <c r="AQ125" i="32" s="1"/>
  <c r="AQ37" i="32"/>
  <c r="AQ126" i="32" s="1"/>
  <c r="AP38" i="32"/>
  <c r="AP132" i="32" s="1"/>
  <c r="AP44" i="32"/>
  <c r="AP120" i="32" s="1"/>
  <c r="M65" i="32"/>
  <c r="AO65" i="32" s="1"/>
  <c r="AQ44" i="32"/>
  <c r="AQ120" i="32" s="1"/>
  <c r="AR64" i="32"/>
  <c r="AR137" i="32" s="1"/>
  <c r="AI32" i="32"/>
  <c r="AS59" i="32"/>
  <c r="AS128" i="32" s="1"/>
  <c r="P65" i="32"/>
  <c r="AR63" i="32"/>
  <c r="AR122" i="32" s="1"/>
  <c r="AQ14" i="32"/>
  <c r="AQ110" i="32" s="1"/>
  <c r="AQ112" i="32" s="1"/>
  <c r="AQ109" i="32" s="1"/>
  <c r="AQ99" i="32" s="1"/>
  <c r="AS25" i="32"/>
  <c r="AJ32" i="32"/>
  <c r="AN32" i="32"/>
  <c r="AR32" i="32"/>
  <c r="AQ40" i="32"/>
  <c r="AQ49" i="32"/>
  <c r="AO42" i="32"/>
  <c r="AO119" i="32" s="1"/>
  <c r="AS42" i="32"/>
  <c r="AS119" i="32" s="1"/>
  <c r="AQ43" i="32"/>
  <c r="AQ118" i="32" s="1"/>
  <c r="AO46" i="32"/>
  <c r="AO54" i="32"/>
  <c r="AO142" i="32" s="1"/>
  <c r="M60" i="32"/>
  <c r="AO57" i="32"/>
  <c r="AO138" i="32" s="1"/>
  <c r="Q60" i="32"/>
  <c r="AS57" i="32"/>
  <c r="AS138" i="32" s="1"/>
  <c r="AP57" i="32"/>
  <c r="AP138" i="32" s="1"/>
  <c r="M75" i="32"/>
  <c r="M78" i="32" s="1"/>
  <c r="M83" i="32" s="1"/>
  <c r="M87" i="32" s="1"/>
  <c r="M92" i="32" s="1"/>
  <c r="AS71" i="32"/>
  <c r="AS72" i="32"/>
  <c r="AQ32" i="32"/>
  <c r="AO59" i="32"/>
  <c r="AO128" i="32" s="1"/>
  <c r="AO11" i="32"/>
  <c r="AS11" i="32"/>
  <c r="AQ71" i="32"/>
  <c r="AN14" i="32"/>
  <c r="AN110" i="32" s="1"/>
  <c r="AN112" i="32" s="1"/>
  <c r="AN109" i="32" s="1"/>
  <c r="AN99" i="32" s="1"/>
  <c r="AR14" i="32"/>
  <c r="AR110" i="32" s="1"/>
  <c r="AR112" i="32" s="1"/>
  <c r="AR109" i="32" s="1"/>
  <c r="AR99" i="32" s="1"/>
  <c r="AG32" i="32"/>
  <c r="AK32" i="32"/>
  <c r="AO32" i="32"/>
  <c r="AS32" i="32"/>
  <c r="AP36" i="32"/>
  <c r="AP125" i="32" s="1"/>
  <c r="AR37" i="32"/>
  <c r="AR126" i="32" s="1"/>
  <c r="AR38" i="32"/>
  <c r="AR132" i="32" s="1"/>
  <c r="AO44" i="32"/>
  <c r="AO120" i="32" s="1"/>
  <c r="AS44" i="32"/>
  <c r="AS120" i="32" s="1"/>
  <c r="AQ45" i="32"/>
  <c r="AO52" i="32"/>
  <c r="AO141" i="32" s="1"/>
  <c r="AS52" i="32"/>
  <c r="AS141" i="32" s="1"/>
  <c r="AR58" i="32"/>
  <c r="AO58" i="32"/>
  <c r="AO39" i="32"/>
  <c r="AP64" i="32"/>
  <c r="AP137" i="32" s="1"/>
  <c r="AQ64" i="32"/>
  <c r="AQ137" i="32" s="1"/>
  <c r="AO71" i="32"/>
  <c r="AO85" i="32"/>
  <c r="AM32" i="32"/>
  <c r="AP11" i="32"/>
  <c r="AN71" i="32"/>
  <c r="AR71" i="32"/>
  <c r="AO14" i="32"/>
  <c r="AO110" i="32" s="1"/>
  <c r="AO112" i="32" s="1"/>
  <c r="AO109" i="32" s="1"/>
  <c r="AO99" i="32" s="1"/>
  <c r="AS14" i="32"/>
  <c r="AS110" i="32" s="1"/>
  <c r="AS112" i="32" s="1"/>
  <c r="AS109" i="32" s="1"/>
  <c r="AS99" i="32" s="1"/>
  <c r="AO37" i="32"/>
  <c r="AO126" i="32" s="1"/>
  <c r="AS37" i="32"/>
  <c r="AS126" i="32" s="1"/>
  <c r="AO38" i="32"/>
  <c r="AO132" i="32" s="1"/>
  <c r="AS38" i="32"/>
  <c r="AS132" i="32" s="1"/>
  <c r="AR45" i="32"/>
  <c r="AP52" i="32"/>
  <c r="AP141" i="32" s="1"/>
  <c r="AP143" i="32" s="1"/>
  <c r="AR54" i="32"/>
  <c r="AR142" i="32" s="1"/>
  <c r="AS54" i="32"/>
  <c r="AS142" i="32" s="1"/>
  <c r="AS58" i="32"/>
  <c r="AS39" i="32"/>
  <c r="O60" i="32"/>
  <c r="AP62" i="32"/>
  <c r="AP121" i="32" s="1"/>
  <c r="N65" i="32"/>
  <c r="O75" i="32"/>
  <c r="O78" i="32" s="1"/>
  <c r="O83" i="32" s="1"/>
  <c r="O87" i="32" s="1"/>
  <c r="O92" i="32" s="1"/>
  <c r="AR42" i="32"/>
  <c r="AR119" i="32" s="1"/>
  <c r="AP43" i="32"/>
  <c r="AP118" i="32" s="1"/>
  <c r="AR44" i="32"/>
  <c r="AR120" i="32" s="1"/>
  <c r="AQ46" i="32"/>
  <c r="AQ54" i="32"/>
  <c r="AQ142" i="32" s="1"/>
  <c r="AR57" i="32"/>
  <c r="AR138" i="32" s="1"/>
  <c r="AQ58" i="32"/>
  <c r="AQ127" i="32" s="1"/>
  <c r="AQ59" i="32"/>
  <c r="AQ128" i="32" s="1"/>
  <c r="P60" i="32"/>
  <c r="AR62" i="32"/>
  <c r="AR121" i="32" s="1"/>
  <c r="AO64" i="32"/>
  <c r="AO137" i="32" s="1"/>
  <c r="AR59" i="32"/>
  <c r="AR128" i="32" s="1"/>
  <c r="AO62" i="32"/>
  <c r="AO121" i="32" s="1"/>
  <c r="AS62" i="32"/>
  <c r="AS121" i="32" s="1"/>
  <c r="AQ63" i="32"/>
  <c r="AQ122" i="32" s="1"/>
  <c r="O65" i="32"/>
  <c r="N93" i="55"/>
  <c r="G74" i="32"/>
  <c r="AP40" i="32"/>
  <c r="AP49" i="32"/>
  <c r="N75" i="32"/>
  <c r="AP9" i="32"/>
  <c r="AP10" i="32" s="1"/>
  <c r="AS68" i="32"/>
  <c r="AQ9" i="32"/>
  <c r="AQ10" i="32" s="1"/>
  <c r="AS40" i="32"/>
  <c r="AS49" i="32"/>
  <c r="Q69" i="32"/>
  <c r="AO40" i="32"/>
  <c r="AO49" i="32"/>
  <c r="AR9" i="32"/>
  <c r="AR10" i="32" s="1"/>
  <c r="P69" i="32"/>
  <c r="AO68" i="32"/>
  <c r="N69" i="32"/>
  <c r="AP68" i="32"/>
  <c r="M69" i="32"/>
  <c r="AR20" i="32"/>
  <c r="AO25" i="32"/>
  <c r="AN9" i="32"/>
  <c r="AN10" i="32" s="1"/>
  <c r="O69" i="32"/>
  <c r="AR68" i="32"/>
  <c r="AS9" i="32"/>
  <c r="AS10" i="32" s="1"/>
  <c r="AQ68" i="32"/>
  <c r="AO9" i="32"/>
  <c r="AO10" i="32" s="1"/>
  <c r="P75" i="32"/>
  <c r="P78" i="32" s="1"/>
  <c r="L75" i="32"/>
  <c r="L78" i="32" s="1"/>
  <c r="L83" i="32" s="1"/>
  <c r="AR40" i="32"/>
  <c r="AR39" i="32"/>
  <c r="AR127" i="32" s="1"/>
  <c r="AG72" i="32"/>
  <c r="AR49" i="32"/>
  <c r="Q130" i="57" l="1"/>
  <c r="Q140" i="57"/>
  <c r="Q145" i="57" s="1"/>
  <c r="F144" i="57"/>
  <c r="R124" i="57"/>
  <c r="R130" i="57"/>
  <c r="R145" i="57"/>
  <c r="H57" i="75"/>
  <c r="H58" i="75" s="1"/>
  <c r="X25" i="80" s="1"/>
  <c r="G144" i="57"/>
  <c r="D76" i="57"/>
  <c r="D79" i="57" s="1"/>
  <c r="F78" i="75"/>
  <c r="O101" i="57"/>
  <c r="E77" i="75"/>
  <c r="G78" i="75"/>
  <c r="O144" i="57"/>
  <c r="Q134" i="57"/>
  <c r="M130" i="57"/>
  <c r="M140" i="57"/>
  <c r="P144" i="57"/>
  <c r="P145" i="57" s="1"/>
  <c r="D11" i="57"/>
  <c r="D16" i="57" s="1"/>
  <c r="D18" i="57" s="1"/>
  <c r="D21" i="57" s="1"/>
  <c r="E61" i="57"/>
  <c r="P101" i="57"/>
  <c r="N130" i="57"/>
  <c r="N140" i="57"/>
  <c r="N145" i="57" s="1"/>
  <c r="E24" i="75"/>
  <c r="J78" i="75"/>
  <c r="O145" i="57"/>
  <c r="K78" i="75"/>
  <c r="Q101" i="57"/>
  <c r="E27" i="75"/>
  <c r="J77" i="75"/>
  <c r="Q134" i="56"/>
  <c r="Q144" i="56"/>
  <c r="H144" i="56"/>
  <c r="D16" i="56"/>
  <c r="D18" i="56" s="1"/>
  <c r="O130" i="56"/>
  <c r="R140" i="56"/>
  <c r="J128" i="56"/>
  <c r="E77" i="73"/>
  <c r="F78" i="73"/>
  <c r="P124" i="56"/>
  <c r="G78" i="73"/>
  <c r="K76" i="55"/>
  <c r="K79" i="55" s="1"/>
  <c r="J77" i="72"/>
  <c r="I78" i="72"/>
  <c r="P144" i="55"/>
  <c r="O144" i="55"/>
  <c r="O145" i="55" s="1"/>
  <c r="N134" i="55"/>
  <c r="O124" i="55"/>
  <c r="H57" i="72"/>
  <c r="H58" i="72" s="1"/>
  <c r="N25" i="80" s="1"/>
  <c r="G77" i="72"/>
  <c r="Q101" i="55"/>
  <c r="I25" i="72"/>
  <c r="I28" i="72"/>
  <c r="Q144" i="55"/>
  <c r="O140" i="55"/>
  <c r="M140" i="55"/>
  <c r="M145" i="55" s="1"/>
  <c r="J27" i="71"/>
  <c r="C105" i="54"/>
  <c r="C102" i="54" s="1"/>
  <c r="O140" i="54"/>
  <c r="N130" i="54"/>
  <c r="N140" i="54"/>
  <c r="N145" i="54" s="1"/>
  <c r="Q144" i="54"/>
  <c r="F28" i="71"/>
  <c r="Q124" i="54"/>
  <c r="AS143" i="32"/>
  <c r="AO143" i="32"/>
  <c r="AQ143" i="32"/>
  <c r="AP139" i="32"/>
  <c r="AR143" i="32"/>
  <c r="AI129" i="32"/>
  <c r="AG117" i="32"/>
  <c r="AG131" i="32" s="1"/>
  <c r="C27" i="74"/>
  <c r="J78" i="73"/>
  <c r="K78" i="73"/>
  <c r="G113" i="56"/>
  <c r="G110" i="56" s="1"/>
  <c r="G100" i="56" s="1"/>
  <c r="H105" i="56"/>
  <c r="H102" i="56" s="1"/>
  <c r="H77" i="73"/>
  <c r="I78" i="73"/>
  <c r="K77" i="73"/>
  <c r="E78" i="73"/>
  <c r="L113" i="54"/>
  <c r="L110" i="54" s="1"/>
  <c r="L100" i="54" s="1"/>
  <c r="I77" i="71"/>
  <c r="I79" i="30"/>
  <c r="H79" i="30"/>
  <c r="AP65" i="32"/>
  <c r="C60" i="74"/>
  <c r="C86" i="74"/>
  <c r="E107" i="57"/>
  <c r="J122" i="57"/>
  <c r="J59" i="75" s="1"/>
  <c r="J60" i="75" s="1"/>
  <c r="Z26" i="80" s="1"/>
  <c r="H77" i="75"/>
  <c r="F59" i="75"/>
  <c r="F60" i="75" s="1"/>
  <c r="F129" i="57"/>
  <c r="I23" i="75"/>
  <c r="I33" i="75"/>
  <c r="I32" i="75"/>
  <c r="I44" i="75" s="1"/>
  <c r="Y18" i="80" s="1"/>
  <c r="K24" i="75"/>
  <c r="F27" i="75"/>
  <c r="H25" i="75"/>
  <c r="J111" i="57"/>
  <c r="J113" i="57" s="1"/>
  <c r="J110" i="57" s="1"/>
  <c r="J100" i="57" s="1"/>
  <c r="J28" i="75"/>
  <c r="E29" i="75"/>
  <c r="K29" i="75"/>
  <c r="G57" i="75"/>
  <c r="G58" i="75" s="1"/>
  <c r="W25" i="80" s="1"/>
  <c r="H119" i="57"/>
  <c r="C66" i="57"/>
  <c r="K76" i="57"/>
  <c r="K77" i="75"/>
  <c r="J24" i="75"/>
  <c r="C16" i="57"/>
  <c r="C18" i="57" s="1"/>
  <c r="C98" i="57" s="1"/>
  <c r="G103" i="57"/>
  <c r="G105" i="57" s="1"/>
  <c r="G102" i="57" s="1"/>
  <c r="E127" i="57"/>
  <c r="G119" i="57"/>
  <c r="J23" i="75"/>
  <c r="J33" i="75"/>
  <c r="J32" i="75"/>
  <c r="J44" i="75" s="1"/>
  <c r="Z18" i="80" s="1"/>
  <c r="F24" i="75"/>
  <c r="G27" i="75"/>
  <c r="I25" i="75"/>
  <c r="E28" i="75"/>
  <c r="K28" i="75"/>
  <c r="F29" i="75"/>
  <c r="F77" i="75"/>
  <c r="H23" i="75"/>
  <c r="H32" i="75"/>
  <c r="H44" i="75" s="1"/>
  <c r="X18" i="80" s="1"/>
  <c r="H33" i="75"/>
  <c r="J29" i="75"/>
  <c r="E32" i="75"/>
  <c r="E44" i="75" s="1"/>
  <c r="E23" i="75"/>
  <c r="E33" i="75"/>
  <c r="K11" i="57"/>
  <c r="K32" i="75"/>
  <c r="K44" i="75" s="1"/>
  <c r="AA18" i="80" s="1"/>
  <c r="K23" i="75"/>
  <c r="K33" i="75"/>
  <c r="G24" i="75"/>
  <c r="H27" i="75"/>
  <c r="J103" i="57"/>
  <c r="J105" i="57" s="1"/>
  <c r="J102" i="57" s="1"/>
  <c r="J25" i="75"/>
  <c r="F28" i="75"/>
  <c r="G29" i="75"/>
  <c r="D119" i="57"/>
  <c r="G77" i="75"/>
  <c r="I111" i="57"/>
  <c r="I113" i="57" s="1"/>
  <c r="I110" i="57" s="1"/>
  <c r="I100" i="57" s="1"/>
  <c r="J76" i="57"/>
  <c r="F23" i="75"/>
  <c r="F32" i="75"/>
  <c r="F44" i="75" s="1"/>
  <c r="F33" i="75"/>
  <c r="H24" i="75"/>
  <c r="I27" i="75"/>
  <c r="E25" i="75"/>
  <c r="K25" i="75"/>
  <c r="G28" i="75"/>
  <c r="H29" i="75"/>
  <c r="I41" i="57"/>
  <c r="E119" i="57"/>
  <c r="F76" i="57"/>
  <c r="F79" i="57" s="1"/>
  <c r="K27" i="75"/>
  <c r="G59" i="75"/>
  <c r="G60" i="75" s="1"/>
  <c r="W26" i="80" s="1"/>
  <c r="G11" i="57"/>
  <c r="G4" i="57" s="1"/>
  <c r="G32" i="75"/>
  <c r="G44" i="75" s="1"/>
  <c r="W18" i="80" s="1"/>
  <c r="G23" i="75"/>
  <c r="G33" i="75"/>
  <c r="I24" i="75"/>
  <c r="J107" i="57"/>
  <c r="J109" i="57" s="1"/>
  <c r="J106" i="57" s="1"/>
  <c r="J99" i="57" s="1"/>
  <c r="J27" i="75"/>
  <c r="F103" i="57"/>
  <c r="F25" i="75"/>
  <c r="H28" i="75"/>
  <c r="I29" i="75"/>
  <c r="K57" i="75"/>
  <c r="K58" i="75" s="1"/>
  <c r="AA25" i="80" s="1"/>
  <c r="C76" i="57"/>
  <c r="I77" i="75"/>
  <c r="E78" i="75"/>
  <c r="H120" i="56"/>
  <c r="E143" i="56"/>
  <c r="I120" i="56"/>
  <c r="E27" i="73"/>
  <c r="K27" i="73"/>
  <c r="C11" i="56"/>
  <c r="C16" i="56" s="1"/>
  <c r="C18" i="56" s="1"/>
  <c r="E29" i="73"/>
  <c r="D76" i="56"/>
  <c r="D79" i="56" s="1"/>
  <c r="D84" i="56" s="1"/>
  <c r="D88" i="56" s="1"/>
  <c r="D93" i="56" s="1"/>
  <c r="G77" i="73"/>
  <c r="C128" i="56"/>
  <c r="C130" i="56" s="1"/>
  <c r="E120" i="56"/>
  <c r="F57" i="73" s="1"/>
  <c r="F58" i="73" s="1"/>
  <c r="G129" i="56"/>
  <c r="D138" i="56"/>
  <c r="E24" i="73"/>
  <c r="K24" i="73"/>
  <c r="J143" i="56"/>
  <c r="E23" i="73"/>
  <c r="E33" i="73"/>
  <c r="E32" i="73"/>
  <c r="E44" i="73" s="1"/>
  <c r="K23" i="73"/>
  <c r="K33" i="73"/>
  <c r="K32" i="73"/>
  <c r="K44" i="73" s="1"/>
  <c r="V18" i="80" s="1"/>
  <c r="G24" i="73"/>
  <c r="J27" i="73"/>
  <c r="E103" i="56"/>
  <c r="E105" i="56" s="1"/>
  <c r="E102" i="56" s="1"/>
  <c r="E25" i="73"/>
  <c r="K103" i="56"/>
  <c r="K105" i="56" s="1"/>
  <c r="K102" i="56" s="1"/>
  <c r="K25" i="73"/>
  <c r="G28" i="73"/>
  <c r="H29" i="73"/>
  <c r="J77" i="73"/>
  <c r="F32" i="73"/>
  <c r="F44" i="73" s="1"/>
  <c r="F23" i="73"/>
  <c r="F33" i="73"/>
  <c r="H24" i="73"/>
  <c r="F25" i="73"/>
  <c r="H111" i="56"/>
  <c r="H113" i="56" s="1"/>
  <c r="H110" i="56" s="1"/>
  <c r="H100" i="56" s="1"/>
  <c r="H28" i="73"/>
  <c r="I29" i="73"/>
  <c r="D144" i="56"/>
  <c r="H78" i="73"/>
  <c r="G133" i="56"/>
  <c r="J57" i="73"/>
  <c r="J58" i="73" s="1"/>
  <c r="U25" i="80" s="1"/>
  <c r="E122" i="56"/>
  <c r="E59" i="73" s="1"/>
  <c r="E60" i="73" s="1"/>
  <c r="G23" i="73"/>
  <c r="G33" i="73"/>
  <c r="G32" i="73"/>
  <c r="G44" i="73" s="1"/>
  <c r="R18" i="80" s="1"/>
  <c r="I24" i="73"/>
  <c r="F27" i="73"/>
  <c r="G103" i="56"/>
  <c r="G25" i="73"/>
  <c r="I28" i="73"/>
  <c r="J29" i="73"/>
  <c r="H119" i="56"/>
  <c r="F77" i="73"/>
  <c r="H23" i="73"/>
  <c r="H33" i="73"/>
  <c r="H32" i="73"/>
  <c r="H44" i="73" s="1"/>
  <c r="S18" i="80" s="1"/>
  <c r="J24" i="73"/>
  <c r="G27" i="73"/>
  <c r="H25" i="73"/>
  <c r="J28" i="73"/>
  <c r="K29" i="73"/>
  <c r="E107" i="56"/>
  <c r="E109" i="56" s="1"/>
  <c r="E106" i="56" s="1"/>
  <c r="E99" i="56" s="1"/>
  <c r="F103" i="56"/>
  <c r="F105" i="56" s="1"/>
  <c r="F102" i="56" s="1"/>
  <c r="J142" i="56"/>
  <c r="I23" i="73"/>
  <c r="I33" i="73"/>
  <c r="I32" i="73"/>
  <c r="I44" i="73" s="1"/>
  <c r="T18" i="80" s="1"/>
  <c r="H107" i="56"/>
  <c r="H27" i="73"/>
  <c r="I25" i="73"/>
  <c r="E28" i="73"/>
  <c r="K111" i="56"/>
  <c r="K113" i="56" s="1"/>
  <c r="K110" i="56" s="1"/>
  <c r="K100" i="56" s="1"/>
  <c r="K28" i="73"/>
  <c r="F29" i="73"/>
  <c r="D119" i="56"/>
  <c r="J119" i="56"/>
  <c r="G118" i="56"/>
  <c r="J23" i="73"/>
  <c r="J33" i="73"/>
  <c r="J32" i="73"/>
  <c r="J44" i="73" s="1"/>
  <c r="U18" i="80" s="1"/>
  <c r="F24" i="73"/>
  <c r="I107" i="56"/>
  <c r="I27" i="73"/>
  <c r="J103" i="56"/>
  <c r="J105" i="56" s="1"/>
  <c r="J102" i="56" s="1"/>
  <c r="J25" i="73"/>
  <c r="F111" i="56"/>
  <c r="F113" i="56" s="1"/>
  <c r="F110" i="56" s="1"/>
  <c r="F100" i="56" s="1"/>
  <c r="F28" i="73"/>
  <c r="G29" i="73"/>
  <c r="I77" i="73"/>
  <c r="F77" i="72"/>
  <c r="F29" i="72"/>
  <c r="H25" i="72"/>
  <c r="K77" i="72"/>
  <c r="G23" i="72"/>
  <c r="G33" i="72"/>
  <c r="G32" i="72"/>
  <c r="G44" i="72" s="1"/>
  <c r="M18" i="80" s="1"/>
  <c r="J29" i="72"/>
  <c r="F25" i="72"/>
  <c r="G27" i="72"/>
  <c r="I77" i="72"/>
  <c r="K78" i="72"/>
  <c r="H32" i="72"/>
  <c r="H44" i="72" s="1"/>
  <c r="N18" i="80" s="1"/>
  <c r="H23" i="72"/>
  <c r="H33" i="72"/>
  <c r="I29" i="72"/>
  <c r="K25" i="72"/>
  <c r="E103" i="55"/>
  <c r="E25" i="72"/>
  <c r="G28" i="72"/>
  <c r="D119" i="55"/>
  <c r="E119" i="55"/>
  <c r="F27" i="72"/>
  <c r="I23" i="72"/>
  <c r="I33" i="72"/>
  <c r="I32" i="72"/>
  <c r="I44" i="72" s="1"/>
  <c r="O18" i="80" s="1"/>
  <c r="H29" i="72"/>
  <c r="J103" i="55"/>
  <c r="J105" i="55" s="1"/>
  <c r="J102" i="55" s="1"/>
  <c r="J25" i="72"/>
  <c r="F111" i="55"/>
  <c r="F113" i="55" s="1"/>
  <c r="F110" i="55" s="1"/>
  <c r="F100" i="55" s="1"/>
  <c r="F28" i="72"/>
  <c r="J119" i="55"/>
  <c r="K27" i="72"/>
  <c r="E27" i="72"/>
  <c r="J33" i="72"/>
  <c r="J23" i="72"/>
  <c r="J32" i="72"/>
  <c r="J44" i="72" s="1"/>
  <c r="P18" i="80" s="1"/>
  <c r="G29" i="72"/>
  <c r="K28" i="72"/>
  <c r="E28" i="72"/>
  <c r="I119" i="55"/>
  <c r="J27" i="72"/>
  <c r="E33" i="72"/>
  <c r="E23" i="72"/>
  <c r="E32" i="72"/>
  <c r="E44" i="72" s="1"/>
  <c r="K33" i="72"/>
  <c r="K23" i="72"/>
  <c r="K32" i="72"/>
  <c r="K44" i="72" s="1"/>
  <c r="Q18" i="80" s="1"/>
  <c r="J111" i="55"/>
  <c r="J113" i="55" s="1"/>
  <c r="J110" i="55" s="1"/>
  <c r="J100" i="55" s="1"/>
  <c r="J28" i="72"/>
  <c r="I27" i="72"/>
  <c r="G78" i="72"/>
  <c r="F23" i="72"/>
  <c r="F32" i="72"/>
  <c r="F44" i="72" s="1"/>
  <c r="F33" i="72"/>
  <c r="K29" i="72"/>
  <c r="E29" i="72"/>
  <c r="G103" i="55"/>
  <c r="G105" i="55" s="1"/>
  <c r="G102" i="55" s="1"/>
  <c r="G25" i="72"/>
  <c r="H27" i="72"/>
  <c r="J127" i="32"/>
  <c r="AL39" i="32"/>
  <c r="AL127" i="32" s="1"/>
  <c r="AP106" i="32"/>
  <c r="AP108" i="32" s="1"/>
  <c r="AP105" i="32" s="1"/>
  <c r="AP98" i="32" s="1"/>
  <c r="G104" i="74"/>
  <c r="AL42" i="32"/>
  <c r="F119" i="32"/>
  <c r="AH42" i="32"/>
  <c r="AH119" i="32" s="1"/>
  <c r="I125" i="32"/>
  <c r="AK36" i="32"/>
  <c r="AK125" i="32" s="1"/>
  <c r="P139" i="32"/>
  <c r="H119" i="32"/>
  <c r="AJ42" i="32"/>
  <c r="H120" i="32"/>
  <c r="AJ44" i="32"/>
  <c r="AJ120" i="32" s="1"/>
  <c r="AL36" i="32"/>
  <c r="AL125" i="32" s="1"/>
  <c r="K120" i="32"/>
  <c r="AM44" i="32"/>
  <c r="AM120" i="32" s="1"/>
  <c r="H126" i="32"/>
  <c r="AJ37" i="32"/>
  <c r="AJ126" i="32" s="1"/>
  <c r="AH36" i="32"/>
  <c r="AH125" i="32" s="1"/>
  <c r="AH129" i="32" s="1"/>
  <c r="AK44" i="32"/>
  <c r="AK120" i="32" s="1"/>
  <c r="AG128" i="32"/>
  <c r="AR106" i="32"/>
  <c r="AR108" i="32" s="1"/>
  <c r="AR105" i="32" s="1"/>
  <c r="AR98" i="32" s="1"/>
  <c r="AR100" i="32" s="1"/>
  <c r="AR113" i="32" s="1"/>
  <c r="AI44" i="32"/>
  <c r="AI120" i="32" s="1"/>
  <c r="K126" i="32"/>
  <c r="AM37" i="32"/>
  <c r="AM126" i="32" s="1"/>
  <c r="H132" i="32"/>
  <c r="AJ38" i="32"/>
  <c r="AJ132" i="32" s="1"/>
  <c r="M139" i="32"/>
  <c r="AG13" i="32"/>
  <c r="AR60" i="32"/>
  <c r="AP127" i="32"/>
  <c r="AP129" i="32" s="1"/>
  <c r="AI71" i="32"/>
  <c r="D60" i="32"/>
  <c r="P133" i="32"/>
  <c r="AS106" i="32"/>
  <c r="AS108" i="32" s="1"/>
  <c r="AS105" i="32" s="1"/>
  <c r="AS98" i="32" s="1"/>
  <c r="G141" i="32"/>
  <c r="AJ141" i="32"/>
  <c r="I128" i="32"/>
  <c r="AL128" i="32"/>
  <c r="I75" i="32"/>
  <c r="K8" i="32"/>
  <c r="K27" i="30" s="1"/>
  <c r="H25" i="30"/>
  <c r="H125" i="32"/>
  <c r="J122" i="32"/>
  <c r="AM122" i="32"/>
  <c r="AN142" i="32"/>
  <c r="I9" i="32"/>
  <c r="AK9" i="32" s="1"/>
  <c r="K110" i="32"/>
  <c r="K112" i="32" s="1"/>
  <c r="K109" i="32" s="1"/>
  <c r="K99" i="32" s="1"/>
  <c r="C10" i="68"/>
  <c r="AN126" i="32"/>
  <c r="K25" i="30"/>
  <c r="AK71" i="32"/>
  <c r="C15" i="68"/>
  <c r="AG9" i="32"/>
  <c r="E75" i="32"/>
  <c r="E78" i="32" s="1"/>
  <c r="E83" i="32" s="1"/>
  <c r="E87" i="32" s="1"/>
  <c r="E92" i="32" s="1"/>
  <c r="K125" i="32"/>
  <c r="AN125" i="32"/>
  <c r="H122" i="32"/>
  <c r="AK122" i="32"/>
  <c r="J132" i="32"/>
  <c r="F132" i="32"/>
  <c r="F137" i="32"/>
  <c r="AI137" i="32"/>
  <c r="K138" i="32"/>
  <c r="I137" i="32"/>
  <c r="AL137" i="32"/>
  <c r="H142" i="32"/>
  <c r="AK142" i="32"/>
  <c r="AK143" i="32" s="1"/>
  <c r="I132" i="32"/>
  <c r="H127" i="32"/>
  <c r="G46" i="32"/>
  <c r="AI46" i="32" s="1"/>
  <c r="F128" i="32"/>
  <c r="AI128" i="32"/>
  <c r="J126" i="32"/>
  <c r="F65" i="32"/>
  <c r="D119" i="32"/>
  <c r="E58" i="30" s="1"/>
  <c r="E59" i="30" s="1"/>
  <c r="D138" i="32"/>
  <c r="D139" i="32" s="1"/>
  <c r="AG138" i="32"/>
  <c r="F126" i="32"/>
  <c r="I119" i="32"/>
  <c r="I126" i="32"/>
  <c r="E121" i="32"/>
  <c r="E60" i="30" s="1"/>
  <c r="E61" i="30" s="1"/>
  <c r="AH121" i="32"/>
  <c r="D142" i="32"/>
  <c r="AG142" i="32"/>
  <c r="AG143" i="32" s="1"/>
  <c r="J41" i="30"/>
  <c r="AL27" i="32"/>
  <c r="F38" i="74" s="1"/>
  <c r="K78" i="30"/>
  <c r="J9" i="32"/>
  <c r="AL9" i="32" s="1"/>
  <c r="H9" i="32"/>
  <c r="AJ9" i="32" s="1"/>
  <c r="H44" i="30"/>
  <c r="D18" i="80" s="1"/>
  <c r="AK18" i="80" s="1"/>
  <c r="AI27" i="32"/>
  <c r="C38" i="74" s="1"/>
  <c r="G41" i="30"/>
  <c r="AG42" i="32"/>
  <c r="AG119" i="32" s="1"/>
  <c r="AJ24" i="32"/>
  <c r="D32" i="74" s="1"/>
  <c r="F9" i="32"/>
  <c r="AH9" i="32" s="1"/>
  <c r="G8" i="32"/>
  <c r="F8" i="32"/>
  <c r="F27" i="30" s="1"/>
  <c r="AK27" i="32"/>
  <c r="E38" i="74" s="1"/>
  <c r="I41" i="30"/>
  <c r="H29" i="30"/>
  <c r="H78" i="30"/>
  <c r="H27" i="30"/>
  <c r="J60" i="32"/>
  <c r="J78" i="30"/>
  <c r="E46" i="32"/>
  <c r="AG46" i="32" s="1"/>
  <c r="AG121" i="32"/>
  <c r="AM128" i="32"/>
  <c r="AL14" i="32"/>
  <c r="G9" i="32"/>
  <c r="AI9" i="32" s="1"/>
  <c r="I8" i="32"/>
  <c r="I117" i="32" s="1"/>
  <c r="I131" i="32" s="1"/>
  <c r="K41" i="30"/>
  <c r="AM27" i="32"/>
  <c r="G38" i="74" s="1"/>
  <c r="F78" i="30"/>
  <c r="AL71" i="32"/>
  <c r="AJ72" i="32"/>
  <c r="AJ25" i="32"/>
  <c r="D36" i="74" s="1"/>
  <c r="AH71" i="32"/>
  <c r="H41" i="30"/>
  <c r="AJ27" i="32"/>
  <c r="D38" i="74" s="1"/>
  <c r="D53" i="32"/>
  <c r="AH25" i="32"/>
  <c r="J44" i="30"/>
  <c r="F18" i="80" s="1"/>
  <c r="AO18" i="80" s="1"/>
  <c r="AG27" i="32"/>
  <c r="E41" i="30"/>
  <c r="AJ110" i="32"/>
  <c r="AJ112" i="32" s="1"/>
  <c r="AJ109" i="32" s="1"/>
  <c r="AJ99" i="32" s="1"/>
  <c r="K9" i="32"/>
  <c r="AM9" i="32" s="1"/>
  <c r="E8" i="32"/>
  <c r="AH27" i="32"/>
  <c r="F41" i="30"/>
  <c r="E78" i="30"/>
  <c r="K53" i="32"/>
  <c r="G81" i="54"/>
  <c r="G13" i="54"/>
  <c r="G25" i="71" s="1"/>
  <c r="K17" i="54"/>
  <c r="K73" i="54"/>
  <c r="K77" i="71" s="1"/>
  <c r="H90" i="54"/>
  <c r="I72" i="54"/>
  <c r="D44" i="54"/>
  <c r="D119" i="54" s="1"/>
  <c r="G46" i="54"/>
  <c r="F53" i="54"/>
  <c r="F142" i="54" s="1"/>
  <c r="F86" i="54"/>
  <c r="F78" i="71" s="1"/>
  <c r="L14" i="54"/>
  <c r="L81" i="54"/>
  <c r="H15" i="54"/>
  <c r="H28" i="71" s="1"/>
  <c r="H86" i="54"/>
  <c r="H78" i="71" s="1"/>
  <c r="I13" i="54"/>
  <c r="H17" i="54"/>
  <c r="H73" i="54"/>
  <c r="I83" i="54"/>
  <c r="G58" i="54"/>
  <c r="G139" i="54" s="1"/>
  <c r="G38" i="54"/>
  <c r="K15" i="54"/>
  <c r="K111" i="54" s="1"/>
  <c r="K113" i="54" s="1"/>
  <c r="K110" i="54" s="1"/>
  <c r="K100" i="54" s="1"/>
  <c r="J27" i="54"/>
  <c r="G77" i="71"/>
  <c r="H39" i="54"/>
  <c r="H133" i="54" s="1"/>
  <c r="C45" i="54"/>
  <c r="C121" i="54" s="1"/>
  <c r="D53" i="54"/>
  <c r="D142" i="54" s="1"/>
  <c r="D60" i="54"/>
  <c r="D129" i="54" s="1"/>
  <c r="J63" i="54"/>
  <c r="J122" i="54" s="1"/>
  <c r="K59" i="71" s="1"/>
  <c r="K60" i="71" s="1"/>
  <c r="L26" i="80" s="1"/>
  <c r="I74" i="54"/>
  <c r="J75" i="54"/>
  <c r="I46" i="54"/>
  <c r="J46" i="54"/>
  <c r="I53" i="54"/>
  <c r="J53" i="54"/>
  <c r="J142" i="54" s="1"/>
  <c r="I38" i="54"/>
  <c r="J45" i="54"/>
  <c r="J121" i="54" s="1"/>
  <c r="F65" i="54"/>
  <c r="H64" i="54"/>
  <c r="L37" i="54"/>
  <c r="L126" i="54" s="1"/>
  <c r="D37" i="54"/>
  <c r="D126" i="54" s="1"/>
  <c r="F25" i="71"/>
  <c r="F103" i="54"/>
  <c r="F105" i="54" s="1"/>
  <c r="F102" i="54" s="1"/>
  <c r="E72" i="54"/>
  <c r="F39" i="54"/>
  <c r="F133" i="54" s="1"/>
  <c r="I25" i="54"/>
  <c r="C87" i="54"/>
  <c r="L83" i="54"/>
  <c r="E65" i="54"/>
  <c r="F73" i="54"/>
  <c r="G29" i="71"/>
  <c r="I78" i="71"/>
  <c r="E25" i="71"/>
  <c r="K41" i="71"/>
  <c r="K28" i="54"/>
  <c r="F28" i="54"/>
  <c r="F41" i="71"/>
  <c r="K32" i="71"/>
  <c r="K44" i="71" s="1"/>
  <c r="L18" i="80" s="1"/>
  <c r="G32" i="71"/>
  <c r="G44" i="71" s="1"/>
  <c r="H18" i="80" s="1"/>
  <c r="K33" i="71"/>
  <c r="G33" i="71"/>
  <c r="H28" i="54"/>
  <c r="H41" i="71"/>
  <c r="I119" i="54"/>
  <c r="K27" i="71"/>
  <c r="H29" i="71"/>
  <c r="I23" i="71"/>
  <c r="K25" i="71"/>
  <c r="I41" i="71"/>
  <c r="I28" i="54"/>
  <c r="E27" i="71"/>
  <c r="E28" i="71"/>
  <c r="I29" i="71"/>
  <c r="J29" i="71"/>
  <c r="I111" i="54"/>
  <c r="I113" i="54" s="1"/>
  <c r="I110" i="54" s="1"/>
  <c r="I100" i="54" s="1"/>
  <c r="I28" i="71"/>
  <c r="H23" i="71"/>
  <c r="H103" i="54"/>
  <c r="H105" i="54" s="1"/>
  <c r="H102" i="54" s="1"/>
  <c r="H25" i="71"/>
  <c r="F27" i="71"/>
  <c r="E29" i="71"/>
  <c r="J32" i="71"/>
  <c r="J44" i="71" s="1"/>
  <c r="K18" i="80" s="1"/>
  <c r="AN18" i="80" s="1"/>
  <c r="F32" i="71"/>
  <c r="F44" i="71" s="1"/>
  <c r="J33" i="71"/>
  <c r="F33" i="71"/>
  <c r="G111" i="54"/>
  <c r="G113" i="54" s="1"/>
  <c r="G110" i="54" s="1"/>
  <c r="G100" i="54" s="1"/>
  <c r="G28" i="71"/>
  <c r="K96" i="54"/>
  <c r="K23" i="71"/>
  <c r="C10" i="54"/>
  <c r="C11" i="54" s="1"/>
  <c r="C16" i="54" s="1"/>
  <c r="C18" i="54" s="1"/>
  <c r="C25" i="54"/>
  <c r="E32" i="71"/>
  <c r="E44" i="71" s="1"/>
  <c r="I33" i="71"/>
  <c r="E33" i="71"/>
  <c r="G27" i="71"/>
  <c r="J23" i="71"/>
  <c r="F23" i="71"/>
  <c r="H27" i="71"/>
  <c r="F119" i="54"/>
  <c r="G28" i="54"/>
  <c r="G41" i="71"/>
  <c r="G23" i="71"/>
  <c r="J41" i="71"/>
  <c r="J28" i="54"/>
  <c r="E41" i="71"/>
  <c r="E28" i="54"/>
  <c r="I27" i="71"/>
  <c r="J28" i="71"/>
  <c r="K143" i="54"/>
  <c r="H32" i="71"/>
  <c r="H44" i="71" s="1"/>
  <c r="I18" i="80" s="1"/>
  <c r="H33" i="71"/>
  <c r="E23" i="71"/>
  <c r="G79" i="30"/>
  <c r="AK72" i="32"/>
  <c r="I78" i="30"/>
  <c r="G78" i="30"/>
  <c r="AL72" i="32"/>
  <c r="K79" i="30"/>
  <c r="AM86" i="32"/>
  <c r="AK82" i="32"/>
  <c r="AL74" i="32"/>
  <c r="F110" i="32"/>
  <c r="F112" i="32" s="1"/>
  <c r="F109" i="32" s="1"/>
  <c r="F99" i="32" s="1"/>
  <c r="AM137" i="32"/>
  <c r="AK137" i="32"/>
  <c r="AK139" i="32" s="1"/>
  <c r="AO139" i="32"/>
  <c r="AN120" i="32"/>
  <c r="AQ60" i="32"/>
  <c r="I46" i="32"/>
  <c r="AK46" i="32" s="1"/>
  <c r="E65" i="32"/>
  <c r="H110" i="32"/>
  <c r="H112" i="32" s="1"/>
  <c r="H109" i="32" s="1"/>
  <c r="H99" i="32" s="1"/>
  <c r="H28" i="30"/>
  <c r="I102" i="32"/>
  <c r="I104" i="32" s="1"/>
  <c r="I101" i="32" s="1"/>
  <c r="E25" i="30"/>
  <c r="AL11" i="32"/>
  <c r="J27" i="30"/>
  <c r="AM16" i="32"/>
  <c r="G41" i="74" s="1"/>
  <c r="AG122" i="32"/>
  <c r="AK73" i="32"/>
  <c r="AM89" i="32"/>
  <c r="J79" i="30"/>
  <c r="AG89" i="32"/>
  <c r="AK11" i="32"/>
  <c r="I27" i="30"/>
  <c r="J95" i="32"/>
  <c r="J23" i="30"/>
  <c r="E28" i="30"/>
  <c r="AM14" i="32"/>
  <c r="AL16" i="32"/>
  <c r="F41" i="74" s="1"/>
  <c r="J29" i="30"/>
  <c r="AG73" i="32"/>
  <c r="G102" i="32"/>
  <c r="G104" i="32" s="1"/>
  <c r="G101" i="32" s="1"/>
  <c r="AG11" i="32"/>
  <c r="E27" i="30"/>
  <c r="D118" i="32"/>
  <c r="G110" i="32"/>
  <c r="G112" i="32" s="1"/>
  <c r="G109" i="32" s="1"/>
  <c r="G99" i="32" s="1"/>
  <c r="AH16" i="32"/>
  <c r="J118" i="32"/>
  <c r="AJ73" i="32"/>
  <c r="AH73" i="32"/>
  <c r="AS117" i="32"/>
  <c r="AS131" i="32" s="1"/>
  <c r="AS133" i="32" s="1"/>
  <c r="F58" i="30"/>
  <c r="F59" i="30" s="1"/>
  <c r="E23" i="30"/>
  <c r="AL73" i="32"/>
  <c r="AM11" i="32"/>
  <c r="J102" i="32"/>
  <c r="J104" i="32" s="1"/>
  <c r="J101" i="32" s="1"/>
  <c r="J25" i="30"/>
  <c r="AN85" i="32"/>
  <c r="AJ71" i="32"/>
  <c r="AO60" i="32"/>
  <c r="H23" i="30"/>
  <c r="J28" i="30"/>
  <c r="AH89" i="32"/>
  <c r="E79" i="30"/>
  <c r="AH128" i="32"/>
  <c r="AP144" i="32"/>
  <c r="H60" i="32"/>
  <c r="L133" i="32"/>
  <c r="AS85" i="32"/>
  <c r="AO117" i="32"/>
  <c r="AG38" i="32"/>
  <c r="AG132" i="32" s="1"/>
  <c r="AP60" i="32"/>
  <c r="AQ106" i="32"/>
  <c r="AQ108" i="32" s="1"/>
  <c r="AQ105" i="32" s="1"/>
  <c r="AQ98" i="32" s="1"/>
  <c r="AH82" i="32"/>
  <c r="O129" i="32"/>
  <c r="O139" i="32"/>
  <c r="AO106" i="32"/>
  <c r="AO108" i="32" s="1"/>
  <c r="AO105" i="32" s="1"/>
  <c r="AO98" i="32" s="1"/>
  <c r="AJ74" i="32"/>
  <c r="AI86" i="32"/>
  <c r="AJ86" i="32"/>
  <c r="AR86" i="32"/>
  <c r="AM71" i="32"/>
  <c r="AH137" i="32"/>
  <c r="AH139" i="32" s="1"/>
  <c r="AN141" i="32"/>
  <c r="AS65" i="32"/>
  <c r="AM82" i="32"/>
  <c r="E104" i="74"/>
  <c r="J112" i="32"/>
  <c r="J109" i="32" s="1"/>
  <c r="J99" i="32" s="1"/>
  <c r="G103" i="74"/>
  <c r="AI14" i="32"/>
  <c r="AR15" i="32"/>
  <c r="AO72" i="32"/>
  <c r="AM142" i="32"/>
  <c r="AM143" i="32" s="1"/>
  <c r="L144" i="56"/>
  <c r="J144" i="57"/>
  <c r="K144" i="57"/>
  <c r="K66" i="57"/>
  <c r="I47" i="57"/>
  <c r="I119" i="57"/>
  <c r="J121" i="57"/>
  <c r="E47" i="57"/>
  <c r="E139" i="57"/>
  <c r="E140" i="57" s="1"/>
  <c r="I76" i="57"/>
  <c r="I79" i="57" s="1"/>
  <c r="C122" i="57"/>
  <c r="K122" i="57"/>
  <c r="K59" i="75" s="1"/>
  <c r="K60" i="75" s="1"/>
  <c r="AA26" i="80" s="1"/>
  <c r="P114" i="57"/>
  <c r="P97" i="57"/>
  <c r="D98" i="57"/>
  <c r="D105" i="57"/>
  <c r="D102" i="57" s="1"/>
  <c r="I118" i="57"/>
  <c r="I96" i="57"/>
  <c r="K111" i="57"/>
  <c r="K113" i="57" s="1"/>
  <c r="K110" i="57" s="1"/>
  <c r="K100" i="57" s="1"/>
  <c r="I50" i="57"/>
  <c r="L105" i="57"/>
  <c r="L102" i="57" s="1"/>
  <c r="F118" i="57"/>
  <c r="F96" i="57"/>
  <c r="J118" i="57"/>
  <c r="J132" i="57" s="1"/>
  <c r="J134" i="57" s="1"/>
  <c r="J96" i="57"/>
  <c r="N118" i="57"/>
  <c r="N96" i="57"/>
  <c r="H11" i="57"/>
  <c r="L11" i="57"/>
  <c r="E126" i="57"/>
  <c r="I126" i="57"/>
  <c r="G133" i="57"/>
  <c r="K133" i="57"/>
  <c r="F119" i="57"/>
  <c r="J119" i="57"/>
  <c r="D122" i="57"/>
  <c r="E59" i="75" s="1"/>
  <c r="E60" i="75" s="1"/>
  <c r="D66" i="57"/>
  <c r="H122" i="57"/>
  <c r="I59" i="75" s="1"/>
  <c r="I60" i="75" s="1"/>
  <c r="Y26" i="80" s="1"/>
  <c r="H66" i="57"/>
  <c r="H67" i="75" s="1"/>
  <c r="L122" i="57"/>
  <c r="L66" i="57"/>
  <c r="E123" i="57"/>
  <c r="I123" i="57"/>
  <c r="F138" i="57"/>
  <c r="J138" i="57"/>
  <c r="H76" i="57"/>
  <c r="L76" i="57"/>
  <c r="M79" i="57"/>
  <c r="Q79" i="57"/>
  <c r="E118" i="57"/>
  <c r="E96" i="57"/>
  <c r="M118" i="57"/>
  <c r="M96" i="57"/>
  <c r="C118" i="57"/>
  <c r="C96" i="57"/>
  <c r="G118" i="57"/>
  <c r="G132" i="57" s="1"/>
  <c r="G96" i="57"/>
  <c r="K118" i="57"/>
  <c r="K132" i="57" s="1"/>
  <c r="K96" i="57"/>
  <c r="E11" i="57"/>
  <c r="I11" i="57"/>
  <c r="C107" i="57"/>
  <c r="C109" i="57" s="1"/>
  <c r="C106" i="57" s="1"/>
  <c r="C99" i="57" s="1"/>
  <c r="G107" i="57"/>
  <c r="G109" i="57" s="1"/>
  <c r="G106" i="57" s="1"/>
  <c r="G99" i="57" s="1"/>
  <c r="K107" i="57"/>
  <c r="K109" i="57" s="1"/>
  <c r="K106" i="57" s="1"/>
  <c r="K99" i="57" s="1"/>
  <c r="G16" i="57"/>
  <c r="G128" i="57"/>
  <c r="G130" i="57" s="1"/>
  <c r="K128" i="57"/>
  <c r="K130" i="57" s="1"/>
  <c r="D129" i="57"/>
  <c r="H129" i="57"/>
  <c r="G111" i="57"/>
  <c r="G113" i="57" s="1"/>
  <c r="G110" i="57" s="1"/>
  <c r="G100" i="57" s="1"/>
  <c r="D118" i="57"/>
  <c r="D96" i="57"/>
  <c r="H118" i="57"/>
  <c r="H96" i="57"/>
  <c r="L118" i="57"/>
  <c r="L96" i="57"/>
  <c r="F11" i="57"/>
  <c r="J11" i="57"/>
  <c r="D107" i="57"/>
  <c r="D109" i="57" s="1"/>
  <c r="D106" i="57" s="1"/>
  <c r="D99" i="57" s="1"/>
  <c r="H107" i="57"/>
  <c r="H109" i="57" s="1"/>
  <c r="H106" i="57" s="1"/>
  <c r="H99" i="57" s="1"/>
  <c r="L107" i="57"/>
  <c r="L109" i="57" s="1"/>
  <c r="L106" i="57" s="1"/>
  <c r="L99" i="57" s="1"/>
  <c r="F127" i="57"/>
  <c r="J127" i="57"/>
  <c r="E41" i="57"/>
  <c r="E120" i="57"/>
  <c r="F57" i="75" s="1"/>
  <c r="F58" i="75" s="1"/>
  <c r="I120" i="57"/>
  <c r="J57" i="75" s="1"/>
  <c r="J58" i="75" s="1"/>
  <c r="Z25" i="80" s="1"/>
  <c r="G121" i="57"/>
  <c r="K121" i="57"/>
  <c r="E142" i="57"/>
  <c r="E144" i="57" s="1"/>
  <c r="I142" i="57"/>
  <c r="I144" i="57" s="1"/>
  <c r="F139" i="57"/>
  <c r="F61" i="57"/>
  <c r="J139" i="57"/>
  <c r="J61" i="57"/>
  <c r="E76" i="57"/>
  <c r="Q114" i="57"/>
  <c r="Q97" i="57"/>
  <c r="F41" i="57"/>
  <c r="J41" i="57"/>
  <c r="E132" i="57"/>
  <c r="E134" i="57" s="1"/>
  <c r="I132" i="57"/>
  <c r="I134" i="57" s="1"/>
  <c r="F47" i="57"/>
  <c r="J47" i="57"/>
  <c r="D128" i="57"/>
  <c r="H128" i="57"/>
  <c r="L128" i="57"/>
  <c r="L130" i="57" s="1"/>
  <c r="C140" i="57"/>
  <c r="C145" i="57" s="1"/>
  <c r="G140" i="57"/>
  <c r="K140" i="57"/>
  <c r="N88" i="57"/>
  <c r="R101" i="57"/>
  <c r="C130" i="57"/>
  <c r="C41" i="57"/>
  <c r="G41" i="57"/>
  <c r="K41" i="57"/>
  <c r="F132" i="57"/>
  <c r="F134" i="57" s="1"/>
  <c r="C47" i="57"/>
  <c r="G47" i="57"/>
  <c r="K47" i="57"/>
  <c r="E128" i="57"/>
  <c r="I128" i="57"/>
  <c r="C61" i="57"/>
  <c r="G61" i="57"/>
  <c r="K61" i="57"/>
  <c r="D140" i="57"/>
  <c r="H140" i="57"/>
  <c r="L140" i="57"/>
  <c r="L145" i="57" s="1"/>
  <c r="E66" i="57"/>
  <c r="I66" i="57"/>
  <c r="O79" i="57"/>
  <c r="O114" i="57"/>
  <c r="O97" i="57"/>
  <c r="F105" i="57"/>
  <c r="F102" i="57" s="1"/>
  <c r="D41" i="57"/>
  <c r="H41" i="57"/>
  <c r="L41" i="57"/>
  <c r="C132" i="57"/>
  <c r="C134" i="57" s="1"/>
  <c r="D47" i="57"/>
  <c r="H47" i="57"/>
  <c r="L47" i="57"/>
  <c r="D144" i="57"/>
  <c r="H144" i="57"/>
  <c r="F128" i="57"/>
  <c r="J128" i="57"/>
  <c r="D61" i="57"/>
  <c r="H61" i="57"/>
  <c r="L61" i="57"/>
  <c r="I140" i="57"/>
  <c r="F66" i="57"/>
  <c r="J66" i="57"/>
  <c r="C79" i="57"/>
  <c r="C84" i="57" s="1"/>
  <c r="C88" i="57" s="1"/>
  <c r="C93" i="57" s="1"/>
  <c r="G79" i="57"/>
  <c r="K79" i="57"/>
  <c r="P79" i="57"/>
  <c r="D84" i="57"/>
  <c r="D88" i="57" s="1"/>
  <c r="D93" i="57" s="1"/>
  <c r="F109" i="57"/>
  <c r="F106" i="57" s="1"/>
  <c r="F99" i="57" s="1"/>
  <c r="C105" i="57"/>
  <c r="C102" i="57" s="1"/>
  <c r="K105" i="57"/>
  <c r="K102" i="57" s="1"/>
  <c r="J79" i="57"/>
  <c r="E113" i="57"/>
  <c r="E110" i="57" s="1"/>
  <c r="E100" i="57" s="1"/>
  <c r="I105" i="57"/>
  <c r="I102" i="57" s="1"/>
  <c r="E109" i="57"/>
  <c r="E106" i="57" s="1"/>
  <c r="E99" i="57" s="1"/>
  <c r="I109" i="57"/>
  <c r="I106" i="57" s="1"/>
  <c r="I99" i="57" s="1"/>
  <c r="F113" i="57"/>
  <c r="F110" i="57" s="1"/>
  <c r="F100" i="57" s="1"/>
  <c r="P132" i="57"/>
  <c r="P134" i="57" s="1"/>
  <c r="P124" i="57"/>
  <c r="O124" i="57"/>
  <c r="O135" i="57" s="1"/>
  <c r="M145" i="57"/>
  <c r="Q124" i="57"/>
  <c r="Q135" i="57" s="1"/>
  <c r="P130" i="57"/>
  <c r="I103" i="56"/>
  <c r="K126" i="56"/>
  <c r="J127" i="56"/>
  <c r="F119" i="56"/>
  <c r="K129" i="56"/>
  <c r="O101" i="56"/>
  <c r="O114" i="56" s="1"/>
  <c r="P130" i="56"/>
  <c r="N144" i="56"/>
  <c r="N145" i="56" s="1"/>
  <c r="R144" i="56"/>
  <c r="C76" i="56"/>
  <c r="G119" i="56"/>
  <c r="M107" i="56"/>
  <c r="M109" i="56" s="1"/>
  <c r="M106" i="56" s="1"/>
  <c r="M99" i="56" s="1"/>
  <c r="R101" i="56"/>
  <c r="M130" i="56"/>
  <c r="Q130" i="56"/>
  <c r="C113" i="56"/>
  <c r="C110" i="56" s="1"/>
  <c r="C100" i="56" s="1"/>
  <c r="G126" i="56"/>
  <c r="K119" i="56"/>
  <c r="F139" i="56"/>
  <c r="F140" i="56" s="1"/>
  <c r="D129" i="56"/>
  <c r="I138" i="56"/>
  <c r="P140" i="56"/>
  <c r="P145" i="56" s="1"/>
  <c r="C144" i="56"/>
  <c r="C105" i="56"/>
  <c r="C102" i="56" s="1"/>
  <c r="C140" i="56"/>
  <c r="N130" i="56"/>
  <c r="R130" i="56"/>
  <c r="O144" i="56"/>
  <c r="O145" i="56" s="1"/>
  <c r="H11" i="56"/>
  <c r="G47" i="56"/>
  <c r="K47" i="56"/>
  <c r="F128" i="56"/>
  <c r="J140" i="56"/>
  <c r="I76" i="56"/>
  <c r="I79" i="56" s="1"/>
  <c r="I84" i="56" s="1"/>
  <c r="G76" i="56"/>
  <c r="G79" i="56" s="1"/>
  <c r="C66" i="56"/>
  <c r="C96" i="56"/>
  <c r="M140" i="56"/>
  <c r="M145" i="56" s="1"/>
  <c r="Q140" i="56"/>
  <c r="Q145" i="56" s="1"/>
  <c r="G107" i="56"/>
  <c r="G109" i="56" s="1"/>
  <c r="G106" i="56" s="1"/>
  <c r="G99" i="56" s="1"/>
  <c r="K107" i="56"/>
  <c r="K109" i="56" s="1"/>
  <c r="K106" i="56" s="1"/>
  <c r="K99" i="56" s="1"/>
  <c r="D105" i="56"/>
  <c r="D102" i="56" s="1"/>
  <c r="L105" i="56"/>
  <c r="L102" i="56" s="1"/>
  <c r="F41" i="56"/>
  <c r="J41" i="56"/>
  <c r="C41" i="56"/>
  <c r="C47" i="56"/>
  <c r="C61" i="56"/>
  <c r="C69" i="56" s="1"/>
  <c r="C109" i="56"/>
  <c r="C106" i="56" s="1"/>
  <c r="C99" i="56" s="1"/>
  <c r="C123" i="56"/>
  <c r="C124" i="56" s="1"/>
  <c r="R134" i="56"/>
  <c r="P97" i="55"/>
  <c r="P114" i="55"/>
  <c r="Q114" i="55"/>
  <c r="Q97" i="55"/>
  <c r="N124" i="55"/>
  <c r="R124" i="55"/>
  <c r="R132" i="55"/>
  <c r="R134" i="55" s="1"/>
  <c r="O101" i="55"/>
  <c r="P140" i="55"/>
  <c r="D113" i="55"/>
  <c r="D110" i="55" s="1"/>
  <c r="D100" i="55" s="1"/>
  <c r="J128" i="55"/>
  <c r="L113" i="55"/>
  <c r="L110" i="55" s="1"/>
  <c r="L100" i="55" s="1"/>
  <c r="Q124" i="55"/>
  <c r="F133" i="55"/>
  <c r="N130" i="55"/>
  <c r="N135" i="55" s="1"/>
  <c r="P134" i="55"/>
  <c r="K106" i="32"/>
  <c r="K108" i="32" s="1"/>
  <c r="K105" i="32" s="1"/>
  <c r="K98" i="32" s="1"/>
  <c r="AS127" i="32"/>
  <c r="AS129" i="32" s="1"/>
  <c r="AO127" i="32"/>
  <c r="AO129" i="32" s="1"/>
  <c r="AH14" i="32"/>
  <c r="AH110" i="32" s="1"/>
  <c r="AH112" i="32" s="1"/>
  <c r="AH109" i="32" s="1"/>
  <c r="AH99" i="32" s="1"/>
  <c r="N133" i="32"/>
  <c r="M129" i="32"/>
  <c r="AP17" i="32"/>
  <c r="AP97" i="32" s="1"/>
  <c r="AG137" i="32"/>
  <c r="G106" i="32"/>
  <c r="G108" i="32" s="1"/>
  <c r="G105" i="32" s="1"/>
  <c r="G98" i="32" s="1"/>
  <c r="AN106" i="32"/>
  <c r="AN108" i="32" s="1"/>
  <c r="AN105" i="32" s="1"/>
  <c r="AN98" i="32" s="1"/>
  <c r="E106" i="32"/>
  <c r="E108" i="32" s="1"/>
  <c r="E105" i="32" s="1"/>
  <c r="E98" i="32" s="1"/>
  <c r="D132" i="32"/>
  <c r="AJ82" i="32"/>
  <c r="AG85" i="32"/>
  <c r="AP15" i="32"/>
  <c r="AL142" i="32"/>
  <c r="AL143" i="32" s="1"/>
  <c r="AR117" i="32"/>
  <c r="AQ117" i="32"/>
  <c r="D127" i="32"/>
  <c r="R139" i="32"/>
  <c r="R101" i="54"/>
  <c r="R114" i="54" s="1"/>
  <c r="O97" i="54"/>
  <c r="O114" i="54"/>
  <c r="R134" i="54"/>
  <c r="R144" i="54"/>
  <c r="Q135" i="54"/>
  <c r="R130" i="54"/>
  <c r="Q101" i="54"/>
  <c r="Q114" i="54" s="1"/>
  <c r="K75" i="32"/>
  <c r="K78" i="32" s="1"/>
  <c r="AM73" i="32"/>
  <c r="H106" i="32"/>
  <c r="H108" i="32" s="1"/>
  <c r="H105" i="32" s="1"/>
  <c r="H98" i="32" s="1"/>
  <c r="AJ11" i="32"/>
  <c r="F106" i="32"/>
  <c r="F108" i="32" s="1"/>
  <c r="F105" i="32" s="1"/>
  <c r="F98" i="32" s="1"/>
  <c r="AH11" i="32"/>
  <c r="AH106" i="32" s="1"/>
  <c r="AH108" i="32" s="1"/>
  <c r="AH105" i="32" s="1"/>
  <c r="AH98" i="32" s="1"/>
  <c r="D126" i="32"/>
  <c r="D40" i="32"/>
  <c r="D100" i="32"/>
  <c r="D113" i="32" s="1"/>
  <c r="K40" i="32"/>
  <c r="AM40" i="32" s="1"/>
  <c r="G40" i="32"/>
  <c r="AI40" i="32" s="1"/>
  <c r="F120" i="32"/>
  <c r="K122" i="32"/>
  <c r="AN122" i="32"/>
  <c r="G128" i="32"/>
  <c r="AJ128" i="32"/>
  <c r="AJ129" i="32" s="1"/>
  <c r="G75" i="32"/>
  <c r="G78" i="32" s="1"/>
  <c r="AI74" i="32"/>
  <c r="AQ85" i="32"/>
  <c r="AQ15" i="32"/>
  <c r="AK13" i="32"/>
  <c r="I106" i="32"/>
  <c r="I108" i="32" s="1"/>
  <c r="I105" i="32" s="1"/>
  <c r="I98" i="32" s="1"/>
  <c r="E110" i="32"/>
  <c r="E112" i="32" s="1"/>
  <c r="E109" i="32" s="1"/>
  <c r="E99" i="32" s="1"/>
  <c r="AG14" i="32"/>
  <c r="AG110" i="32" s="1"/>
  <c r="AG112" i="32" s="1"/>
  <c r="AG109" i="32" s="1"/>
  <c r="AG99" i="32" s="1"/>
  <c r="E126" i="32"/>
  <c r="AG37" i="32"/>
  <c r="AG126" i="32" s="1"/>
  <c r="AG129" i="32" s="1"/>
  <c r="F142" i="32"/>
  <c r="AI142" i="32"/>
  <c r="AI143" i="32" s="1"/>
  <c r="H102" i="32"/>
  <c r="H104" i="32" s="1"/>
  <c r="H101" i="32" s="1"/>
  <c r="AJ12" i="32"/>
  <c r="AJ102" i="32" s="1"/>
  <c r="AJ104" i="32" s="1"/>
  <c r="AJ101" i="32" s="1"/>
  <c r="F102" i="32"/>
  <c r="F104" i="32" s="1"/>
  <c r="F101" i="32" s="1"/>
  <c r="AH12" i="32"/>
  <c r="AH102" i="32" s="1"/>
  <c r="AH104" i="32" s="1"/>
  <c r="AH101" i="32" s="1"/>
  <c r="J120" i="32"/>
  <c r="G125" i="32"/>
  <c r="G122" i="32"/>
  <c r="G65" i="32"/>
  <c r="AJ122" i="32"/>
  <c r="AI138" i="32"/>
  <c r="F60" i="32"/>
  <c r="E142" i="32"/>
  <c r="AH142" i="32"/>
  <c r="AH143" i="32" s="1"/>
  <c r="K127" i="32"/>
  <c r="K129" i="32" s="1"/>
  <c r="G118" i="74" s="1"/>
  <c r="G122" i="74" s="1"/>
  <c r="AN127" i="32"/>
  <c r="G127" i="32"/>
  <c r="I138" i="32"/>
  <c r="AL138" i="32"/>
  <c r="AO17" i="32"/>
  <c r="AO97" i="32" s="1"/>
  <c r="AN128" i="32"/>
  <c r="AP117" i="32"/>
  <c r="AG74" i="32"/>
  <c r="AO86" i="32"/>
  <c r="AO74" i="32"/>
  <c r="AL82" i="32"/>
  <c r="AL86" i="32"/>
  <c r="G142" i="32"/>
  <c r="AJ142" i="32"/>
  <c r="M100" i="32"/>
  <c r="M96" i="32" s="1"/>
  <c r="N139" i="32"/>
  <c r="AR72" i="32"/>
  <c r="AR85" i="32"/>
  <c r="G137" i="32"/>
  <c r="AJ137" i="32"/>
  <c r="J138" i="32"/>
  <c r="J139" i="32" s="1"/>
  <c r="AM138" i="32"/>
  <c r="AM139" i="32" s="1"/>
  <c r="G138" i="32"/>
  <c r="G60" i="32"/>
  <c r="AJ138" i="32"/>
  <c r="AQ65" i="32"/>
  <c r="AN83" i="32"/>
  <c r="AN72" i="32"/>
  <c r="G126" i="32"/>
  <c r="AQ139" i="32"/>
  <c r="AS139" i="32"/>
  <c r="AL106" i="32"/>
  <c r="AL108" i="32" s="1"/>
  <c r="AL105" i="32" s="1"/>
  <c r="AL98" i="32" s="1"/>
  <c r="AH86" i="32"/>
  <c r="AP86" i="32"/>
  <c r="H75" i="32"/>
  <c r="H78" i="32" s="1"/>
  <c r="P143" i="32"/>
  <c r="P144" i="32" s="1"/>
  <c r="L143" i="32"/>
  <c r="AS60" i="32"/>
  <c r="L139" i="32"/>
  <c r="AR129" i="32"/>
  <c r="F75" i="32"/>
  <c r="F78" i="32" s="1"/>
  <c r="P123" i="32"/>
  <c r="P129" i="32"/>
  <c r="L129" i="32"/>
  <c r="Q143" i="32"/>
  <c r="M143" i="32"/>
  <c r="M144" i="32" s="1"/>
  <c r="AN15" i="32"/>
  <c r="H118" i="32"/>
  <c r="E103" i="74"/>
  <c r="H46" i="32"/>
  <c r="AJ46" i="32" s="1"/>
  <c r="AJ85" i="32"/>
  <c r="AP72" i="32"/>
  <c r="C104" i="74"/>
  <c r="AO144" i="32"/>
  <c r="AK74" i="32"/>
  <c r="AK86" i="32"/>
  <c r="AS86" i="32"/>
  <c r="AS74" i="32"/>
  <c r="H95" i="32"/>
  <c r="AJ8" i="32"/>
  <c r="AL8" i="32"/>
  <c r="J117" i="32"/>
  <c r="K119" i="32"/>
  <c r="K46" i="32"/>
  <c r="AM46" i="32" s="1"/>
  <c r="AN119" i="32"/>
  <c r="G119" i="32"/>
  <c r="I118" i="32"/>
  <c r="F103" i="74"/>
  <c r="E118" i="32"/>
  <c r="AG43" i="32"/>
  <c r="AG118" i="32" s="1"/>
  <c r="F125" i="32"/>
  <c r="F40" i="32"/>
  <c r="AH40" i="32" s="1"/>
  <c r="I120" i="32"/>
  <c r="G120" i="32"/>
  <c r="E120" i="32"/>
  <c r="I40" i="32"/>
  <c r="AK40" i="32" s="1"/>
  <c r="F121" i="32"/>
  <c r="AI121" i="32"/>
  <c r="C105" i="74" s="1"/>
  <c r="J121" i="32"/>
  <c r="J65" i="32"/>
  <c r="AM121" i="32"/>
  <c r="G105" i="74" s="1"/>
  <c r="I122" i="32"/>
  <c r="I65" i="32"/>
  <c r="AL122" i="32"/>
  <c r="E122" i="32"/>
  <c r="AH122" i="32"/>
  <c r="K137" i="32"/>
  <c r="AN137" i="32"/>
  <c r="F138" i="32"/>
  <c r="E138" i="32"/>
  <c r="E139" i="32" s="1"/>
  <c r="H138" i="32"/>
  <c r="H139" i="32" s="1"/>
  <c r="H128" i="32"/>
  <c r="AK128" i="32"/>
  <c r="AI11" i="32"/>
  <c r="D46" i="32"/>
  <c r="O143" i="32"/>
  <c r="O144" i="32" s="1"/>
  <c r="I110" i="32"/>
  <c r="I112" i="32" s="1"/>
  <c r="I109" i="32" s="1"/>
  <c r="I99" i="32" s="1"/>
  <c r="AK14" i="32"/>
  <c r="N100" i="32"/>
  <c r="AP85" i="32"/>
  <c r="J106" i="32"/>
  <c r="J108" i="32" s="1"/>
  <c r="J105" i="32" s="1"/>
  <c r="J98" i="32" s="1"/>
  <c r="AI12" i="32"/>
  <c r="AI102" i="32" s="1"/>
  <c r="AI104" i="32" s="1"/>
  <c r="AI101" i="32" s="1"/>
  <c r="AL12" i="32"/>
  <c r="AL102" i="32" s="1"/>
  <c r="AL104" i="32" s="1"/>
  <c r="AL101" i="32" s="1"/>
  <c r="AQ86" i="32"/>
  <c r="AQ82" i="32"/>
  <c r="F118" i="32"/>
  <c r="C103" i="74"/>
  <c r="G121" i="32"/>
  <c r="AJ121" i="32"/>
  <c r="D105" i="74" s="1"/>
  <c r="K121" i="32"/>
  <c r="K65" i="32"/>
  <c r="F122" i="32"/>
  <c r="AI122" i="32"/>
  <c r="AK16" i="32"/>
  <c r="E41" i="74" s="1"/>
  <c r="J119" i="32"/>
  <c r="J46" i="32"/>
  <c r="AL46" i="32" s="1"/>
  <c r="F141" i="32"/>
  <c r="E102" i="32"/>
  <c r="E104" i="32" s="1"/>
  <c r="E101" i="32" s="1"/>
  <c r="AG12" i="32"/>
  <c r="AG102" i="32" s="1"/>
  <c r="AG104" i="32" s="1"/>
  <c r="AG101" i="32" s="1"/>
  <c r="Q131" i="32"/>
  <c r="Q133" i="32" s="1"/>
  <c r="Q123" i="32"/>
  <c r="AH85" i="32"/>
  <c r="AQ129" i="32"/>
  <c r="AR139" i="32"/>
  <c r="K118" i="32"/>
  <c r="AN118" i="32"/>
  <c r="G118" i="32"/>
  <c r="D103" i="74"/>
  <c r="AM74" i="32"/>
  <c r="H121" i="32"/>
  <c r="H65" i="32"/>
  <c r="F127" i="32"/>
  <c r="K102" i="32"/>
  <c r="K104" i="32" s="1"/>
  <c r="K101" i="32" s="1"/>
  <c r="AM12" i="32"/>
  <c r="AM102" i="32" s="1"/>
  <c r="AM104" i="32" s="1"/>
  <c r="AM101" i="32" s="1"/>
  <c r="O100" i="32"/>
  <c r="AR65" i="32"/>
  <c r="H117" i="32"/>
  <c r="E125" i="32"/>
  <c r="E40" i="32"/>
  <c r="I121" i="32"/>
  <c r="AL121" i="32"/>
  <c r="F105" i="74" s="1"/>
  <c r="D65" i="32"/>
  <c r="R131" i="32"/>
  <c r="R133" i="32" s="1"/>
  <c r="R123" i="32"/>
  <c r="N129" i="32"/>
  <c r="L123" i="32"/>
  <c r="Q139" i="32"/>
  <c r="N143" i="32"/>
  <c r="J75" i="32"/>
  <c r="J78" i="32" s="1"/>
  <c r="I78" i="32"/>
  <c r="R129" i="32"/>
  <c r="C79" i="56"/>
  <c r="C84" i="56" s="1"/>
  <c r="C88" i="56" s="1"/>
  <c r="C93" i="56" s="1"/>
  <c r="C132" i="56"/>
  <c r="C134" i="56" s="1"/>
  <c r="N107" i="56"/>
  <c r="N109" i="56" s="1"/>
  <c r="N106" i="56" s="1"/>
  <c r="N99" i="56" s="1"/>
  <c r="I111" i="56"/>
  <c r="M111" i="56"/>
  <c r="M113" i="56" s="1"/>
  <c r="M110" i="56" s="1"/>
  <c r="M100" i="56" s="1"/>
  <c r="H122" i="56"/>
  <c r="E76" i="56"/>
  <c r="E79" i="56" s="1"/>
  <c r="F107" i="56"/>
  <c r="F109" i="56" s="1"/>
  <c r="F106" i="56" s="1"/>
  <c r="F99" i="56" s="1"/>
  <c r="J107" i="56"/>
  <c r="J109" i="56" s="1"/>
  <c r="J106" i="56" s="1"/>
  <c r="J99" i="56" s="1"/>
  <c r="J111" i="56"/>
  <c r="J113" i="56" s="1"/>
  <c r="J110" i="56" s="1"/>
  <c r="J100" i="56" s="1"/>
  <c r="I127" i="56"/>
  <c r="K144" i="56"/>
  <c r="G139" i="56"/>
  <c r="I122" i="56"/>
  <c r="E111" i="56"/>
  <c r="E113" i="56" s="1"/>
  <c r="E110" i="56" s="1"/>
  <c r="E100" i="56" s="1"/>
  <c r="E41" i="56"/>
  <c r="G144" i="56"/>
  <c r="D98" i="56"/>
  <c r="D21" i="56"/>
  <c r="H4" i="56"/>
  <c r="D126" i="56"/>
  <c r="D41" i="56"/>
  <c r="H127" i="56"/>
  <c r="I123" i="56"/>
  <c r="L76" i="56"/>
  <c r="L79" i="56" s="1"/>
  <c r="E118" i="56"/>
  <c r="E132" i="56" s="1"/>
  <c r="E134" i="56" s="1"/>
  <c r="E96" i="56"/>
  <c r="I118" i="56"/>
  <c r="I132" i="56" s="1"/>
  <c r="I134" i="56" s="1"/>
  <c r="I96" i="56"/>
  <c r="M118" i="56"/>
  <c r="M96" i="56"/>
  <c r="E11" i="56"/>
  <c r="I11" i="56"/>
  <c r="F47" i="56"/>
  <c r="E142" i="56"/>
  <c r="E144" i="56" s="1"/>
  <c r="I142" i="56"/>
  <c r="I144" i="56" s="1"/>
  <c r="G128" i="56"/>
  <c r="K128" i="56"/>
  <c r="K61" i="56"/>
  <c r="F122" i="56"/>
  <c r="F66" i="56"/>
  <c r="J122" i="56"/>
  <c r="J66" i="56"/>
  <c r="H66" i="56"/>
  <c r="K76" i="56"/>
  <c r="P84" i="56"/>
  <c r="P114" i="56"/>
  <c r="P97" i="56"/>
  <c r="I105" i="56"/>
  <c r="I102" i="56" s="1"/>
  <c r="H118" i="56"/>
  <c r="H96" i="56"/>
  <c r="L126" i="56"/>
  <c r="L41" i="56"/>
  <c r="D127" i="56"/>
  <c r="K120" i="56"/>
  <c r="K57" i="73" s="1"/>
  <c r="K58" i="73" s="1"/>
  <c r="V25" i="80" s="1"/>
  <c r="K121" i="56"/>
  <c r="E123" i="56"/>
  <c r="H76" i="56"/>
  <c r="F118" i="56"/>
  <c r="F132" i="56" s="1"/>
  <c r="F96" i="56"/>
  <c r="J118" i="56"/>
  <c r="J96" i="56"/>
  <c r="N118" i="56"/>
  <c r="N96" i="56"/>
  <c r="F11" i="56"/>
  <c r="F4" i="56" s="1"/>
  <c r="J11" i="56"/>
  <c r="J4" i="56" s="1"/>
  <c r="F126" i="56"/>
  <c r="F130" i="56" s="1"/>
  <c r="J126" i="56"/>
  <c r="I41" i="56"/>
  <c r="E119" i="56"/>
  <c r="I119" i="56"/>
  <c r="D139" i="56"/>
  <c r="D61" i="56"/>
  <c r="H139" i="56"/>
  <c r="H140" i="56" s="1"/>
  <c r="H61" i="56"/>
  <c r="L139" i="56"/>
  <c r="L140" i="56" s="1"/>
  <c r="L61" i="56"/>
  <c r="F61" i="56"/>
  <c r="G122" i="56"/>
  <c r="H59" i="73" s="1"/>
  <c r="H60" i="73" s="1"/>
  <c r="S26" i="80" s="1"/>
  <c r="G66" i="56"/>
  <c r="K122" i="56"/>
  <c r="K66" i="56"/>
  <c r="G138" i="56"/>
  <c r="K138" i="56"/>
  <c r="K140" i="56" s="1"/>
  <c r="I66" i="56"/>
  <c r="M84" i="56"/>
  <c r="G96" i="56"/>
  <c r="D118" i="56"/>
  <c r="D124" i="56" s="1"/>
  <c r="D96" i="56"/>
  <c r="L118" i="56"/>
  <c r="L124" i="56" s="1"/>
  <c r="L96" i="56"/>
  <c r="L11" i="56"/>
  <c r="H126" i="56"/>
  <c r="H41" i="56"/>
  <c r="G120" i="56"/>
  <c r="H57" i="73" s="1"/>
  <c r="H58" i="73" s="1"/>
  <c r="S25" i="80" s="1"/>
  <c r="G121" i="56"/>
  <c r="J61" i="56"/>
  <c r="E66" i="56"/>
  <c r="O79" i="56"/>
  <c r="R114" i="56"/>
  <c r="R97" i="56"/>
  <c r="K118" i="56"/>
  <c r="K132" i="56" s="1"/>
  <c r="K134" i="56" s="1"/>
  <c r="K96" i="56"/>
  <c r="G11" i="56"/>
  <c r="K11" i="56"/>
  <c r="J47" i="56"/>
  <c r="E139" i="56"/>
  <c r="E140" i="56" s="1"/>
  <c r="E61" i="56"/>
  <c r="I139" i="56"/>
  <c r="I61" i="56"/>
  <c r="E129" i="56"/>
  <c r="I129" i="56"/>
  <c r="G61" i="56"/>
  <c r="D66" i="56"/>
  <c r="L66" i="56"/>
  <c r="Q88" i="56"/>
  <c r="N88" i="56"/>
  <c r="G41" i="56"/>
  <c r="K41" i="56"/>
  <c r="D47" i="56"/>
  <c r="H47" i="56"/>
  <c r="L47" i="56"/>
  <c r="F144" i="56"/>
  <c r="J144" i="56"/>
  <c r="J145" i="56" s="1"/>
  <c r="D128" i="56"/>
  <c r="H128" i="56"/>
  <c r="L128" i="56"/>
  <c r="Q101" i="56"/>
  <c r="G132" i="56"/>
  <c r="G134" i="56" s="1"/>
  <c r="E47" i="56"/>
  <c r="I47" i="56"/>
  <c r="E128" i="56"/>
  <c r="I128" i="56"/>
  <c r="F76" i="56"/>
  <c r="J76" i="56"/>
  <c r="G105" i="56"/>
  <c r="G102" i="56" s="1"/>
  <c r="D109" i="56"/>
  <c r="D106" i="56" s="1"/>
  <c r="D99" i="56" s="1"/>
  <c r="H109" i="56"/>
  <c r="H106" i="56" s="1"/>
  <c r="H99" i="56" s="1"/>
  <c r="L109" i="56"/>
  <c r="L106" i="56" s="1"/>
  <c r="L99" i="56" s="1"/>
  <c r="D113" i="56"/>
  <c r="D110" i="56" s="1"/>
  <c r="D100" i="56" s="1"/>
  <c r="L113" i="56"/>
  <c r="L110" i="56" s="1"/>
  <c r="L100" i="56" s="1"/>
  <c r="I109" i="56"/>
  <c r="I106" i="56" s="1"/>
  <c r="I99" i="56" s="1"/>
  <c r="I113" i="56"/>
  <c r="I110" i="56" s="1"/>
  <c r="I100" i="56" s="1"/>
  <c r="Q124" i="56"/>
  <c r="R124" i="56"/>
  <c r="P132" i="56"/>
  <c r="P134" i="56" s="1"/>
  <c r="P135" i="56" s="1"/>
  <c r="O124" i="56"/>
  <c r="O135" i="56" s="1"/>
  <c r="R145" i="56"/>
  <c r="J129" i="55"/>
  <c r="F129" i="55"/>
  <c r="I122" i="55"/>
  <c r="J59" i="72" s="1"/>
  <c r="J60" i="72" s="1"/>
  <c r="P26" i="80" s="1"/>
  <c r="I66" i="55"/>
  <c r="Q130" i="55"/>
  <c r="Q135" i="55" s="1"/>
  <c r="M130" i="55"/>
  <c r="N144" i="55"/>
  <c r="N145" i="55" s="1"/>
  <c r="N107" i="55"/>
  <c r="N109" i="55" s="1"/>
  <c r="N106" i="55" s="1"/>
  <c r="N99" i="55" s="1"/>
  <c r="E96" i="55"/>
  <c r="R130" i="55"/>
  <c r="E76" i="55"/>
  <c r="E79" i="55" s="1"/>
  <c r="J139" i="55"/>
  <c r="J140" i="55" s="1"/>
  <c r="J127" i="55"/>
  <c r="G76" i="55"/>
  <c r="G79" i="55" s="1"/>
  <c r="G129" i="55"/>
  <c r="H76" i="55"/>
  <c r="H79" i="55" s="1"/>
  <c r="E118" i="55"/>
  <c r="E132" i="55" s="1"/>
  <c r="E134" i="55" s="1"/>
  <c r="N96" i="55"/>
  <c r="G66" i="55"/>
  <c r="J76" i="55"/>
  <c r="L128" i="55"/>
  <c r="L130" i="55" s="1"/>
  <c r="E128" i="55"/>
  <c r="J66" i="55"/>
  <c r="I10" i="55"/>
  <c r="D139" i="55"/>
  <c r="I138" i="55"/>
  <c r="I140" i="55" s="1"/>
  <c r="K84" i="55"/>
  <c r="K88" i="55" s="1"/>
  <c r="K93" i="55" s="1"/>
  <c r="F47" i="55"/>
  <c r="F120" i="55"/>
  <c r="G57" i="72" s="1"/>
  <c r="G58" i="72" s="1"/>
  <c r="M25" i="80" s="1"/>
  <c r="G96" i="55"/>
  <c r="G118" i="55"/>
  <c r="G132" i="55" s="1"/>
  <c r="G134" i="55" s="1"/>
  <c r="H103" i="55"/>
  <c r="H105" i="55" s="1"/>
  <c r="H102" i="55" s="1"/>
  <c r="H126" i="55"/>
  <c r="J120" i="55"/>
  <c r="L96" i="55"/>
  <c r="I54" i="55"/>
  <c r="L118" i="55"/>
  <c r="L132" i="55" s="1"/>
  <c r="L134" i="55" s="1"/>
  <c r="D47" i="55"/>
  <c r="L107" i="55"/>
  <c r="L109" i="55" s="1"/>
  <c r="L106" i="55" s="1"/>
  <c r="L99" i="55" s="1"/>
  <c r="F96" i="55"/>
  <c r="F118" i="55"/>
  <c r="F132" i="55" s="1"/>
  <c r="K103" i="55"/>
  <c r="K105" i="55" s="1"/>
  <c r="K102" i="55" s="1"/>
  <c r="G10" i="55"/>
  <c r="G126" i="55"/>
  <c r="G41" i="55"/>
  <c r="I120" i="55"/>
  <c r="J57" i="72" s="1"/>
  <c r="J58" i="72" s="1"/>
  <c r="P25" i="80" s="1"/>
  <c r="H119" i="55"/>
  <c r="D122" i="55"/>
  <c r="E59" i="72" s="1"/>
  <c r="E60" i="72" s="1"/>
  <c r="K143" i="55"/>
  <c r="K129" i="55"/>
  <c r="G123" i="55"/>
  <c r="K122" i="55"/>
  <c r="K59" i="72" s="1"/>
  <c r="K60" i="72" s="1"/>
  <c r="Q26" i="80" s="1"/>
  <c r="K66" i="55"/>
  <c r="G138" i="55"/>
  <c r="L142" i="55"/>
  <c r="L144" i="55" s="1"/>
  <c r="L54" i="55"/>
  <c r="H54" i="55"/>
  <c r="D121" i="55"/>
  <c r="G128" i="55"/>
  <c r="K121" i="55"/>
  <c r="H41" i="55"/>
  <c r="J47" i="55"/>
  <c r="D10" i="55"/>
  <c r="D11" i="55" s="1"/>
  <c r="D16" i="55" s="1"/>
  <c r="D18" i="55" s="1"/>
  <c r="K107" i="55"/>
  <c r="K109" i="55" s="1"/>
  <c r="K106" i="55" s="1"/>
  <c r="K99" i="55" s="1"/>
  <c r="G107" i="55"/>
  <c r="G109" i="55" s="1"/>
  <c r="G106" i="55" s="1"/>
  <c r="G99" i="55" s="1"/>
  <c r="D72" i="55"/>
  <c r="D76" i="55" s="1"/>
  <c r="D79" i="55" s="1"/>
  <c r="D84" i="55" s="1"/>
  <c r="D88" i="55" s="1"/>
  <c r="D93" i="55" s="1"/>
  <c r="M118" i="55"/>
  <c r="M124" i="55" s="1"/>
  <c r="I103" i="55"/>
  <c r="I105" i="55" s="1"/>
  <c r="I102" i="55" s="1"/>
  <c r="D138" i="55"/>
  <c r="H129" i="55"/>
  <c r="H122" i="55"/>
  <c r="H66" i="55"/>
  <c r="D54" i="55"/>
  <c r="F76" i="55"/>
  <c r="F79" i="55" s="1"/>
  <c r="M111" i="55"/>
  <c r="M113" i="55" s="1"/>
  <c r="M110" i="55" s="1"/>
  <c r="M100" i="55" s="1"/>
  <c r="H96" i="55"/>
  <c r="H118" i="55"/>
  <c r="H132" i="55" s="1"/>
  <c r="K10" i="55"/>
  <c r="H127" i="55"/>
  <c r="J121" i="55"/>
  <c r="E47" i="55"/>
  <c r="E120" i="55"/>
  <c r="E57" i="72" s="1"/>
  <c r="E58" i="72" s="1"/>
  <c r="K61" i="55"/>
  <c r="K139" i="55"/>
  <c r="K140" i="55" s="1"/>
  <c r="J79" i="55"/>
  <c r="I96" i="55"/>
  <c r="I118" i="55"/>
  <c r="J10" i="55"/>
  <c r="J24" i="72" s="1"/>
  <c r="F10" i="55"/>
  <c r="H128" i="55"/>
  <c r="F123" i="55"/>
  <c r="D118" i="55"/>
  <c r="D132" i="55" s="1"/>
  <c r="D66" i="55"/>
  <c r="K123" i="55"/>
  <c r="K119" i="55"/>
  <c r="I41" i="55"/>
  <c r="J41" i="55"/>
  <c r="J107" i="55"/>
  <c r="J109" i="55" s="1"/>
  <c r="J106" i="55" s="1"/>
  <c r="J99" i="55" s="1"/>
  <c r="L41" i="55"/>
  <c r="F107" i="55"/>
  <c r="F109" i="55" s="1"/>
  <c r="F106" i="55" s="1"/>
  <c r="F99" i="55" s="1"/>
  <c r="K142" i="55"/>
  <c r="K144" i="55" s="1"/>
  <c r="G122" i="55"/>
  <c r="H59" i="72" s="1"/>
  <c r="H60" i="72" s="1"/>
  <c r="N26" i="80" s="1"/>
  <c r="K118" i="55"/>
  <c r="H111" i="55"/>
  <c r="H113" i="55" s="1"/>
  <c r="H110" i="55" s="1"/>
  <c r="H100" i="55" s="1"/>
  <c r="H10" i="55"/>
  <c r="H11" i="55" s="1"/>
  <c r="E127" i="55"/>
  <c r="H143" i="55"/>
  <c r="L139" i="55"/>
  <c r="L140" i="55" s="1"/>
  <c r="L61" i="55"/>
  <c r="H138" i="55"/>
  <c r="H140" i="55" s="1"/>
  <c r="E54" i="55"/>
  <c r="F41" i="55"/>
  <c r="H107" i="55"/>
  <c r="H109" i="55" s="1"/>
  <c r="H106" i="55" s="1"/>
  <c r="H99" i="55" s="1"/>
  <c r="K111" i="55"/>
  <c r="K113" i="55" s="1"/>
  <c r="K110" i="55" s="1"/>
  <c r="K100" i="55" s="1"/>
  <c r="K126" i="55"/>
  <c r="K41" i="55"/>
  <c r="D143" i="55"/>
  <c r="L120" i="55"/>
  <c r="L47" i="55"/>
  <c r="G139" i="55"/>
  <c r="I111" i="55"/>
  <c r="I113" i="55" s="1"/>
  <c r="I110" i="55" s="1"/>
  <c r="I100" i="55" s="1"/>
  <c r="E10" i="55"/>
  <c r="E41" i="55"/>
  <c r="H121" i="55"/>
  <c r="K47" i="55"/>
  <c r="F119" i="55"/>
  <c r="I143" i="55"/>
  <c r="E143" i="55"/>
  <c r="F103" i="55"/>
  <c r="F105" i="55" s="1"/>
  <c r="F102" i="55" s="1"/>
  <c r="L66" i="55"/>
  <c r="D123" i="55"/>
  <c r="H61" i="55"/>
  <c r="I127" i="55"/>
  <c r="G61" i="55"/>
  <c r="I47" i="55"/>
  <c r="I107" i="55"/>
  <c r="I109" i="55" s="1"/>
  <c r="I106" i="55" s="1"/>
  <c r="I99" i="55" s="1"/>
  <c r="K128" i="55"/>
  <c r="M107" i="55"/>
  <c r="M109" i="55" s="1"/>
  <c r="M106" i="55" s="1"/>
  <c r="M99" i="55" s="1"/>
  <c r="G111" i="55"/>
  <c r="G113" i="55" s="1"/>
  <c r="G110" i="55" s="1"/>
  <c r="G100" i="55" s="1"/>
  <c r="I76" i="55"/>
  <c r="I79" i="55" s="1"/>
  <c r="H47" i="55"/>
  <c r="K127" i="55"/>
  <c r="D128" i="55"/>
  <c r="F128" i="55"/>
  <c r="J123" i="55"/>
  <c r="F122" i="55"/>
  <c r="F59" i="72" s="1"/>
  <c r="F60" i="72" s="1"/>
  <c r="F140" i="55"/>
  <c r="G54" i="55"/>
  <c r="J61" i="55"/>
  <c r="E66" i="55"/>
  <c r="E111" i="55"/>
  <c r="E113" i="55" s="1"/>
  <c r="E110" i="55" s="1"/>
  <c r="E100" i="55" s="1"/>
  <c r="J118" i="55"/>
  <c r="D61" i="55"/>
  <c r="I123" i="55"/>
  <c r="K120" i="55"/>
  <c r="J96" i="55"/>
  <c r="I129" i="55"/>
  <c r="D41" i="55"/>
  <c r="L10" i="55"/>
  <c r="I128" i="55"/>
  <c r="I61" i="55"/>
  <c r="E123" i="55"/>
  <c r="J54" i="55"/>
  <c r="F54" i="55"/>
  <c r="F66" i="55"/>
  <c r="L76" i="55"/>
  <c r="E61" i="55"/>
  <c r="F61" i="55"/>
  <c r="D107" i="55"/>
  <c r="D109" i="55" s="1"/>
  <c r="D106" i="55" s="1"/>
  <c r="D99" i="55" s="1"/>
  <c r="E107" i="55"/>
  <c r="E109" i="55" s="1"/>
  <c r="E106" i="55" s="1"/>
  <c r="E99" i="55" s="1"/>
  <c r="D126" i="55"/>
  <c r="O134" i="55"/>
  <c r="M79" i="55"/>
  <c r="F121" i="55"/>
  <c r="R144" i="55"/>
  <c r="R145" i="55" s="1"/>
  <c r="Q140" i="55"/>
  <c r="P130" i="55"/>
  <c r="E105" i="55"/>
  <c r="E102" i="55" s="1"/>
  <c r="R101" i="55"/>
  <c r="D105" i="55"/>
  <c r="D102" i="55" s="1"/>
  <c r="G119" i="55"/>
  <c r="G47" i="55"/>
  <c r="K96" i="55"/>
  <c r="P97" i="54"/>
  <c r="P114" i="54"/>
  <c r="Q97" i="54"/>
  <c r="P88" i="54"/>
  <c r="H139" i="54"/>
  <c r="D105" i="54"/>
  <c r="D102" i="54" s="1"/>
  <c r="C113" i="54"/>
  <c r="C110" i="54" s="1"/>
  <c r="C100" i="54" s="1"/>
  <c r="O130" i="54"/>
  <c r="O124" i="54"/>
  <c r="O135" i="54" s="1"/>
  <c r="N144" i="54"/>
  <c r="M140" i="54"/>
  <c r="M145" i="54" s="1"/>
  <c r="R140" i="54"/>
  <c r="R145" i="54" s="1"/>
  <c r="P134" i="54"/>
  <c r="P140" i="54"/>
  <c r="P145" i="54" s="1"/>
  <c r="Q140" i="54"/>
  <c r="Q145" i="54" s="1"/>
  <c r="R124" i="54"/>
  <c r="P124" i="54"/>
  <c r="P135" i="54"/>
  <c r="K132" i="32"/>
  <c r="G132" i="32"/>
  <c r="AN132" i="32"/>
  <c r="P83" i="32"/>
  <c r="Q87" i="32"/>
  <c r="AS15" i="32"/>
  <c r="L87" i="32"/>
  <c r="N78" i="32"/>
  <c r="M131" i="32"/>
  <c r="M133" i="32" s="1"/>
  <c r="M123" i="32"/>
  <c r="Q129" i="32"/>
  <c r="I127" i="32"/>
  <c r="I60" i="32"/>
  <c r="E127" i="32"/>
  <c r="E60" i="32"/>
  <c r="J141" i="32"/>
  <c r="J143" i="32" s="1"/>
  <c r="L100" i="32"/>
  <c r="F46" i="32"/>
  <c r="AH46" i="32" s="1"/>
  <c r="AN86" i="32"/>
  <c r="AN82" i="32"/>
  <c r="K117" i="32"/>
  <c r="J125" i="32"/>
  <c r="J40" i="32"/>
  <c r="AL40" i="32" s="1"/>
  <c r="AM77" i="32"/>
  <c r="K60" i="32"/>
  <c r="H40" i="32"/>
  <c r="AJ40" i="32" s="1"/>
  <c r="K143" i="32"/>
  <c r="P100" i="32"/>
  <c r="N123" i="32"/>
  <c r="Q100" i="32"/>
  <c r="R100" i="32"/>
  <c r="O131" i="32"/>
  <c r="O133" i="32" s="1"/>
  <c r="O123" i="32"/>
  <c r="R143" i="32"/>
  <c r="E141" i="32"/>
  <c r="H141" i="32"/>
  <c r="I141" i="32"/>
  <c r="I143" i="32" s="1"/>
  <c r="D141" i="32"/>
  <c r="D107" i="54"/>
  <c r="D109" i="54" s="1"/>
  <c r="D106" i="54" s="1"/>
  <c r="D99" i="54" s="1"/>
  <c r="L103" i="54"/>
  <c r="L105" i="54" s="1"/>
  <c r="L102" i="54" s="1"/>
  <c r="I120" i="54"/>
  <c r="I138" i="54"/>
  <c r="E126" i="54"/>
  <c r="I122" i="54"/>
  <c r="K103" i="54"/>
  <c r="K105" i="54" s="1"/>
  <c r="K102" i="54" s="1"/>
  <c r="J10" i="54"/>
  <c r="J11" i="54" s="1"/>
  <c r="D10" i="54"/>
  <c r="D11" i="54" s="1"/>
  <c r="D16" i="54" s="1"/>
  <c r="D18" i="54" s="1"/>
  <c r="D98" i="54" s="1"/>
  <c r="G103" i="54"/>
  <c r="G105" i="54" s="1"/>
  <c r="G102" i="54" s="1"/>
  <c r="J118" i="54"/>
  <c r="J132" i="54" s="1"/>
  <c r="J134" i="54" s="1"/>
  <c r="J96" i="54"/>
  <c r="H128" i="54"/>
  <c r="F143" i="54"/>
  <c r="H122" i="54"/>
  <c r="I142" i="54"/>
  <c r="J138" i="54"/>
  <c r="L118" i="54"/>
  <c r="G138" i="54"/>
  <c r="N84" i="54"/>
  <c r="I129" i="54"/>
  <c r="H61" i="54"/>
  <c r="M84" i="54"/>
  <c r="J123" i="54"/>
  <c r="H142" i="54"/>
  <c r="H144" i="54" s="1"/>
  <c r="I143" i="54"/>
  <c r="O145" i="54"/>
  <c r="K139" i="54"/>
  <c r="K140" i="54" s="1"/>
  <c r="K61" i="54"/>
  <c r="I61" i="54"/>
  <c r="D127" i="54"/>
  <c r="F96" i="54"/>
  <c r="F118" i="54"/>
  <c r="F132" i="54" s="1"/>
  <c r="O84" i="54"/>
  <c r="C47" i="54"/>
  <c r="I139" i="54"/>
  <c r="K129" i="54"/>
  <c r="E103" i="54"/>
  <c r="E105" i="54" s="1"/>
  <c r="E102" i="54" s="1"/>
  <c r="J111" i="54"/>
  <c r="J113" i="54" s="1"/>
  <c r="J110" i="54" s="1"/>
  <c r="J100" i="54" s="1"/>
  <c r="F10" i="54"/>
  <c r="L10" i="54"/>
  <c r="G122" i="54"/>
  <c r="J119" i="54"/>
  <c r="C107" i="54"/>
  <c r="C109" i="54" s="1"/>
  <c r="C106" i="54" s="1"/>
  <c r="C99" i="54" s="1"/>
  <c r="E107" i="54"/>
  <c r="E109" i="54" s="1"/>
  <c r="E106" i="54" s="1"/>
  <c r="E99" i="54" s="1"/>
  <c r="N111" i="54"/>
  <c r="N113" i="54" s="1"/>
  <c r="N110" i="54" s="1"/>
  <c r="N100" i="54" s="1"/>
  <c r="C61" i="54"/>
  <c r="C139" i="54"/>
  <c r="C140" i="54" s="1"/>
  <c r="I103" i="54"/>
  <c r="I105" i="54" s="1"/>
  <c r="I102" i="54" s="1"/>
  <c r="D66" i="54"/>
  <c r="H129" i="54"/>
  <c r="D120" i="54"/>
  <c r="E57" i="71" s="1"/>
  <c r="E58" i="71" s="1"/>
  <c r="E96" i="54"/>
  <c r="G119" i="54"/>
  <c r="E119" i="54"/>
  <c r="L128" i="54"/>
  <c r="E122" i="54"/>
  <c r="M111" i="54"/>
  <c r="M113" i="54" s="1"/>
  <c r="M110" i="54" s="1"/>
  <c r="M100" i="54" s="1"/>
  <c r="F120" i="54"/>
  <c r="F57" i="71" s="1"/>
  <c r="F58" i="71" s="1"/>
  <c r="E128" i="54"/>
  <c r="L132" i="54"/>
  <c r="L134" i="54" s="1"/>
  <c r="F129" i="54"/>
  <c r="J143" i="54"/>
  <c r="F126" i="54"/>
  <c r="F75" i="54"/>
  <c r="F123" i="54"/>
  <c r="E41" i="54"/>
  <c r="G126" i="54"/>
  <c r="I96" i="54"/>
  <c r="J120" i="54"/>
  <c r="H120" i="54"/>
  <c r="I57" i="71" s="1"/>
  <c r="I58" i="71" s="1"/>
  <c r="J25" i="80" s="1"/>
  <c r="I128" i="54"/>
  <c r="F122" i="54"/>
  <c r="M118" i="54"/>
  <c r="M96" i="54"/>
  <c r="E47" i="54"/>
  <c r="E10" i="54"/>
  <c r="E24" i="71" s="1"/>
  <c r="G10" i="54"/>
  <c r="K47" i="54"/>
  <c r="C118" i="54"/>
  <c r="C132" i="54" s="1"/>
  <c r="C134" i="54" s="1"/>
  <c r="K41" i="54"/>
  <c r="H41" i="54"/>
  <c r="K107" i="54"/>
  <c r="K109" i="54" s="1"/>
  <c r="K106" i="54" s="1"/>
  <c r="K99" i="54" s="1"/>
  <c r="H121" i="54"/>
  <c r="H107" i="54"/>
  <c r="H109" i="54" s="1"/>
  <c r="H106" i="54" s="1"/>
  <c r="H99" i="54" s="1"/>
  <c r="H127" i="54"/>
  <c r="E139" i="54"/>
  <c r="E61" i="54"/>
  <c r="J103" i="54"/>
  <c r="J105" i="54" s="1"/>
  <c r="J102" i="54" s="1"/>
  <c r="D41" i="54"/>
  <c r="H119" i="54"/>
  <c r="G143" i="54"/>
  <c r="D128" i="54"/>
  <c r="C41" i="54"/>
  <c r="E118" i="54"/>
  <c r="E132" i="54" s="1"/>
  <c r="D122" i="54"/>
  <c r="K121" i="54"/>
  <c r="L144" i="54"/>
  <c r="C144" i="54"/>
  <c r="E143" i="54"/>
  <c r="E144" i="54" s="1"/>
  <c r="H126" i="54"/>
  <c r="G128" i="54"/>
  <c r="C76" i="54"/>
  <c r="G47" i="54"/>
  <c r="H47" i="54"/>
  <c r="I66" i="54"/>
  <c r="H10" i="54"/>
  <c r="H24" i="71" s="1"/>
  <c r="J61" i="54"/>
  <c r="J139" i="54"/>
  <c r="D96" i="54"/>
  <c r="D118" i="54"/>
  <c r="L76" i="54"/>
  <c r="L47" i="54"/>
  <c r="G107" i="54"/>
  <c r="G109" i="54" s="1"/>
  <c r="G106" i="54" s="1"/>
  <c r="G99" i="54" s="1"/>
  <c r="J127" i="54"/>
  <c r="D61" i="54"/>
  <c r="D139" i="54"/>
  <c r="D140" i="54" s="1"/>
  <c r="G64" i="54"/>
  <c r="E129" i="54"/>
  <c r="G142" i="54"/>
  <c r="J107" i="54"/>
  <c r="J109" i="54" s="1"/>
  <c r="J106" i="54" s="1"/>
  <c r="J99" i="54" s="1"/>
  <c r="F107" i="54"/>
  <c r="F109" i="54" s="1"/>
  <c r="F106" i="54" s="1"/>
  <c r="F99" i="54" s="1"/>
  <c r="L63" i="54"/>
  <c r="K66" i="54"/>
  <c r="K123" i="54"/>
  <c r="L139" i="54"/>
  <c r="L140" i="54" s="1"/>
  <c r="L61" i="54"/>
  <c r="I47" i="54"/>
  <c r="I121" i="54"/>
  <c r="C78" i="54"/>
  <c r="E121" i="54"/>
  <c r="H138" i="54"/>
  <c r="E111" i="54"/>
  <c r="E113" i="54" s="1"/>
  <c r="E110" i="54" s="1"/>
  <c r="E100" i="54" s="1"/>
  <c r="D45" i="54"/>
  <c r="G129" i="54"/>
  <c r="C66" i="54"/>
  <c r="J41" i="54"/>
  <c r="F139" i="54"/>
  <c r="F61" i="54"/>
  <c r="I118" i="54"/>
  <c r="I132" i="54" s="1"/>
  <c r="I134" i="54" s="1"/>
  <c r="F45" i="54"/>
  <c r="F127" i="54"/>
  <c r="F111" i="54"/>
  <c r="F113" i="54" s="1"/>
  <c r="F110" i="54" s="1"/>
  <c r="F100" i="54" s="1"/>
  <c r="C96" i="54"/>
  <c r="G96" i="54"/>
  <c r="G118" i="54"/>
  <c r="K10" i="54"/>
  <c r="I107" i="54"/>
  <c r="I109" i="54" s="1"/>
  <c r="I106" i="54" s="1"/>
  <c r="I99" i="54" s="1"/>
  <c r="K118" i="54"/>
  <c r="H96" i="54"/>
  <c r="H118" i="54"/>
  <c r="K126" i="54"/>
  <c r="K128" i="54"/>
  <c r="K120" i="54"/>
  <c r="K119" i="54"/>
  <c r="D143" i="54"/>
  <c r="K142" i="54"/>
  <c r="E66" i="54"/>
  <c r="J128" i="54"/>
  <c r="F128" i="54"/>
  <c r="D83" i="54"/>
  <c r="L82" i="54"/>
  <c r="C128" i="54"/>
  <c r="C130" i="54" s="1"/>
  <c r="E78" i="54"/>
  <c r="J73" i="54"/>
  <c r="H75" i="54"/>
  <c r="M103" i="54"/>
  <c r="M105" i="54" s="1"/>
  <c r="M102" i="54" s="1"/>
  <c r="M107" i="54"/>
  <c r="M109" i="54" s="1"/>
  <c r="M106" i="54" s="1"/>
  <c r="M99" i="54" s="1"/>
  <c r="N118" i="54"/>
  <c r="E76" i="54"/>
  <c r="N103" i="54"/>
  <c r="N105" i="54" s="1"/>
  <c r="N102" i="54" s="1"/>
  <c r="AJ18" i="80" l="1"/>
  <c r="R135" i="57"/>
  <c r="D130" i="57"/>
  <c r="AP18" i="80"/>
  <c r="K145" i="57"/>
  <c r="F26" i="75"/>
  <c r="F45" i="75" s="1"/>
  <c r="AH18" i="80"/>
  <c r="K26" i="73"/>
  <c r="R135" i="56"/>
  <c r="O97" i="56"/>
  <c r="E68" i="73"/>
  <c r="Q135" i="56"/>
  <c r="K145" i="56"/>
  <c r="J130" i="56"/>
  <c r="O135" i="55"/>
  <c r="P145" i="55"/>
  <c r="P135" i="55"/>
  <c r="Q145" i="55"/>
  <c r="E130" i="55"/>
  <c r="I59" i="72"/>
  <c r="I60" i="72" s="1"/>
  <c r="O26" i="80" s="1"/>
  <c r="R135" i="54"/>
  <c r="J47" i="54"/>
  <c r="G61" i="54"/>
  <c r="J59" i="71"/>
  <c r="J60" i="71" s="1"/>
  <c r="K26" i="80" s="1"/>
  <c r="F77" i="71"/>
  <c r="H59" i="71"/>
  <c r="H60" i="71" s="1"/>
  <c r="I26" i="80" s="1"/>
  <c r="G140" i="54"/>
  <c r="R97" i="54"/>
  <c r="J66" i="54"/>
  <c r="F41" i="54"/>
  <c r="F134" i="54"/>
  <c r="AM144" i="32"/>
  <c r="AM129" i="32"/>
  <c r="AK129" i="32"/>
  <c r="D104" i="74"/>
  <c r="AJ119" i="32"/>
  <c r="AL129" i="32"/>
  <c r="AJ143" i="32"/>
  <c r="F104" i="74"/>
  <c r="F106" i="74" s="1"/>
  <c r="AL119" i="32"/>
  <c r="D101" i="54"/>
  <c r="D97" i="54" s="1"/>
  <c r="AG123" i="32"/>
  <c r="AP100" i="32"/>
  <c r="H143" i="32"/>
  <c r="H58" i="30"/>
  <c r="H59" i="30" s="1"/>
  <c r="D98" i="74" s="1"/>
  <c r="J52" i="30"/>
  <c r="J55" i="30" s="1"/>
  <c r="F22" i="80" s="1"/>
  <c r="AO22" i="80" s="1"/>
  <c r="AL85" i="32"/>
  <c r="I133" i="32"/>
  <c r="N144" i="32"/>
  <c r="AN138" i="32"/>
  <c r="AN139" i="32" s="1"/>
  <c r="AN144" i="32" s="1"/>
  <c r="C28" i="74"/>
  <c r="Q144" i="32"/>
  <c r="C13" i="68"/>
  <c r="M113" i="32"/>
  <c r="D96" i="32"/>
  <c r="G35" i="74"/>
  <c r="E35" i="74"/>
  <c r="C35" i="74"/>
  <c r="G106" i="74"/>
  <c r="G121" i="74" s="1"/>
  <c r="F35" i="74"/>
  <c r="I66" i="75"/>
  <c r="F130" i="57"/>
  <c r="K72" i="75"/>
  <c r="D124" i="57"/>
  <c r="K134" i="57"/>
  <c r="K16" i="57"/>
  <c r="K18" i="57" s="1"/>
  <c r="K4" i="57"/>
  <c r="C21" i="57"/>
  <c r="C69" i="57"/>
  <c r="K26" i="75"/>
  <c r="K30" i="75" s="1"/>
  <c r="G134" i="57"/>
  <c r="E145" i="57"/>
  <c r="F84" i="57"/>
  <c r="F68" i="75"/>
  <c r="F55" i="75"/>
  <c r="F56" i="75" s="1"/>
  <c r="F61" i="75" s="1"/>
  <c r="F51" i="75"/>
  <c r="F54" i="75" s="1"/>
  <c r="E65" i="75"/>
  <c r="G65" i="75"/>
  <c r="K51" i="75"/>
  <c r="K54" i="75" s="1"/>
  <c r="AA22" i="80" s="1"/>
  <c r="K55" i="75"/>
  <c r="K56" i="75" s="1"/>
  <c r="E51" i="75"/>
  <c r="E54" i="75" s="1"/>
  <c r="E55" i="75"/>
  <c r="E56" i="75" s="1"/>
  <c r="J65" i="75"/>
  <c r="K67" i="75"/>
  <c r="G26" i="75"/>
  <c r="J67" i="75"/>
  <c r="H59" i="75"/>
  <c r="H60" i="75" s="1"/>
  <c r="X26" i="80" s="1"/>
  <c r="I67" i="75"/>
  <c r="E26" i="75"/>
  <c r="H26" i="75"/>
  <c r="J66" i="75"/>
  <c r="J26" i="75"/>
  <c r="I26" i="75"/>
  <c r="H130" i="57"/>
  <c r="H50" i="75" s="1"/>
  <c r="H53" i="75" s="1"/>
  <c r="I55" i="75"/>
  <c r="I56" i="75" s="1"/>
  <c r="I51" i="75"/>
  <c r="I54" i="75" s="1"/>
  <c r="Y22" i="80" s="1"/>
  <c r="E67" i="75"/>
  <c r="F66" i="75"/>
  <c r="F30" i="75"/>
  <c r="K66" i="75"/>
  <c r="K45" i="75"/>
  <c r="AA19" i="80" s="1"/>
  <c r="F67" i="75"/>
  <c r="H66" i="75"/>
  <c r="J72" i="75"/>
  <c r="I72" i="75"/>
  <c r="G72" i="75"/>
  <c r="G55" i="75"/>
  <c r="G56" i="75" s="1"/>
  <c r="G51" i="75"/>
  <c r="G54" i="75" s="1"/>
  <c r="W22" i="80" s="1"/>
  <c r="G50" i="75"/>
  <c r="G53" i="75" s="1"/>
  <c r="G66" i="75"/>
  <c r="E66" i="75"/>
  <c r="I65" i="75"/>
  <c r="K65" i="75"/>
  <c r="J68" i="75"/>
  <c r="K68" i="75"/>
  <c r="E72" i="75"/>
  <c r="I73" i="75"/>
  <c r="Y30" i="80" s="1"/>
  <c r="H65" i="75"/>
  <c r="G145" i="57"/>
  <c r="H73" i="75"/>
  <c r="X30" i="80" s="1"/>
  <c r="J55" i="75"/>
  <c r="J56" i="75" s="1"/>
  <c r="J51" i="75"/>
  <c r="J54" i="75" s="1"/>
  <c r="Z22" i="80" s="1"/>
  <c r="F65" i="75"/>
  <c r="G68" i="75"/>
  <c r="E73" i="75"/>
  <c r="H72" i="75"/>
  <c r="H51" i="75"/>
  <c r="H54" i="75" s="1"/>
  <c r="X22" i="80" s="1"/>
  <c r="H55" i="75"/>
  <c r="H56" i="75" s="1"/>
  <c r="I68" i="75"/>
  <c r="F72" i="75"/>
  <c r="I57" i="75"/>
  <c r="I58" i="75" s="1"/>
  <c r="Y25" i="80" s="1"/>
  <c r="G67" i="75"/>
  <c r="E57" i="75"/>
  <c r="E58" i="75" s="1"/>
  <c r="L145" i="56"/>
  <c r="E26" i="73"/>
  <c r="I59" i="73"/>
  <c r="I60" i="73" s="1"/>
  <c r="T26" i="80" s="1"/>
  <c r="E57" i="73"/>
  <c r="E58" i="73" s="1"/>
  <c r="D140" i="56"/>
  <c r="I57" i="73"/>
  <c r="I58" i="73" s="1"/>
  <c r="T25" i="80" s="1"/>
  <c r="AL25" i="80" s="1"/>
  <c r="E145" i="56"/>
  <c r="F73" i="73"/>
  <c r="F65" i="73"/>
  <c r="I65" i="73"/>
  <c r="K72" i="73"/>
  <c r="E73" i="73"/>
  <c r="F51" i="73"/>
  <c r="F54" i="73" s="1"/>
  <c r="F55" i="73"/>
  <c r="F56" i="73" s="1"/>
  <c r="F67" i="73"/>
  <c r="I66" i="73"/>
  <c r="E30" i="73"/>
  <c r="E45" i="73"/>
  <c r="E65" i="73"/>
  <c r="E55" i="73"/>
  <c r="E56" i="73" s="1"/>
  <c r="E51" i="73"/>
  <c r="E54" i="73" s="1"/>
  <c r="K74" i="73"/>
  <c r="V31" i="80" s="1"/>
  <c r="K73" i="73"/>
  <c r="V30" i="80" s="1"/>
  <c r="F66" i="73"/>
  <c r="J26" i="73"/>
  <c r="E66" i="73"/>
  <c r="H67" i="73"/>
  <c r="F26" i="73"/>
  <c r="F72" i="73"/>
  <c r="K55" i="73"/>
  <c r="K56" i="73" s="1"/>
  <c r="K51" i="73"/>
  <c r="K54" i="73" s="1"/>
  <c r="V22" i="80" s="1"/>
  <c r="G140" i="56"/>
  <c r="G73" i="73" s="1"/>
  <c r="R30" i="80" s="1"/>
  <c r="K59" i="73"/>
  <c r="K60" i="73" s="1"/>
  <c r="V26" i="80" s="1"/>
  <c r="AP26" i="80" s="1"/>
  <c r="G84" i="56"/>
  <c r="G88" i="56" s="1"/>
  <c r="G68" i="73"/>
  <c r="K67" i="73"/>
  <c r="I26" i="73"/>
  <c r="G26" i="73"/>
  <c r="H66" i="73"/>
  <c r="G55" i="73"/>
  <c r="G56" i="73" s="1"/>
  <c r="G51" i="73"/>
  <c r="G54" i="73" s="1"/>
  <c r="R22" i="80" s="1"/>
  <c r="I72" i="73"/>
  <c r="H55" i="73"/>
  <c r="H56" i="73" s="1"/>
  <c r="H51" i="73"/>
  <c r="H54" i="73" s="1"/>
  <c r="S22" i="80" s="1"/>
  <c r="I68" i="73"/>
  <c r="J59" i="73"/>
  <c r="J60" i="73" s="1"/>
  <c r="U26" i="80" s="1"/>
  <c r="J67" i="73"/>
  <c r="G67" i="73"/>
  <c r="K30" i="73"/>
  <c r="K45" i="73"/>
  <c r="V19" i="80" s="1"/>
  <c r="G57" i="73"/>
  <c r="G58" i="73" s="1"/>
  <c r="R25" i="80" s="1"/>
  <c r="H72" i="73"/>
  <c r="K65" i="73"/>
  <c r="G72" i="73"/>
  <c r="H145" i="56"/>
  <c r="J55" i="73"/>
  <c r="J56" i="73" s="1"/>
  <c r="J51" i="73"/>
  <c r="J54" i="73" s="1"/>
  <c r="U22" i="80" s="1"/>
  <c r="G59" i="73"/>
  <c r="G60" i="73" s="1"/>
  <c r="R26" i="80" s="1"/>
  <c r="G65" i="73"/>
  <c r="H65" i="73"/>
  <c r="C145" i="56"/>
  <c r="G130" i="56"/>
  <c r="G50" i="73" s="1"/>
  <c r="G53" i="73" s="1"/>
  <c r="E67" i="73"/>
  <c r="J66" i="73"/>
  <c r="H26" i="73"/>
  <c r="J65" i="73"/>
  <c r="J72" i="73"/>
  <c r="E72" i="73"/>
  <c r="I51" i="73"/>
  <c r="I54" i="73" s="1"/>
  <c r="T22" i="80" s="1"/>
  <c r="I55" i="73"/>
  <c r="I56" i="73" s="1"/>
  <c r="C50" i="56"/>
  <c r="K66" i="73"/>
  <c r="I67" i="73"/>
  <c r="F59" i="73"/>
  <c r="F60" i="73" s="1"/>
  <c r="G66" i="73"/>
  <c r="J69" i="55"/>
  <c r="J66" i="72"/>
  <c r="I69" i="55"/>
  <c r="F69" i="55"/>
  <c r="F84" i="55"/>
  <c r="F88" i="55" s="1"/>
  <c r="F93" i="55" s="1"/>
  <c r="F68" i="72"/>
  <c r="E68" i="72"/>
  <c r="I55" i="72"/>
  <c r="I56" i="72" s="1"/>
  <c r="I51" i="72"/>
  <c r="I54" i="72" s="1"/>
  <c r="O22" i="80" s="1"/>
  <c r="F65" i="72"/>
  <c r="K65" i="72"/>
  <c r="G84" i="55"/>
  <c r="G88" i="55" s="1"/>
  <c r="G93" i="55" s="1"/>
  <c r="G68" i="72"/>
  <c r="I67" i="72"/>
  <c r="K67" i="72"/>
  <c r="K66" i="72"/>
  <c r="F66" i="72"/>
  <c r="I65" i="72"/>
  <c r="H24" i="72"/>
  <c r="J84" i="55"/>
  <c r="J88" i="55" s="1"/>
  <c r="J93" i="55" s="1"/>
  <c r="J68" i="72"/>
  <c r="F55" i="72"/>
  <c r="F56" i="72" s="1"/>
  <c r="F51" i="72"/>
  <c r="F54" i="72" s="1"/>
  <c r="G65" i="72"/>
  <c r="J67" i="72"/>
  <c r="H26" i="72"/>
  <c r="H67" i="72"/>
  <c r="G59" i="72"/>
  <c r="G60" i="72" s="1"/>
  <c r="M26" i="80" s="1"/>
  <c r="E24" i="72"/>
  <c r="E26" i="72" s="1"/>
  <c r="F24" i="72"/>
  <c r="F26" i="72" s="1"/>
  <c r="H55" i="72"/>
  <c r="H56" i="72" s="1"/>
  <c r="H51" i="72"/>
  <c r="H54" i="72" s="1"/>
  <c r="N22" i="80" s="1"/>
  <c r="G24" i="72"/>
  <c r="G26" i="72" s="1"/>
  <c r="I24" i="72"/>
  <c r="I26" i="72" s="1"/>
  <c r="H84" i="55"/>
  <c r="H68" i="72"/>
  <c r="H66" i="72"/>
  <c r="E66" i="72"/>
  <c r="G66" i="72"/>
  <c r="J55" i="72"/>
  <c r="J56" i="72" s="1"/>
  <c r="J51" i="72"/>
  <c r="J54" i="72" s="1"/>
  <c r="P22" i="80" s="1"/>
  <c r="I84" i="55"/>
  <c r="I88" i="55" s="1"/>
  <c r="I93" i="55" s="1"/>
  <c r="I68" i="72"/>
  <c r="J65" i="72"/>
  <c r="H69" i="55"/>
  <c r="I66" i="72"/>
  <c r="K68" i="72"/>
  <c r="H65" i="72"/>
  <c r="K51" i="72"/>
  <c r="K54" i="72" s="1"/>
  <c r="Q22" i="80" s="1"/>
  <c r="K55" i="72"/>
  <c r="K56" i="72" s="1"/>
  <c r="J124" i="55"/>
  <c r="E69" i="55"/>
  <c r="D69" i="55"/>
  <c r="D140" i="55"/>
  <c r="D145" i="55" s="1"/>
  <c r="L69" i="55"/>
  <c r="K57" i="72"/>
  <c r="K58" i="72" s="1"/>
  <c r="Q25" i="80" s="1"/>
  <c r="G51" i="72"/>
  <c r="G54" i="72" s="1"/>
  <c r="M22" i="80" s="1"/>
  <c r="G55" i="72"/>
  <c r="G56" i="72" s="1"/>
  <c r="E55" i="72"/>
  <c r="E56" i="72" s="1"/>
  <c r="E61" i="72" s="1"/>
  <c r="E51" i="72"/>
  <c r="E54" i="72" s="1"/>
  <c r="I57" i="72"/>
  <c r="I58" i="72" s="1"/>
  <c r="O25" i="80" s="1"/>
  <c r="F67" i="72"/>
  <c r="G67" i="72"/>
  <c r="E67" i="72"/>
  <c r="F57" i="72"/>
  <c r="F58" i="72" s="1"/>
  <c r="K24" i="72"/>
  <c r="K26" i="72" s="1"/>
  <c r="E65" i="72"/>
  <c r="I11" i="55"/>
  <c r="I16" i="55" s="1"/>
  <c r="J130" i="55"/>
  <c r="K50" i="72" s="1"/>
  <c r="K53" i="72" s="1"/>
  <c r="J26" i="72"/>
  <c r="E59" i="71"/>
  <c r="E60" i="71" s="1"/>
  <c r="E138" i="54"/>
  <c r="F144" i="54"/>
  <c r="H77" i="71"/>
  <c r="I41" i="54"/>
  <c r="K28" i="71"/>
  <c r="I127" i="54"/>
  <c r="H111" i="54"/>
  <c r="H113" i="54" s="1"/>
  <c r="H110" i="54" s="1"/>
  <c r="H100" i="54" s="1"/>
  <c r="G59" i="71"/>
  <c r="G60" i="71" s="1"/>
  <c r="H26" i="80" s="1"/>
  <c r="AH26" i="80" s="1"/>
  <c r="K57" i="71"/>
  <c r="K58" i="71" s="1"/>
  <c r="L25" i="80" s="1"/>
  <c r="AP25" i="80" s="1"/>
  <c r="H140" i="54"/>
  <c r="C50" i="54"/>
  <c r="L145" i="54"/>
  <c r="F138" i="54"/>
  <c r="F66" i="54"/>
  <c r="L107" i="54"/>
  <c r="L109" i="54" s="1"/>
  <c r="L106" i="54" s="1"/>
  <c r="L99" i="54" s="1"/>
  <c r="K29" i="71"/>
  <c r="I139" i="32"/>
  <c r="AG106" i="32"/>
  <c r="AG108" i="32" s="1"/>
  <c r="AG105" i="32" s="1"/>
  <c r="AG98" i="32" s="1"/>
  <c r="D25" i="80"/>
  <c r="AK25" i="80" s="1"/>
  <c r="E24" i="30"/>
  <c r="E26" i="30" s="1"/>
  <c r="I58" i="30"/>
  <c r="I59" i="30" s="1"/>
  <c r="G143" i="32"/>
  <c r="H73" i="30" s="1"/>
  <c r="E10" i="32"/>
  <c r="E15" i="32" s="1"/>
  <c r="E17" i="32" s="1"/>
  <c r="E76" i="30" s="1"/>
  <c r="AP75" i="32"/>
  <c r="H115" i="74"/>
  <c r="AL117" i="32"/>
  <c r="AL131" i="32" s="1"/>
  <c r="AL133" i="32" s="1"/>
  <c r="F31" i="74"/>
  <c r="F13" i="74" s="1"/>
  <c r="AL10" i="32"/>
  <c r="G10" i="32"/>
  <c r="G15" i="32" s="1"/>
  <c r="AI15" i="32" s="1"/>
  <c r="AG95" i="32"/>
  <c r="AG10" i="32"/>
  <c r="K95" i="32"/>
  <c r="K56" i="30" s="1"/>
  <c r="K57" i="30" s="1"/>
  <c r="G24" i="80" s="1"/>
  <c r="AQ24" i="80" s="1"/>
  <c r="D31" i="74"/>
  <c r="D12" i="74" s="1"/>
  <c r="AJ10" i="32"/>
  <c r="K29" i="30"/>
  <c r="C17" i="68"/>
  <c r="D35" i="74"/>
  <c r="E26" i="71"/>
  <c r="E30" i="71" s="1"/>
  <c r="AQ131" i="32"/>
  <c r="AQ133" i="32" s="1"/>
  <c r="AN131" i="32"/>
  <c r="AN133" i="32" s="1"/>
  <c r="AP131" i="32"/>
  <c r="AP133" i="32" s="1"/>
  <c r="AR131" i="32"/>
  <c r="AR133" i="32" s="1"/>
  <c r="AR123" i="32"/>
  <c r="AO131" i="32"/>
  <c r="AO133" i="32" s="1"/>
  <c r="D123" i="32"/>
  <c r="D143" i="32"/>
  <c r="D144" i="32" s="1"/>
  <c r="K139" i="32"/>
  <c r="K74" i="30" s="1"/>
  <c r="G30" i="80" s="1"/>
  <c r="AQ30" i="80" s="1"/>
  <c r="I23" i="30"/>
  <c r="AM72" i="32"/>
  <c r="AS123" i="32"/>
  <c r="AS134" i="32" s="1"/>
  <c r="R144" i="32"/>
  <c r="E67" i="30"/>
  <c r="AK8" i="32"/>
  <c r="AK95" i="32" s="1"/>
  <c r="AO100" i="32"/>
  <c r="AO113" i="32" s="1"/>
  <c r="AM85" i="32"/>
  <c r="AG139" i="32"/>
  <c r="AG144" i="32" s="1"/>
  <c r="G25" i="30"/>
  <c r="I95" i="32"/>
  <c r="I52" i="30" s="1"/>
  <c r="I55" i="30" s="1"/>
  <c r="E22" i="80" s="1"/>
  <c r="AM22" i="80" s="1"/>
  <c r="G117" i="32"/>
  <c r="G131" i="32" s="1"/>
  <c r="G133" i="32" s="1"/>
  <c r="AK85" i="32"/>
  <c r="D129" i="32"/>
  <c r="H129" i="32"/>
  <c r="K58" i="30"/>
  <c r="K59" i="30" s="1"/>
  <c r="G24" i="30"/>
  <c r="G23" i="30"/>
  <c r="K23" i="30"/>
  <c r="G18" i="80"/>
  <c r="AQ18" i="80" s="1"/>
  <c r="K49" i="32"/>
  <c r="G27" i="30"/>
  <c r="F29" i="30"/>
  <c r="G95" i="32"/>
  <c r="G52" i="30" s="1"/>
  <c r="G55" i="30" s="1"/>
  <c r="C22" i="80" s="1"/>
  <c r="AI22" i="80" s="1"/>
  <c r="AM8" i="32"/>
  <c r="AM106" i="32"/>
  <c r="AM108" i="32" s="1"/>
  <c r="AM105" i="32" s="1"/>
  <c r="AM98" i="32" s="1"/>
  <c r="G29" i="30"/>
  <c r="I28" i="30"/>
  <c r="G28" i="30"/>
  <c r="K28" i="30"/>
  <c r="J24" i="30"/>
  <c r="J26" i="30" s="1"/>
  <c r="C18" i="80"/>
  <c r="AI18" i="80" s="1"/>
  <c r="J10" i="32"/>
  <c r="J15" i="32" s="1"/>
  <c r="AI8" i="32"/>
  <c r="K24" i="30"/>
  <c r="AK144" i="32"/>
  <c r="I10" i="32"/>
  <c r="F139" i="32"/>
  <c r="I24" i="30"/>
  <c r="H10" i="32"/>
  <c r="H15" i="32" s="1"/>
  <c r="G49" i="32"/>
  <c r="H24" i="30"/>
  <c r="H26" i="30" s="1"/>
  <c r="F95" i="32"/>
  <c r="F56" i="30" s="1"/>
  <c r="F57" i="30" s="1"/>
  <c r="I25" i="30"/>
  <c r="I129" i="32"/>
  <c r="H60" i="30"/>
  <c r="H61" i="30" s="1"/>
  <c r="AH144" i="32"/>
  <c r="F44" i="30"/>
  <c r="F117" i="32"/>
  <c r="F123" i="32" s="1"/>
  <c r="E49" i="32"/>
  <c r="AH8" i="32"/>
  <c r="AH117" i="32" s="1"/>
  <c r="F24" i="30"/>
  <c r="F10" i="32"/>
  <c r="AI139" i="32"/>
  <c r="AI144" i="32" s="1"/>
  <c r="F25" i="30"/>
  <c r="F28" i="30"/>
  <c r="E44" i="30"/>
  <c r="E95" i="32"/>
  <c r="E56" i="30" s="1"/>
  <c r="E57" i="30" s="1"/>
  <c r="E62" i="30" s="1"/>
  <c r="F23" i="30"/>
  <c r="E29" i="30"/>
  <c r="K10" i="32"/>
  <c r="K4" i="32" s="1"/>
  <c r="F69" i="30"/>
  <c r="AL95" i="32"/>
  <c r="H66" i="30"/>
  <c r="AL139" i="32"/>
  <c r="AL144" i="32" s="1"/>
  <c r="AJ95" i="32"/>
  <c r="AI110" i="32"/>
  <c r="AI112" i="32" s="1"/>
  <c r="AI109" i="32" s="1"/>
  <c r="AI99" i="32" s="1"/>
  <c r="AM110" i="32"/>
  <c r="AM112" i="32" s="1"/>
  <c r="AM109" i="32" s="1"/>
  <c r="AM99" i="32" s="1"/>
  <c r="AJ106" i="32"/>
  <c r="AJ108" i="32" s="1"/>
  <c r="AJ105" i="32" s="1"/>
  <c r="AJ98" i="32" s="1"/>
  <c r="AI106" i="32"/>
  <c r="AI108" i="32" s="1"/>
  <c r="AI105" i="32" s="1"/>
  <c r="AI98" i="32" s="1"/>
  <c r="AK106" i="32"/>
  <c r="AK108" i="32" s="1"/>
  <c r="AK105" i="32" s="1"/>
  <c r="AK98" i="32" s="1"/>
  <c r="E68" i="30"/>
  <c r="F68" i="30"/>
  <c r="J60" i="30"/>
  <c r="J61" i="30" s="1"/>
  <c r="AK110" i="32"/>
  <c r="AK112" i="32" s="1"/>
  <c r="AK109" i="32" s="1"/>
  <c r="AK99" i="32" s="1"/>
  <c r="G60" i="30"/>
  <c r="G61" i="30" s="1"/>
  <c r="I44" i="30"/>
  <c r="E18" i="80" s="1"/>
  <c r="AM18" i="80" s="1"/>
  <c r="AL110" i="32"/>
  <c r="AL112" i="32" s="1"/>
  <c r="AL109" i="32" s="1"/>
  <c r="AL99" i="32" s="1"/>
  <c r="I29" i="30"/>
  <c r="F67" i="30"/>
  <c r="J56" i="30"/>
  <c r="J57" i="30" s="1"/>
  <c r="E117" i="32"/>
  <c r="E123" i="32" s="1"/>
  <c r="D144" i="54"/>
  <c r="E72" i="71" s="1"/>
  <c r="I32" i="71"/>
  <c r="I44" i="71" s="1"/>
  <c r="J18" i="80" s="1"/>
  <c r="AL18" i="80" s="1"/>
  <c r="L41" i="54"/>
  <c r="H123" i="54"/>
  <c r="G127" i="54"/>
  <c r="J66" i="71"/>
  <c r="I10" i="54"/>
  <c r="I24" i="71" s="1"/>
  <c r="H66" i="54"/>
  <c r="I66" i="71" s="1"/>
  <c r="F59" i="71"/>
  <c r="F60" i="71" s="1"/>
  <c r="I25" i="71"/>
  <c r="I59" i="71"/>
  <c r="I60" i="71" s="1"/>
  <c r="J26" i="80" s="1"/>
  <c r="AL26" i="80" s="1"/>
  <c r="K144" i="54"/>
  <c r="G41" i="54"/>
  <c r="H57" i="71"/>
  <c r="H58" i="71" s="1"/>
  <c r="I25" i="80" s="1"/>
  <c r="AJ25" i="80" s="1"/>
  <c r="K51" i="71"/>
  <c r="K54" i="71" s="1"/>
  <c r="L22" i="80" s="1"/>
  <c r="K55" i="71"/>
  <c r="K56" i="71" s="1"/>
  <c r="G24" i="71"/>
  <c r="G26" i="71" s="1"/>
  <c r="F66" i="71"/>
  <c r="J69" i="54"/>
  <c r="K65" i="71"/>
  <c r="E45" i="71"/>
  <c r="J57" i="71"/>
  <c r="J58" i="71" s="1"/>
  <c r="K25" i="80" s="1"/>
  <c r="AN25" i="80" s="1"/>
  <c r="C145" i="54"/>
  <c r="I51" i="71"/>
  <c r="I54" i="71" s="1"/>
  <c r="J22" i="80" s="1"/>
  <c r="I55" i="71"/>
  <c r="I56" i="71" s="1"/>
  <c r="J24" i="80" s="1"/>
  <c r="C69" i="54"/>
  <c r="H55" i="71"/>
  <c r="H56" i="71" s="1"/>
  <c r="I24" i="80" s="1"/>
  <c r="H51" i="71"/>
  <c r="H54" i="71" s="1"/>
  <c r="I22" i="80" s="1"/>
  <c r="J77" i="71"/>
  <c r="K24" i="71"/>
  <c r="K26" i="71" s="1"/>
  <c r="D69" i="54"/>
  <c r="E51" i="71"/>
  <c r="E54" i="71" s="1"/>
  <c r="E55" i="71"/>
  <c r="E56" i="71" s="1"/>
  <c r="J55" i="71"/>
  <c r="J56" i="71" s="1"/>
  <c r="K24" i="80" s="1"/>
  <c r="J51" i="71"/>
  <c r="J54" i="71" s="1"/>
  <c r="K22" i="80" s="1"/>
  <c r="AN22" i="80" s="1"/>
  <c r="K66" i="71"/>
  <c r="H26" i="71"/>
  <c r="J24" i="71"/>
  <c r="J26" i="71" s="1"/>
  <c r="G57" i="71"/>
  <c r="G58" i="71" s="1"/>
  <c r="H25" i="80" s="1"/>
  <c r="H145" i="54"/>
  <c r="K67" i="71"/>
  <c r="E66" i="71"/>
  <c r="J65" i="71"/>
  <c r="F51" i="71"/>
  <c r="F54" i="71" s="1"/>
  <c r="F55" i="71"/>
  <c r="F56" i="71" s="1"/>
  <c r="G51" i="71"/>
  <c r="G54" i="71" s="1"/>
  <c r="H22" i="80" s="1"/>
  <c r="G55" i="71"/>
  <c r="G56" i="71" s="1"/>
  <c r="H24" i="80" s="1"/>
  <c r="F11" i="54"/>
  <c r="F24" i="71"/>
  <c r="F26" i="71" s="1"/>
  <c r="F30" i="71" s="1"/>
  <c r="I67" i="71"/>
  <c r="E67" i="71"/>
  <c r="J67" i="71"/>
  <c r="AI72" i="32"/>
  <c r="AI75" i="32"/>
  <c r="AI85" i="32"/>
  <c r="AG78" i="32"/>
  <c r="I74" i="30"/>
  <c r="E30" i="80" s="1"/>
  <c r="AM30" i="80" s="1"/>
  <c r="H83" i="32"/>
  <c r="H87" i="32" s="1"/>
  <c r="H92" i="32" s="1"/>
  <c r="H69" i="30"/>
  <c r="J67" i="30"/>
  <c r="E69" i="30"/>
  <c r="K73" i="30"/>
  <c r="E66" i="30"/>
  <c r="I66" i="30"/>
  <c r="P134" i="32"/>
  <c r="I68" i="30"/>
  <c r="G68" i="30"/>
  <c r="I67" i="30"/>
  <c r="G83" i="32"/>
  <c r="G87" i="32" s="1"/>
  <c r="G69" i="30"/>
  <c r="J73" i="30"/>
  <c r="G66" i="30"/>
  <c r="AN123" i="32"/>
  <c r="K66" i="30"/>
  <c r="D133" i="32"/>
  <c r="I73" i="30"/>
  <c r="G58" i="30"/>
  <c r="G59" i="30" s="1"/>
  <c r="K68" i="30"/>
  <c r="K60" i="30"/>
  <c r="K61" i="30" s="1"/>
  <c r="H56" i="30"/>
  <c r="H57" i="30" s="1"/>
  <c r="D24" i="80" s="1"/>
  <c r="AK24" i="80" s="1"/>
  <c r="H52" i="30"/>
  <c r="H55" i="30" s="1"/>
  <c r="D22" i="80" s="1"/>
  <c r="AK22" i="80" s="1"/>
  <c r="K67" i="30"/>
  <c r="F66" i="30"/>
  <c r="H68" i="30"/>
  <c r="G67" i="30"/>
  <c r="I60" i="30"/>
  <c r="I61" i="30" s="1"/>
  <c r="E26" i="80" s="1"/>
  <c r="AM26" i="80" s="1"/>
  <c r="G139" i="32"/>
  <c r="H67" i="30"/>
  <c r="J68" i="30"/>
  <c r="J129" i="32"/>
  <c r="I83" i="32"/>
  <c r="I87" i="32" s="1"/>
  <c r="I92" i="32" s="1"/>
  <c r="I69" i="30"/>
  <c r="AG83" i="32"/>
  <c r="K69" i="30"/>
  <c r="J83" i="32"/>
  <c r="J87" i="32" s="1"/>
  <c r="J92" i="32" s="1"/>
  <c r="J69" i="30"/>
  <c r="AJ117" i="32"/>
  <c r="J74" i="30"/>
  <c r="F30" i="80" s="1"/>
  <c r="AO30" i="80" s="1"/>
  <c r="F60" i="30"/>
  <c r="F61" i="30" s="1"/>
  <c r="J58" i="30"/>
  <c r="J66" i="30"/>
  <c r="AN78" i="32"/>
  <c r="AO123" i="32"/>
  <c r="Q134" i="32"/>
  <c r="AK75" i="32"/>
  <c r="N134" i="32"/>
  <c r="F143" i="32"/>
  <c r="G73" i="30" s="1"/>
  <c r="AG92" i="32"/>
  <c r="G129" i="32"/>
  <c r="I144" i="32"/>
  <c r="AS144" i="32"/>
  <c r="AQ123" i="32"/>
  <c r="F68" i="32"/>
  <c r="AG75" i="32"/>
  <c r="L69" i="57"/>
  <c r="K69" i="57"/>
  <c r="H124" i="57"/>
  <c r="C124" i="57"/>
  <c r="C135" i="57" s="1"/>
  <c r="E79" i="57"/>
  <c r="I145" i="57"/>
  <c r="D69" i="57"/>
  <c r="D145" i="57"/>
  <c r="E74" i="75" s="1"/>
  <c r="J130" i="57"/>
  <c r="K50" i="75" s="1"/>
  <c r="K53" i="75" s="1"/>
  <c r="L124" i="57"/>
  <c r="F88" i="57"/>
  <c r="P84" i="57"/>
  <c r="H50" i="57"/>
  <c r="C50" i="57"/>
  <c r="E69" i="57"/>
  <c r="E50" i="57"/>
  <c r="G18" i="57"/>
  <c r="I16" i="57"/>
  <c r="I4" i="57"/>
  <c r="G124" i="57"/>
  <c r="M132" i="57"/>
  <c r="M134" i="57" s="1"/>
  <c r="M124" i="57"/>
  <c r="J140" i="57"/>
  <c r="I130" i="57"/>
  <c r="I50" i="75" s="1"/>
  <c r="I53" i="75" s="1"/>
  <c r="H16" i="57"/>
  <c r="H4" i="57"/>
  <c r="J124" i="57"/>
  <c r="P135" i="57"/>
  <c r="D50" i="57"/>
  <c r="K84" i="57"/>
  <c r="H69" i="57"/>
  <c r="H145" i="57"/>
  <c r="I74" i="75" s="1"/>
  <c r="Y31" i="80" s="1"/>
  <c r="J50" i="57"/>
  <c r="I69" i="57"/>
  <c r="E4" i="57"/>
  <c r="E16" i="57"/>
  <c r="M84" i="57"/>
  <c r="H79" i="57"/>
  <c r="L132" i="57"/>
  <c r="L134" i="57" s="1"/>
  <c r="D132" i="57"/>
  <c r="D134" i="57" s="1"/>
  <c r="I124" i="57"/>
  <c r="D101" i="57"/>
  <c r="F69" i="57"/>
  <c r="G84" i="57"/>
  <c r="O84" i="57"/>
  <c r="K50" i="57"/>
  <c r="N93" i="57"/>
  <c r="F50" i="57"/>
  <c r="J69" i="57"/>
  <c r="J4" i="57"/>
  <c r="J16" i="57"/>
  <c r="K124" i="57"/>
  <c r="K135" i="57" s="1"/>
  <c r="E124" i="57"/>
  <c r="F140" i="57"/>
  <c r="E130" i="57"/>
  <c r="F50" i="75" s="1"/>
  <c r="F53" i="75" s="1"/>
  <c r="N132" i="57"/>
  <c r="N134" i="57" s="1"/>
  <c r="N124" i="57"/>
  <c r="F124" i="57"/>
  <c r="F135" i="57" s="1"/>
  <c r="J84" i="57"/>
  <c r="I84" i="57"/>
  <c r="L50" i="57"/>
  <c r="G50" i="57"/>
  <c r="R114" i="57"/>
  <c r="R97" i="57"/>
  <c r="G69" i="57"/>
  <c r="F16" i="57"/>
  <c r="F4" i="57"/>
  <c r="Q84" i="57"/>
  <c r="L79" i="57"/>
  <c r="H132" i="57"/>
  <c r="H134" i="57" s="1"/>
  <c r="L16" i="57"/>
  <c r="C101" i="57"/>
  <c r="C21" i="56"/>
  <c r="C98" i="56"/>
  <c r="E130" i="56"/>
  <c r="F50" i="73" s="1"/>
  <c r="F53" i="73" s="1"/>
  <c r="I140" i="56"/>
  <c r="G124" i="56"/>
  <c r="H49" i="73" s="1"/>
  <c r="H52" i="73" s="1"/>
  <c r="J124" i="56"/>
  <c r="H16" i="56"/>
  <c r="H18" i="56" s="1"/>
  <c r="C135" i="56"/>
  <c r="F145" i="56"/>
  <c r="F74" i="73" s="1"/>
  <c r="K130" i="56"/>
  <c r="K135" i="56" s="1"/>
  <c r="C101" i="56"/>
  <c r="C70" i="56"/>
  <c r="K69" i="55"/>
  <c r="O97" i="55"/>
  <c r="O114" i="55"/>
  <c r="G69" i="55"/>
  <c r="G124" i="55"/>
  <c r="R135" i="55"/>
  <c r="G68" i="32"/>
  <c r="H68" i="32"/>
  <c r="J68" i="32"/>
  <c r="AO15" i="32"/>
  <c r="R134" i="32"/>
  <c r="L134" i="32"/>
  <c r="AN129" i="32"/>
  <c r="E144" i="32"/>
  <c r="J144" i="32"/>
  <c r="AO20" i="32"/>
  <c r="AR144" i="32"/>
  <c r="AP123" i="32"/>
  <c r="AQ144" i="32"/>
  <c r="E69" i="54"/>
  <c r="K69" i="54"/>
  <c r="C124" i="54"/>
  <c r="C135" i="54" s="1"/>
  <c r="J124" i="54"/>
  <c r="I69" i="54"/>
  <c r="O134" i="32"/>
  <c r="AJ139" i="32"/>
  <c r="AJ144" i="32" s="1"/>
  <c r="AN75" i="32"/>
  <c r="AG86" i="32"/>
  <c r="AS75" i="32"/>
  <c r="F129" i="32"/>
  <c r="AQ20" i="32"/>
  <c r="AQ17" i="32"/>
  <c r="AQ97" i="32" s="1"/>
  <c r="AQ100" i="32" s="1"/>
  <c r="AG40" i="32"/>
  <c r="L144" i="32"/>
  <c r="AQ72" i="32"/>
  <c r="J123" i="32"/>
  <c r="J131" i="32"/>
  <c r="J133" i="32" s="1"/>
  <c r="AL75" i="32"/>
  <c r="AR96" i="32"/>
  <c r="H131" i="32"/>
  <c r="H133" i="32" s="1"/>
  <c r="H123" i="32"/>
  <c r="O96" i="32"/>
  <c r="O113" i="32"/>
  <c r="AJ75" i="32"/>
  <c r="I49" i="32"/>
  <c r="I123" i="32"/>
  <c r="AM75" i="32"/>
  <c r="AN20" i="32"/>
  <c r="AN17" i="32"/>
  <c r="AN97" i="32" s="1"/>
  <c r="AN100" i="32" s="1"/>
  <c r="H144" i="32"/>
  <c r="E68" i="32"/>
  <c r="I68" i="32"/>
  <c r="E129" i="32"/>
  <c r="D68" i="32"/>
  <c r="N96" i="32"/>
  <c r="N113" i="32"/>
  <c r="D49" i="32"/>
  <c r="E11" i="30" s="1"/>
  <c r="I130" i="56"/>
  <c r="J50" i="73" s="1"/>
  <c r="J53" i="73" s="1"/>
  <c r="H124" i="56"/>
  <c r="J50" i="56"/>
  <c r="K124" i="56"/>
  <c r="L50" i="56"/>
  <c r="L69" i="56"/>
  <c r="F124" i="56"/>
  <c r="K79" i="56"/>
  <c r="D130" i="56"/>
  <c r="D101" i="56"/>
  <c r="J79" i="56"/>
  <c r="G50" i="56"/>
  <c r="Q93" i="56"/>
  <c r="G4" i="56"/>
  <c r="G16" i="56"/>
  <c r="O84" i="56"/>
  <c r="H50" i="56"/>
  <c r="I88" i="56"/>
  <c r="E50" i="56"/>
  <c r="L130" i="56"/>
  <c r="E69" i="56"/>
  <c r="L132" i="56"/>
  <c r="L134" i="56" s="1"/>
  <c r="E16" i="56"/>
  <c r="E4" i="56"/>
  <c r="I124" i="56"/>
  <c r="I16" i="56"/>
  <c r="I4" i="56"/>
  <c r="F79" i="56"/>
  <c r="E84" i="56"/>
  <c r="J69" i="56"/>
  <c r="J132" i="56"/>
  <c r="J134" i="56" s="1"/>
  <c r="H130" i="56"/>
  <c r="M88" i="56"/>
  <c r="J16" i="56"/>
  <c r="N132" i="56"/>
  <c r="N134" i="56" s="1"/>
  <c r="N124" i="56"/>
  <c r="L84" i="56"/>
  <c r="K69" i="56"/>
  <c r="I69" i="56"/>
  <c r="H132" i="56"/>
  <c r="H134" i="56" s="1"/>
  <c r="F50" i="56"/>
  <c r="Q114" i="56"/>
  <c r="Q97" i="56"/>
  <c r="K50" i="56"/>
  <c r="K4" i="56"/>
  <c r="K16" i="56"/>
  <c r="G93" i="56"/>
  <c r="F69" i="56"/>
  <c r="F134" i="56"/>
  <c r="N93" i="56"/>
  <c r="H69" i="56"/>
  <c r="L16" i="56"/>
  <c r="I50" i="56"/>
  <c r="F16" i="56"/>
  <c r="H79" i="56"/>
  <c r="H68" i="73" s="1"/>
  <c r="P88" i="56"/>
  <c r="D69" i="56"/>
  <c r="D132" i="56"/>
  <c r="D134" i="56" s="1"/>
  <c r="M132" i="56"/>
  <c r="M134" i="56" s="1"/>
  <c r="M124" i="56"/>
  <c r="M135" i="56" s="1"/>
  <c r="E124" i="56"/>
  <c r="E135" i="56" s="1"/>
  <c r="D50" i="56"/>
  <c r="G69" i="56"/>
  <c r="F130" i="55"/>
  <c r="D124" i="55"/>
  <c r="G140" i="55"/>
  <c r="H134" i="55"/>
  <c r="F134" i="55"/>
  <c r="E11" i="55"/>
  <c r="K11" i="55"/>
  <c r="K16" i="55" s="1"/>
  <c r="D98" i="55"/>
  <c r="D21" i="55"/>
  <c r="E124" i="55"/>
  <c r="F124" i="55"/>
  <c r="D130" i="55"/>
  <c r="E50" i="72" s="1"/>
  <c r="E53" i="72" s="1"/>
  <c r="F11" i="55"/>
  <c r="F4" i="55" s="1"/>
  <c r="L50" i="55"/>
  <c r="G130" i="55"/>
  <c r="G135" i="55" s="1"/>
  <c r="L145" i="55"/>
  <c r="G50" i="55"/>
  <c r="M132" i="55"/>
  <c r="M134" i="55" s="1"/>
  <c r="M135" i="55" s="1"/>
  <c r="L79" i="55"/>
  <c r="G142" i="55"/>
  <c r="G144" i="55" s="1"/>
  <c r="K130" i="55"/>
  <c r="I130" i="55"/>
  <c r="K124" i="55"/>
  <c r="K132" i="55"/>
  <c r="K134" i="55" s="1"/>
  <c r="J50" i="55"/>
  <c r="D142" i="55"/>
  <c r="D144" i="55" s="1"/>
  <c r="E72" i="72" s="1"/>
  <c r="H142" i="55"/>
  <c r="H144" i="55" s="1"/>
  <c r="H145" i="55" s="1"/>
  <c r="G11" i="55"/>
  <c r="D134" i="55"/>
  <c r="H16" i="55"/>
  <c r="E142" i="55"/>
  <c r="E144" i="55" s="1"/>
  <c r="E145" i="55" s="1"/>
  <c r="E50" i="55"/>
  <c r="K50" i="55"/>
  <c r="J142" i="55"/>
  <c r="J144" i="55" s="1"/>
  <c r="J145" i="55" s="1"/>
  <c r="J74" i="72" s="1"/>
  <c r="P31" i="80" s="1"/>
  <c r="D50" i="55"/>
  <c r="H4" i="55"/>
  <c r="F50" i="55"/>
  <c r="I50" i="55"/>
  <c r="I70" i="55" s="1"/>
  <c r="I132" i="55"/>
  <c r="I134" i="55" s="1"/>
  <c r="I124" i="55"/>
  <c r="I142" i="55"/>
  <c r="I144" i="55" s="1"/>
  <c r="I145" i="55" s="1"/>
  <c r="L11" i="55"/>
  <c r="H130" i="55"/>
  <c r="H50" i="72" s="1"/>
  <c r="H53" i="72" s="1"/>
  <c r="F142" i="55"/>
  <c r="F144" i="55" s="1"/>
  <c r="F145" i="55" s="1"/>
  <c r="J132" i="55"/>
  <c r="J134" i="55" s="1"/>
  <c r="D101" i="55"/>
  <c r="D97" i="55" s="1"/>
  <c r="K145" i="55"/>
  <c r="L124" i="55"/>
  <c r="L135" i="55" s="1"/>
  <c r="J11" i="55"/>
  <c r="H124" i="55"/>
  <c r="I49" i="72" s="1"/>
  <c r="I52" i="72" s="1"/>
  <c r="H50" i="55"/>
  <c r="R97" i="55"/>
  <c r="R114" i="55"/>
  <c r="H88" i="55"/>
  <c r="E84" i="55"/>
  <c r="M84" i="55"/>
  <c r="I144" i="54"/>
  <c r="I140" i="54"/>
  <c r="P93" i="54"/>
  <c r="R96" i="32"/>
  <c r="R113" i="32"/>
  <c r="Q96" i="32"/>
  <c r="Q113" i="32"/>
  <c r="P96" i="32"/>
  <c r="P113" i="32"/>
  <c r="Q92" i="32"/>
  <c r="J49" i="32"/>
  <c r="K131" i="32"/>
  <c r="K133" i="32" s="1"/>
  <c r="K123" i="32"/>
  <c r="M134" i="32"/>
  <c r="L92" i="32"/>
  <c r="K83" i="32"/>
  <c r="AS17" i="32"/>
  <c r="AS97" i="32" s="1"/>
  <c r="AS100" i="32" s="1"/>
  <c r="AS20" i="32"/>
  <c r="AP96" i="32"/>
  <c r="AP113" i="32"/>
  <c r="F83" i="32"/>
  <c r="K68" i="32"/>
  <c r="H49" i="32"/>
  <c r="L96" i="32"/>
  <c r="L113" i="32"/>
  <c r="N83" i="32"/>
  <c r="AP78" i="32"/>
  <c r="AH72" i="32"/>
  <c r="F49" i="32"/>
  <c r="AL78" i="32"/>
  <c r="P87" i="32"/>
  <c r="G130" i="54"/>
  <c r="L130" i="54"/>
  <c r="E130" i="54"/>
  <c r="D130" i="54"/>
  <c r="J140" i="54"/>
  <c r="J144" i="54"/>
  <c r="K72" i="71" s="1"/>
  <c r="L11" i="54"/>
  <c r="K50" i="54"/>
  <c r="F76" i="54"/>
  <c r="E134" i="54"/>
  <c r="F140" i="54"/>
  <c r="E140" i="54"/>
  <c r="E73" i="71" s="1"/>
  <c r="E124" i="54"/>
  <c r="D114" i="54"/>
  <c r="O88" i="54"/>
  <c r="K145" i="54"/>
  <c r="I130" i="54"/>
  <c r="G11" i="54"/>
  <c r="G4" i="54" s="1"/>
  <c r="D21" i="54"/>
  <c r="I76" i="54"/>
  <c r="M88" i="54"/>
  <c r="N88" i="54"/>
  <c r="M132" i="54"/>
  <c r="M134" i="54" s="1"/>
  <c r="M124" i="54"/>
  <c r="C79" i="54"/>
  <c r="C84" i="54" s="1"/>
  <c r="C88" i="54" s="1"/>
  <c r="C93" i="54" s="1"/>
  <c r="G144" i="54"/>
  <c r="J130" i="54"/>
  <c r="J135" i="54" s="1"/>
  <c r="E50" i="54"/>
  <c r="E11" i="54"/>
  <c r="D145" i="54"/>
  <c r="H50" i="54"/>
  <c r="H130" i="54"/>
  <c r="I50" i="71" s="1"/>
  <c r="I53" i="71" s="1"/>
  <c r="K130" i="54"/>
  <c r="L79" i="54"/>
  <c r="E79" i="54"/>
  <c r="E68" i="71" s="1"/>
  <c r="I124" i="54"/>
  <c r="J4" i="54"/>
  <c r="J16" i="54"/>
  <c r="L50" i="54"/>
  <c r="L66" i="54"/>
  <c r="L69" i="54" s="1"/>
  <c r="L122" i="54"/>
  <c r="L124" i="54" s="1"/>
  <c r="D132" i="54"/>
  <c r="D134" i="54" s="1"/>
  <c r="K11" i="54"/>
  <c r="I50" i="54"/>
  <c r="G132" i="54"/>
  <c r="G134" i="54" s="1"/>
  <c r="C98" i="54"/>
  <c r="C101" i="54" s="1"/>
  <c r="C21" i="54"/>
  <c r="F130" i="54"/>
  <c r="F47" i="54"/>
  <c r="F65" i="71" s="1"/>
  <c r="F121" i="54"/>
  <c r="F124" i="54" s="1"/>
  <c r="G66" i="54"/>
  <c r="G123" i="54"/>
  <c r="G124" i="54" s="1"/>
  <c r="H11" i="54"/>
  <c r="D47" i="54"/>
  <c r="E65" i="71" s="1"/>
  <c r="D121" i="54"/>
  <c r="D124" i="54" s="1"/>
  <c r="N124" i="54"/>
  <c r="N132" i="54"/>
  <c r="N134" i="54" s="1"/>
  <c r="H132" i="54"/>
  <c r="H134" i="54" s="1"/>
  <c r="H124" i="54"/>
  <c r="K132" i="54"/>
  <c r="K134" i="54" s="1"/>
  <c r="K124" i="54"/>
  <c r="J50" i="54"/>
  <c r="G135" i="57" l="1"/>
  <c r="AH22" i="80"/>
  <c r="L135" i="57"/>
  <c r="C70" i="57"/>
  <c r="AJ26" i="80"/>
  <c r="G49" i="73"/>
  <c r="G52" i="73" s="1"/>
  <c r="AJ22" i="80"/>
  <c r="E74" i="73"/>
  <c r="D145" i="56"/>
  <c r="AN26" i="80"/>
  <c r="AL22" i="80"/>
  <c r="I17" i="73"/>
  <c r="AH25" i="80"/>
  <c r="AP22" i="80"/>
  <c r="E17" i="73"/>
  <c r="J50" i="72"/>
  <c r="J53" i="72" s="1"/>
  <c r="E135" i="55"/>
  <c r="F50" i="72"/>
  <c r="F53" i="72" s="1"/>
  <c r="E17" i="72"/>
  <c r="G145" i="54"/>
  <c r="K30" i="71"/>
  <c r="H69" i="54"/>
  <c r="AJ123" i="32"/>
  <c r="AJ131" i="32"/>
  <c r="AJ133" i="32" s="1"/>
  <c r="AG133" i="32"/>
  <c r="AG134" i="32" s="1"/>
  <c r="AH131" i="32"/>
  <c r="AH133" i="32" s="1"/>
  <c r="H50" i="30"/>
  <c r="H54" i="30" s="1"/>
  <c r="AK117" i="32"/>
  <c r="K52" i="30"/>
  <c r="K55" i="30" s="1"/>
  <c r="G22" i="80" s="1"/>
  <c r="AQ22" i="80" s="1"/>
  <c r="G4" i="32"/>
  <c r="AL123" i="32"/>
  <c r="AL134" i="32" s="1"/>
  <c r="AG15" i="32"/>
  <c r="K50" i="30"/>
  <c r="K54" i="30" s="1"/>
  <c r="C61" i="74"/>
  <c r="C87" i="74"/>
  <c r="O5" i="68"/>
  <c r="P5" i="68" s="1"/>
  <c r="Q5" i="68" s="1"/>
  <c r="R5" i="68" s="1"/>
  <c r="O25" i="68"/>
  <c r="P25" i="68" s="1"/>
  <c r="Q25" i="68" s="1"/>
  <c r="R25" i="68" s="1"/>
  <c r="I51" i="30"/>
  <c r="G17" i="32"/>
  <c r="G4" i="30" s="1"/>
  <c r="G83" i="30" s="1"/>
  <c r="C35" i="80" s="1"/>
  <c r="AI35" i="80" s="1"/>
  <c r="G123" i="32"/>
  <c r="H17" i="30" s="1"/>
  <c r="D14" i="80" s="1"/>
  <c r="AK14" i="80" s="1"/>
  <c r="AO96" i="32"/>
  <c r="H51" i="30"/>
  <c r="K51" i="30"/>
  <c r="L51" i="30" s="1"/>
  <c r="M51" i="30" s="1"/>
  <c r="N51" i="30" s="1"/>
  <c r="O51" i="30" s="1"/>
  <c r="P51" i="30" s="1"/>
  <c r="Q51" i="30" s="1"/>
  <c r="J51" i="30"/>
  <c r="AQ134" i="32"/>
  <c r="D11" i="74"/>
  <c r="F12" i="74"/>
  <c r="F11" i="74"/>
  <c r="F9" i="74"/>
  <c r="D9" i="74"/>
  <c r="D13" i="74"/>
  <c r="G107" i="74"/>
  <c r="H118" i="74"/>
  <c r="H122" i="74" s="1"/>
  <c r="D135" i="57"/>
  <c r="E49" i="75"/>
  <c r="E52" i="75" s="1"/>
  <c r="E50" i="75"/>
  <c r="E53" i="75" s="1"/>
  <c r="J135" i="57"/>
  <c r="I17" i="75"/>
  <c r="Y14" i="80" s="1"/>
  <c r="H74" i="75"/>
  <c r="X31" i="80" s="1"/>
  <c r="F11" i="75"/>
  <c r="F9" i="75"/>
  <c r="G17" i="75"/>
  <c r="W14" i="80" s="1"/>
  <c r="I49" i="75"/>
  <c r="I52" i="75" s="1"/>
  <c r="G11" i="75"/>
  <c r="W9" i="80" s="1"/>
  <c r="G9" i="75"/>
  <c r="W7" i="80" s="1"/>
  <c r="I135" i="57"/>
  <c r="J145" i="57"/>
  <c r="J74" i="75" s="1"/>
  <c r="Z31" i="80" s="1"/>
  <c r="K73" i="75"/>
  <c r="AA30" i="80" s="1"/>
  <c r="K74" i="75"/>
  <c r="AA31" i="80" s="1"/>
  <c r="X24" i="80"/>
  <c r="H61" i="75"/>
  <c r="X27" i="80" s="1"/>
  <c r="J73" i="75"/>
  <c r="Z30" i="80" s="1"/>
  <c r="E17" i="75"/>
  <c r="F17" i="75"/>
  <c r="E30" i="75"/>
  <c r="E45" i="75"/>
  <c r="H17" i="75"/>
  <c r="X14" i="80" s="1"/>
  <c r="J50" i="75"/>
  <c r="J53" i="75" s="1"/>
  <c r="W24" i="80"/>
  <c r="G61" i="75"/>
  <c r="W27" i="80" s="1"/>
  <c r="I45" i="75"/>
  <c r="Y19" i="80" s="1"/>
  <c r="I30" i="75"/>
  <c r="H11" i="75"/>
  <c r="X9" i="80" s="1"/>
  <c r="H9" i="75"/>
  <c r="X7" i="80" s="1"/>
  <c r="H68" i="75"/>
  <c r="K11" i="75"/>
  <c r="AA9" i="80" s="1"/>
  <c r="K9" i="75"/>
  <c r="AA7" i="80" s="1"/>
  <c r="J9" i="75"/>
  <c r="Z7" i="80" s="1"/>
  <c r="E11" i="75"/>
  <c r="E9" i="75"/>
  <c r="J17" i="75"/>
  <c r="Z14" i="80" s="1"/>
  <c r="G49" i="75"/>
  <c r="G52" i="75" s="1"/>
  <c r="Y24" i="80"/>
  <c r="I61" i="75"/>
  <c r="Y27" i="80" s="1"/>
  <c r="J45" i="75"/>
  <c r="Z19" i="80" s="1"/>
  <c r="J30" i="75"/>
  <c r="AA24" i="80"/>
  <c r="K61" i="75"/>
  <c r="AA27" i="80" s="1"/>
  <c r="F73" i="75"/>
  <c r="Z24" i="80"/>
  <c r="J61" i="75"/>
  <c r="Z27" i="80" s="1"/>
  <c r="K75" i="75"/>
  <c r="K8" i="75"/>
  <c r="K4" i="75"/>
  <c r="K82" i="75" s="1"/>
  <c r="AA35" i="80" s="1"/>
  <c r="E68" i="75"/>
  <c r="J11" i="75"/>
  <c r="Z9" i="80" s="1"/>
  <c r="G45" i="75"/>
  <c r="W19" i="80" s="1"/>
  <c r="G30" i="75"/>
  <c r="E61" i="75"/>
  <c r="K49" i="75"/>
  <c r="K52" i="75" s="1"/>
  <c r="F49" i="75"/>
  <c r="F52" i="75" s="1"/>
  <c r="I11" i="75"/>
  <c r="Y9" i="80" s="1"/>
  <c r="I9" i="75"/>
  <c r="Y7" i="80" s="1"/>
  <c r="K17" i="75"/>
  <c r="AA14" i="80" s="1"/>
  <c r="H135" i="57"/>
  <c r="F145" i="57"/>
  <c r="F74" i="75" s="1"/>
  <c r="G73" i="75"/>
  <c r="W30" i="80" s="1"/>
  <c r="G4" i="75"/>
  <c r="G82" i="75" s="1"/>
  <c r="W35" i="80" s="1"/>
  <c r="G8" i="75"/>
  <c r="G75" i="75"/>
  <c r="H49" i="75"/>
  <c r="H52" i="75" s="1"/>
  <c r="J49" i="75"/>
  <c r="J52" i="75" s="1"/>
  <c r="H45" i="75"/>
  <c r="X19" i="80" s="1"/>
  <c r="H30" i="75"/>
  <c r="H135" i="56"/>
  <c r="E61" i="73"/>
  <c r="G135" i="56"/>
  <c r="J17" i="73"/>
  <c r="U14" i="80" s="1"/>
  <c r="K17" i="73"/>
  <c r="V14" i="80" s="1"/>
  <c r="T14" i="80"/>
  <c r="K68" i="73"/>
  <c r="L70" i="56"/>
  <c r="I145" i="56"/>
  <c r="J74" i="73" s="1"/>
  <c r="U31" i="80" s="1"/>
  <c r="J73" i="73"/>
  <c r="U30" i="80" s="1"/>
  <c r="I49" i="73"/>
  <c r="I52" i="73" s="1"/>
  <c r="U24" i="80"/>
  <c r="J61" i="73"/>
  <c r="U27" i="80" s="1"/>
  <c r="K50" i="73"/>
  <c r="K53" i="73" s="1"/>
  <c r="J68" i="73"/>
  <c r="I50" i="73"/>
  <c r="I53" i="73" s="1"/>
  <c r="H50" i="73"/>
  <c r="H53" i="73" s="1"/>
  <c r="K49" i="73"/>
  <c r="K52" i="73" s="1"/>
  <c r="F30" i="73"/>
  <c r="F45" i="73"/>
  <c r="F61" i="73"/>
  <c r="J11" i="73"/>
  <c r="U9" i="80" s="1"/>
  <c r="J9" i="73"/>
  <c r="U7" i="80" s="1"/>
  <c r="J135" i="56"/>
  <c r="G11" i="73"/>
  <c r="R9" i="80" s="1"/>
  <c r="G9" i="73"/>
  <c r="L135" i="56"/>
  <c r="F11" i="73"/>
  <c r="F9" i="73"/>
  <c r="I74" i="73"/>
  <c r="T31" i="80" s="1"/>
  <c r="H17" i="73"/>
  <c r="S14" i="80" s="1"/>
  <c r="G17" i="73"/>
  <c r="R14" i="80" s="1"/>
  <c r="G30" i="73"/>
  <c r="G45" i="73"/>
  <c r="R19" i="80" s="1"/>
  <c r="E50" i="73"/>
  <c r="E53" i="73" s="1"/>
  <c r="F49" i="73"/>
  <c r="F52" i="73" s="1"/>
  <c r="I11" i="73"/>
  <c r="T9" i="80" s="1"/>
  <c r="I9" i="73"/>
  <c r="T7" i="80" s="1"/>
  <c r="H11" i="73"/>
  <c r="S9" i="80" s="1"/>
  <c r="H9" i="73"/>
  <c r="S7" i="80" s="1"/>
  <c r="K11" i="73"/>
  <c r="V9" i="80" s="1"/>
  <c r="K9" i="73"/>
  <c r="V7" i="80" s="1"/>
  <c r="T24" i="80"/>
  <c r="AL24" i="80" s="1"/>
  <c r="I61" i="73"/>
  <c r="T27" i="80" s="1"/>
  <c r="J49" i="73"/>
  <c r="J52" i="73" s="1"/>
  <c r="I73" i="73"/>
  <c r="T30" i="80" s="1"/>
  <c r="I30" i="73"/>
  <c r="I45" i="73"/>
  <c r="T19" i="80" s="1"/>
  <c r="E49" i="73"/>
  <c r="E52" i="73" s="1"/>
  <c r="E11" i="73"/>
  <c r="E9" i="73"/>
  <c r="S24" i="80"/>
  <c r="H61" i="73"/>
  <c r="S27" i="80" s="1"/>
  <c r="R24" i="80"/>
  <c r="AH24" i="80" s="1"/>
  <c r="G61" i="73"/>
  <c r="R27" i="80" s="1"/>
  <c r="V24" i="80"/>
  <c r="K61" i="73"/>
  <c r="V27" i="80" s="1"/>
  <c r="J30" i="73"/>
  <c r="J45" i="73"/>
  <c r="U19" i="80" s="1"/>
  <c r="F17" i="73"/>
  <c r="F68" i="73"/>
  <c r="H4" i="73"/>
  <c r="H82" i="73" s="1"/>
  <c r="H8" i="73"/>
  <c r="H75" i="73"/>
  <c r="H30" i="73"/>
  <c r="H45" i="73"/>
  <c r="S19" i="80" s="1"/>
  <c r="G145" i="56"/>
  <c r="G74" i="73" s="1"/>
  <c r="R31" i="80" s="1"/>
  <c r="H74" i="73"/>
  <c r="S31" i="80" s="1"/>
  <c r="H73" i="73"/>
  <c r="S30" i="80" s="1"/>
  <c r="G74" i="72"/>
  <c r="M31" i="80" s="1"/>
  <c r="K49" i="72"/>
  <c r="K52" i="72" s="1"/>
  <c r="L70" i="55"/>
  <c r="F74" i="72"/>
  <c r="K74" i="72"/>
  <c r="Q31" i="80" s="1"/>
  <c r="J17" i="72"/>
  <c r="P14" i="80" s="1"/>
  <c r="G145" i="55"/>
  <c r="I74" i="72"/>
  <c r="O31" i="80" s="1"/>
  <c r="H72" i="72"/>
  <c r="G17" i="72"/>
  <c r="M14" i="80" s="1"/>
  <c r="H17" i="72"/>
  <c r="N14" i="80" s="1"/>
  <c r="G50" i="72"/>
  <c r="G53" i="72" s="1"/>
  <c r="F45" i="72"/>
  <c r="F30" i="72"/>
  <c r="K11" i="72"/>
  <c r="Q9" i="80" s="1"/>
  <c r="K9" i="72"/>
  <c r="Q7" i="80" s="1"/>
  <c r="J11" i="72"/>
  <c r="P9" i="80" s="1"/>
  <c r="J9" i="72"/>
  <c r="G11" i="72"/>
  <c r="M9" i="80" s="1"/>
  <c r="G9" i="72"/>
  <c r="M7" i="80" s="1"/>
  <c r="E11" i="72"/>
  <c r="E9" i="72"/>
  <c r="F11" i="72"/>
  <c r="F9" i="72"/>
  <c r="K73" i="72"/>
  <c r="Q30" i="80" s="1"/>
  <c r="N24" i="80"/>
  <c r="H61" i="72"/>
  <c r="N27" i="80" s="1"/>
  <c r="F49" i="72"/>
  <c r="F52" i="72" s="1"/>
  <c r="I73" i="72"/>
  <c r="O30" i="80" s="1"/>
  <c r="G72" i="72"/>
  <c r="I4" i="55"/>
  <c r="G45" i="72"/>
  <c r="M19" i="80" s="1"/>
  <c r="G30" i="72"/>
  <c r="E49" i="72"/>
  <c r="E52" i="72" s="1"/>
  <c r="K17" i="72"/>
  <c r="Q14" i="80" s="1"/>
  <c r="J49" i="72"/>
  <c r="J52" i="72" s="1"/>
  <c r="H49" i="72"/>
  <c r="H52" i="72" s="1"/>
  <c r="H45" i="72"/>
  <c r="N19" i="80" s="1"/>
  <c r="H30" i="72"/>
  <c r="I50" i="72"/>
  <c r="I53" i="72" s="1"/>
  <c r="K30" i="72"/>
  <c r="K45" i="72"/>
  <c r="Q19" i="80" s="1"/>
  <c r="K72" i="72"/>
  <c r="F17" i="72"/>
  <c r="I72" i="72"/>
  <c r="J73" i="72"/>
  <c r="P30" i="80" s="1"/>
  <c r="I17" i="72"/>
  <c r="O14" i="80" s="1"/>
  <c r="G73" i="72"/>
  <c r="M30" i="80" s="1"/>
  <c r="F16" i="55"/>
  <c r="H11" i="72"/>
  <c r="N9" i="80" s="1"/>
  <c r="H9" i="72"/>
  <c r="N7" i="80" s="1"/>
  <c r="F73" i="72"/>
  <c r="M24" i="80"/>
  <c r="G61" i="72"/>
  <c r="M27" i="80" s="1"/>
  <c r="E74" i="72"/>
  <c r="E73" i="72"/>
  <c r="J72" i="72"/>
  <c r="F61" i="72"/>
  <c r="J135" i="55"/>
  <c r="J45" i="72"/>
  <c r="P19" i="80" s="1"/>
  <c r="J30" i="72"/>
  <c r="I45" i="72"/>
  <c r="O19" i="80" s="1"/>
  <c r="I30" i="72"/>
  <c r="G49" i="72"/>
  <c r="G52" i="72" s="1"/>
  <c r="Q24" i="80"/>
  <c r="K61" i="72"/>
  <c r="Q27" i="80" s="1"/>
  <c r="F72" i="72"/>
  <c r="O24" i="80"/>
  <c r="I61" i="72"/>
  <c r="O27" i="80" s="1"/>
  <c r="I11" i="72"/>
  <c r="O9" i="80" s="1"/>
  <c r="I9" i="72"/>
  <c r="O7" i="80" s="1"/>
  <c r="H74" i="72"/>
  <c r="N31" i="80" s="1"/>
  <c r="H73" i="72"/>
  <c r="N30" i="80" s="1"/>
  <c r="E30" i="72"/>
  <c r="E45" i="72"/>
  <c r="J61" i="72"/>
  <c r="P27" i="80" s="1"/>
  <c r="P24" i="80"/>
  <c r="I135" i="54"/>
  <c r="I72" i="71"/>
  <c r="E61" i="71"/>
  <c r="I26" i="71"/>
  <c r="I30" i="71" s="1"/>
  <c r="G50" i="71"/>
  <c r="G53" i="71" s="1"/>
  <c r="H74" i="71"/>
  <c r="I31" i="80" s="1"/>
  <c r="G66" i="71"/>
  <c r="F16" i="54"/>
  <c r="F18" i="54" s="1"/>
  <c r="F98" i="54" s="1"/>
  <c r="F101" i="54" s="1"/>
  <c r="F16" i="71" s="1"/>
  <c r="F18" i="71" s="1"/>
  <c r="I65" i="71"/>
  <c r="F69" i="54"/>
  <c r="F4" i="54"/>
  <c r="J49" i="71"/>
  <c r="J52" i="71" s="1"/>
  <c r="K61" i="71"/>
  <c r="L27" i="80" s="1"/>
  <c r="AP27" i="80" s="1"/>
  <c r="L24" i="80"/>
  <c r="AP24" i="80" s="1"/>
  <c r="F67" i="71"/>
  <c r="E17" i="71"/>
  <c r="I11" i="54"/>
  <c r="I16" i="54" s="1"/>
  <c r="F72" i="71"/>
  <c r="C70" i="54"/>
  <c r="E4" i="32"/>
  <c r="G56" i="30"/>
  <c r="G57" i="30" s="1"/>
  <c r="C24" i="80" s="1"/>
  <c r="AI24" i="80" s="1"/>
  <c r="G99" i="74"/>
  <c r="G26" i="80"/>
  <c r="AQ26" i="80" s="1"/>
  <c r="D134" i="32"/>
  <c r="F99" i="74"/>
  <c r="F26" i="80"/>
  <c r="AO26" i="80" s="1"/>
  <c r="G98" i="74"/>
  <c r="G25" i="80"/>
  <c r="AQ25" i="80" s="1"/>
  <c r="E98" i="74"/>
  <c r="E25" i="80"/>
  <c r="AM25" i="80" s="1"/>
  <c r="C98" i="74"/>
  <c r="C25" i="80"/>
  <c r="AI25" i="80" s="1"/>
  <c r="F97" i="74"/>
  <c r="F24" i="80"/>
  <c r="AO24" i="80" s="1"/>
  <c r="C99" i="74"/>
  <c r="C26" i="80"/>
  <c r="AI26" i="80" s="1"/>
  <c r="D99" i="74"/>
  <c r="D26" i="80"/>
  <c r="AK26" i="80" s="1"/>
  <c r="D33" i="74"/>
  <c r="C18" i="68"/>
  <c r="C19" i="68" s="1"/>
  <c r="M25" i="68" s="1"/>
  <c r="AH95" i="32"/>
  <c r="AH10" i="32"/>
  <c r="K144" i="32"/>
  <c r="K75" i="30" s="1"/>
  <c r="G31" i="80" s="1"/>
  <c r="AQ31" i="80" s="1"/>
  <c r="AM117" i="32"/>
  <c r="G31" i="74"/>
  <c r="Q5" i="82" s="1"/>
  <c r="F5" i="82" s="1"/>
  <c r="H5" i="82" s="1"/>
  <c r="J5" i="82" s="1"/>
  <c r="AM10" i="32"/>
  <c r="E31" i="74"/>
  <c r="AK10" i="32"/>
  <c r="AI117" i="32"/>
  <c r="C31" i="74"/>
  <c r="AI10" i="32"/>
  <c r="F33" i="74"/>
  <c r="AR134" i="32"/>
  <c r="AO134" i="32"/>
  <c r="I61" i="71"/>
  <c r="J27" i="80" s="1"/>
  <c r="G26" i="30"/>
  <c r="G30" i="30" s="1"/>
  <c r="AP134" i="32"/>
  <c r="K26" i="30"/>
  <c r="K30" i="30" s="1"/>
  <c r="I26" i="30"/>
  <c r="I45" i="30" s="1"/>
  <c r="E19" i="80" s="1"/>
  <c r="AM19" i="80" s="1"/>
  <c r="I4" i="32"/>
  <c r="I50" i="30"/>
  <c r="I54" i="30" s="1"/>
  <c r="I56" i="30"/>
  <c r="I57" i="30" s="1"/>
  <c r="K15" i="32"/>
  <c r="K17" i="32" s="1"/>
  <c r="F52" i="30"/>
  <c r="F55" i="30" s="1"/>
  <c r="I15" i="32"/>
  <c r="I17" i="32" s="1"/>
  <c r="AM95" i="32"/>
  <c r="J4" i="32"/>
  <c r="E52" i="30"/>
  <c r="E55" i="30" s="1"/>
  <c r="F133" i="32"/>
  <c r="G51" i="30" s="1"/>
  <c r="H9" i="30"/>
  <c r="D7" i="80" s="1"/>
  <c r="AK7" i="80" s="1"/>
  <c r="F26" i="30"/>
  <c r="F30" i="30" s="1"/>
  <c r="AI95" i="32"/>
  <c r="G69" i="32"/>
  <c r="I75" i="30"/>
  <c r="E31" i="80" s="1"/>
  <c r="AM31" i="80" s="1"/>
  <c r="H45" i="30"/>
  <c r="D19" i="80" s="1"/>
  <c r="AK19" i="80" s="1"/>
  <c r="H30" i="30"/>
  <c r="K62" i="30"/>
  <c r="G27" i="80" s="1"/>
  <c r="AQ27" i="80" s="1"/>
  <c r="G97" i="74"/>
  <c r="K17" i="30"/>
  <c r="G14" i="80" s="1"/>
  <c r="AQ14" i="80" s="1"/>
  <c r="H62" i="30"/>
  <c r="D27" i="80" s="1"/>
  <c r="AK27" i="80" s="1"/>
  <c r="D97" i="74"/>
  <c r="E99" i="74"/>
  <c r="G11" i="30"/>
  <c r="C9" i="80" s="1"/>
  <c r="AI9" i="80" s="1"/>
  <c r="I11" i="30"/>
  <c r="E9" i="80" s="1"/>
  <c r="AM9" i="80" s="1"/>
  <c r="AN134" i="32"/>
  <c r="H4" i="32"/>
  <c r="J17" i="30"/>
  <c r="F14" i="80" s="1"/>
  <c r="AO14" i="80" s="1"/>
  <c r="I17" i="30"/>
  <c r="E14" i="80" s="1"/>
  <c r="AM14" i="80" s="1"/>
  <c r="F15" i="32"/>
  <c r="F4" i="32"/>
  <c r="F9" i="30"/>
  <c r="F50" i="30"/>
  <c r="F54" i="30" s="1"/>
  <c r="E131" i="32"/>
  <c r="E133" i="32" s="1"/>
  <c r="F11" i="30"/>
  <c r="E75" i="30"/>
  <c r="J11" i="30"/>
  <c r="F9" i="80" s="1"/>
  <c r="AO9" i="80" s="1"/>
  <c r="J9" i="30"/>
  <c r="F7" i="80" s="1"/>
  <c r="AO7" i="80" s="1"/>
  <c r="E9" i="30"/>
  <c r="G9" i="30"/>
  <c r="C7" i="80" s="1"/>
  <c r="AI7" i="80" s="1"/>
  <c r="K11" i="30"/>
  <c r="G9" i="80" s="1"/>
  <c r="AQ9" i="80" s="1"/>
  <c r="K9" i="30"/>
  <c r="G7" i="80" s="1"/>
  <c r="AQ7" i="80" s="1"/>
  <c r="E17" i="30"/>
  <c r="I9" i="30"/>
  <c r="E7" i="80" s="1"/>
  <c r="AM7" i="80" s="1"/>
  <c r="J59" i="30"/>
  <c r="F17" i="30"/>
  <c r="F144" i="32"/>
  <c r="F75" i="30" s="1"/>
  <c r="G50" i="30"/>
  <c r="G54" i="30" s="1"/>
  <c r="J50" i="30"/>
  <c r="H11" i="30"/>
  <c r="D9" i="80" s="1"/>
  <c r="AK9" i="80" s="1"/>
  <c r="G8" i="30"/>
  <c r="C6" i="80" s="1"/>
  <c r="AI6" i="80" s="1"/>
  <c r="J72" i="54"/>
  <c r="F50" i="71"/>
  <c r="F53" i="71" s="1"/>
  <c r="I145" i="54"/>
  <c r="I74" i="71" s="1"/>
  <c r="J31" i="80" s="1"/>
  <c r="AL31" i="80" s="1"/>
  <c r="F61" i="71"/>
  <c r="H61" i="71"/>
  <c r="I27" i="80" s="1"/>
  <c r="AJ27" i="80" s="1"/>
  <c r="H17" i="71"/>
  <c r="I14" i="80" s="1"/>
  <c r="D72" i="54"/>
  <c r="D76" i="54" s="1"/>
  <c r="D79" i="54" s="1"/>
  <c r="D84" i="54" s="1"/>
  <c r="D88" i="54" s="1"/>
  <c r="D93" i="54" s="1"/>
  <c r="G72" i="54"/>
  <c r="I45" i="71"/>
  <c r="J19" i="80" s="1"/>
  <c r="H72" i="71"/>
  <c r="H50" i="71"/>
  <c r="H53" i="71" s="1"/>
  <c r="G49" i="71"/>
  <c r="G52" i="71" s="1"/>
  <c r="K49" i="71"/>
  <c r="K52" i="71" s="1"/>
  <c r="I17" i="71"/>
  <c r="J14" i="80" s="1"/>
  <c r="AL14" i="80" s="1"/>
  <c r="G50" i="54"/>
  <c r="J50" i="71"/>
  <c r="J53" i="71" s="1"/>
  <c r="F17" i="71"/>
  <c r="G17" i="71"/>
  <c r="H14" i="80" s="1"/>
  <c r="AH14" i="80" s="1"/>
  <c r="F45" i="71"/>
  <c r="K72" i="54"/>
  <c r="G72" i="71"/>
  <c r="H72" i="54"/>
  <c r="J30" i="71"/>
  <c r="J45" i="71"/>
  <c r="K19" i="80" s="1"/>
  <c r="AN19" i="80" s="1"/>
  <c r="G30" i="71"/>
  <c r="G45" i="71"/>
  <c r="H19" i="80" s="1"/>
  <c r="AH19" i="80" s="1"/>
  <c r="E50" i="71"/>
  <c r="E53" i="71" s="1"/>
  <c r="L135" i="54"/>
  <c r="G67" i="71"/>
  <c r="G61" i="71"/>
  <c r="H27" i="80" s="1"/>
  <c r="J17" i="71"/>
  <c r="K14" i="80" s="1"/>
  <c r="AN14" i="80" s="1"/>
  <c r="J61" i="71"/>
  <c r="K27" i="80" s="1"/>
  <c r="G69" i="54"/>
  <c r="H66" i="71"/>
  <c r="H67" i="71"/>
  <c r="H65" i="71"/>
  <c r="J72" i="71"/>
  <c r="H49" i="71"/>
  <c r="H52" i="71" s="1"/>
  <c r="I49" i="71"/>
  <c r="I52" i="71" s="1"/>
  <c r="H73" i="71"/>
  <c r="I30" i="80" s="1"/>
  <c r="AJ30" i="80" s="1"/>
  <c r="K17" i="71"/>
  <c r="L14" i="80" s="1"/>
  <c r="J73" i="71"/>
  <c r="K30" i="80" s="1"/>
  <c r="AN30" i="80" s="1"/>
  <c r="E49" i="71"/>
  <c r="E52" i="71" s="1"/>
  <c r="I73" i="71"/>
  <c r="J30" i="80" s="1"/>
  <c r="AL30" i="80" s="1"/>
  <c r="H30" i="71"/>
  <c r="H45" i="71"/>
  <c r="I19" i="80" s="1"/>
  <c r="I11" i="71"/>
  <c r="J9" i="80" s="1"/>
  <c r="AL9" i="80" s="1"/>
  <c r="I9" i="71"/>
  <c r="J7" i="80" s="1"/>
  <c r="AL7" i="80" s="1"/>
  <c r="J11" i="71"/>
  <c r="K9" i="80" s="1"/>
  <c r="J9" i="71"/>
  <c r="K7" i="80" s="1"/>
  <c r="AN7" i="80" s="1"/>
  <c r="E145" i="54"/>
  <c r="E74" i="71" s="1"/>
  <c r="F73" i="71"/>
  <c r="F145" i="54"/>
  <c r="G74" i="71" s="1"/>
  <c r="H31" i="80" s="1"/>
  <c r="G73" i="71"/>
  <c r="H30" i="80" s="1"/>
  <c r="K45" i="71"/>
  <c r="L19" i="80" s="1"/>
  <c r="AP19" i="80" s="1"/>
  <c r="F79" i="54"/>
  <c r="F68" i="71" s="1"/>
  <c r="J145" i="54"/>
  <c r="K74" i="71" s="1"/>
  <c r="L31" i="80" s="1"/>
  <c r="AP31" i="80" s="1"/>
  <c r="K73" i="71"/>
  <c r="L30" i="80" s="1"/>
  <c r="AP30" i="80" s="1"/>
  <c r="F49" i="71"/>
  <c r="F52" i="71" s="1"/>
  <c r="K50" i="71"/>
  <c r="K53" i="71" s="1"/>
  <c r="K11" i="71"/>
  <c r="L9" i="80" s="1"/>
  <c r="K9" i="71"/>
  <c r="L7" i="80" s="1"/>
  <c r="G65" i="71"/>
  <c r="AO75" i="32"/>
  <c r="E8" i="30"/>
  <c r="E4" i="30"/>
  <c r="E83" i="30" s="1"/>
  <c r="E73" i="30"/>
  <c r="J45" i="30"/>
  <c r="F19" i="80" s="1"/>
  <c r="AO19" i="80" s="1"/>
  <c r="J30" i="30"/>
  <c r="E74" i="30"/>
  <c r="F73" i="30"/>
  <c r="I49" i="30"/>
  <c r="I53" i="30" s="1"/>
  <c r="K49" i="30"/>
  <c r="K53" i="30" s="1"/>
  <c r="E30" i="30"/>
  <c r="E45" i="30"/>
  <c r="E50" i="30"/>
  <c r="E54" i="30" s="1"/>
  <c r="F74" i="30"/>
  <c r="J75" i="30"/>
  <c r="F31" i="80" s="1"/>
  <c r="AO31" i="80" s="1"/>
  <c r="AO78" i="32"/>
  <c r="F62" i="30"/>
  <c r="E69" i="32"/>
  <c r="AG17" i="32"/>
  <c r="AG97" i="32" s="1"/>
  <c r="AG100" i="32" s="1"/>
  <c r="AG96" i="32" s="1"/>
  <c r="G144" i="32"/>
  <c r="H75" i="30" s="1"/>
  <c r="D31" i="80" s="1"/>
  <c r="AK31" i="80" s="1"/>
  <c r="H74" i="30"/>
  <c r="D30" i="80" s="1"/>
  <c r="AK30" i="80" s="1"/>
  <c r="G74" i="30"/>
  <c r="C30" i="80" s="1"/>
  <c r="AI30" i="80" s="1"/>
  <c r="F49" i="30"/>
  <c r="F53" i="30" s="1"/>
  <c r="I134" i="32"/>
  <c r="J49" i="30"/>
  <c r="J53" i="30" s="1"/>
  <c r="J134" i="32"/>
  <c r="E49" i="30"/>
  <c r="E53" i="30" s="1"/>
  <c r="M135" i="57"/>
  <c r="E20" i="32"/>
  <c r="E97" i="32"/>
  <c r="E100" i="32" s="1"/>
  <c r="AM78" i="32"/>
  <c r="L70" i="57"/>
  <c r="E84" i="57"/>
  <c r="J88" i="57"/>
  <c r="E135" i="57"/>
  <c r="J18" i="57"/>
  <c r="H84" i="57"/>
  <c r="D70" i="57"/>
  <c r="G98" i="57"/>
  <c r="G101" i="57" s="1"/>
  <c r="G16" i="75" s="1"/>
  <c r="G21" i="57"/>
  <c r="Q88" i="57"/>
  <c r="F18" i="57"/>
  <c r="G70" i="57"/>
  <c r="F70" i="57"/>
  <c r="O88" i="57"/>
  <c r="D114" i="57"/>
  <c r="D97" i="57"/>
  <c r="I70" i="57"/>
  <c r="J70" i="57"/>
  <c r="C114" i="57"/>
  <c r="C97" i="57"/>
  <c r="I88" i="57"/>
  <c r="N135" i="57"/>
  <c r="K70" i="57"/>
  <c r="G88" i="57"/>
  <c r="M88" i="57"/>
  <c r="E18" i="57"/>
  <c r="K88" i="57"/>
  <c r="I18" i="57"/>
  <c r="F93" i="57"/>
  <c r="L18" i="57"/>
  <c r="L84" i="57"/>
  <c r="K98" i="57"/>
  <c r="K101" i="57" s="1"/>
  <c r="K16" i="75" s="1"/>
  <c r="K21" i="57"/>
  <c r="H18" i="57"/>
  <c r="E70" i="57"/>
  <c r="H70" i="57"/>
  <c r="P88" i="57"/>
  <c r="I135" i="56"/>
  <c r="C114" i="56"/>
  <c r="C97" i="56"/>
  <c r="N135" i="56"/>
  <c r="H135" i="55"/>
  <c r="AR75" i="32"/>
  <c r="AH123" i="32"/>
  <c r="AH134" i="32" s="1"/>
  <c r="AQ113" i="32"/>
  <c r="AQ96" i="32"/>
  <c r="AS78" i="32"/>
  <c r="I69" i="32"/>
  <c r="AQ75" i="32"/>
  <c r="D69" i="32"/>
  <c r="AN113" i="32"/>
  <c r="AN96" i="32"/>
  <c r="AN87" i="32"/>
  <c r="H17" i="32"/>
  <c r="AJ15" i="32"/>
  <c r="AJ78" i="32"/>
  <c r="H134" i="32"/>
  <c r="G20" i="32"/>
  <c r="AI17" i="32"/>
  <c r="AI97" i="32" s="1"/>
  <c r="AI100" i="32" s="1"/>
  <c r="K134" i="32"/>
  <c r="AK123" i="32"/>
  <c r="J17" i="32"/>
  <c r="AL15" i="32"/>
  <c r="F135" i="56"/>
  <c r="D135" i="56"/>
  <c r="E18" i="56"/>
  <c r="I93" i="56"/>
  <c r="G18" i="56"/>
  <c r="G70" i="56"/>
  <c r="J84" i="56"/>
  <c r="H84" i="56"/>
  <c r="E88" i="56"/>
  <c r="H98" i="56"/>
  <c r="H101" i="56" s="1"/>
  <c r="H16" i="73" s="1"/>
  <c r="H21" i="56"/>
  <c r="D114" i="56"/>
  <c r="D97" i="56"/>
  <c r="K84" i="56"/>
  <c r="D70" i="56"/>
  <c r="F18" i="56"/>
  <c r="F70" i="56"/>
  <c r="H70" i="56"/>
  <c r="O88" i="56"/>
  <c r="P93" i="56"/>
  <c r="I70" i="56"/>
  <c r="F84" i="56"/>
  <c r="K70" i="56"/>
  <c r="L88" i="56"/>
  <c r="L18" i="56"/>
  <c r="K18" i="56"/>
  <c r="J18" i="56"/>
  <c r="M93" i="56"/>
  <c r="I18" i="56"/>
  <c r="E70" i="56"/>
  <c r="J70" i="56"/>
  <c r="K70" i="55"/>
  <c r="K4" i="55"/>
  <c r="F135" i="55"/>
  <c r="E4" i="55"/>
  <c r="E16" i="55"/>
  <c r="F70" i="55"/>
  <c r="I18" i="55"/>
  <c r="I98" i="55" s="1"/>
  <c r="I101" i="55" s="1"/>
  <c r="I16" i="72" s="1"/>
  <c r="D135" i="55"/>
  <c r="J4" i="55"/>
  <c r="J16" i="55"/>
  <c r="G70" i="55"/>
  <c r="H70" i="55"/>
  <c r="D70" i="55"/>
  <c r="J70" i="55"/>
  <c r="L84" i="55"/>
  <c r="L16" i="55"/>
  <c r="D114" i="55"/>
  <c r="G4" i="55"/>
  <c r="G16" i="55"/>
  <c r="I135" i="55"/>
  <c r="E70" i="55"/>
  <c r="H18" i="55"/>
  <c r="K135" i="55"/>
  <c r="H93" i="55"/>
  <c r="M88" i="55"/>
  <c r="K18" i="55"/>
  <c r="E88" i="55"/>
  <c r="AH75" i="32"/>
  <c r="P92" i="32"/>
  <c r="AS113" i="32"/>
  <c r="AS96" i="32"/>
  <c r="J69" i="32"/>
  <c r="K69" i="32"/>
  <c r="AL83" i="32"/>
  <c r="K87" i="32"/>
  <c r="AM83" i="32"/>
  <c r="G92" i="32"/>
  <c r="F87" i="32"/>
  <c r="F69" i="32"/>
  <c r="N87" i="32"/>
  <c r="AP83" i="32"/>
  <c r="H69" i="32"/>
  <c r="AN92" i="32"/>
  <c r="G16" i="54"/>
  <c r="L16" i="54"/>
  <c r="L18" i="54" s="1"/>
  <c r="L98" i="54" s="1"/>
  <c r="L101" i="54" s="1"/>
  <c r="E135" i="54"/>
  <c r="D135" i="54"/>
  <c r="I79" i="54"/>
  <c r="I68" i="71" s="1"/>
  <c r="N93" i="54"/>
  <c r="K135" i="54"/>
  <c r="O93" i="54"/>
  <c r="M135" i="54"/>
  <c r="M93" i="54"/>
  <c r="H135" i="54"/>
  <c r="E4" i="54"/>
  <c r="E16" i="54"/>
  <c r="G135" i="54"/>
  <c r="L70" i="54"/>
  <c r="N135" i="54"/>
  <c r="J70" i="54"/>
  <c r="D50" i="54"/>
  <c r="K70" i="54"/>
  <c r="F21" i="54"/>
  <c r="E84" i="54"/>
  <c r="F135" i="54"/>
  <c r="I70" i="54"/>
  <c r="F50" i="54"/>
  <c r="F11" i="71" s="1"/>
  <c r="J18" i="54"/>
  <c r="H16" i="54"/>
  <c r="H4" i="54"/>
  <c r="C114" i="54"/>
  <c r="C97" i="54"/>
  <c r="E70" i="54"/>
  <c r="H70" i="54"/>
  <c r="K16" i="54"/>
  <c r="K4" i="54"/>
  <c r="L84" i="54"/>
  <c r="AP9" i="80" l="1"/>
  <c r="AJ24" i="80"/>
  <c r="AN24" i="80"/>
  <c r="AN27" i="80"/>
  <c r="AH30" i="80"/>
  <c r="AP7" i="80"/>
  <c r="AJ19" i="80"/>
  <c r="AH27" i="80"/>
  <c r="AJ14" i="80"/>
  <c r="AJ31" i="80"/>
  <c r="AN9" i="80"/>
  <c r="AP14" i="80"/>
  <c r="AL19" i="80"/>
  <c r="AL27" i="80"/>
  <c r="F75" i="71"/>
  <c r="AJ134" i="32"/>
  <c r="C106" i="74"/>
  <c r="AI131" i="32"/>
  <c r="AI133" i="32" s="1"/>
  <c r="E106" i="74"/>
  <c r="F107" i="74" s="1"/>
  <c r="AK131" i="32"/>
  <c r="AK133" i="32" s="1"/>
  <c r="AK134" i="32" s="1"/>
  <c r="AM123" i="32"/>
  <c r="AM131" i="32"/>
  <c r="AM133" i="32" s="1"/>
  <c r="L50" i="30"/>
  <c r="G76" i="30"/>
  <c r="C32" i="80" s="1"/>
  <c r="AI32" i="80" s="1"/>
  <c r="G134" i="32"/>
  <c r="H49" i="30"/>
  <c r="H53" i="30" s="1"/>
  <c r="G49" i="30"/>
  <c r="G53" i="30" s="1"/>
  <c r="G17" i="30"/>
  <c r="C14" i="80" s="1"/>
  <c r="AI14" i="80" s="1"/>
  <c r="G97" i="32"/>
  <c r="G100" i="32" s="1"/>
  <c r="G16" i="30" s="1"/>
  <c r="AI78" i="32"/>
  <c r="AM15" i="32"/>
  <c r="K45" i="30"/>
  <c r="G19" i="80" s="1"/>
  <c r="AQ19" i="80" s="1"/>
  <c r="G45" i="30"/>
  <c r="C19" i="80" s="1"/>
  <c r="AI19" i="80" s="1"/>
  <c r="AK15" i="32"/>
  <c r="G62" i="30"/>
  <c r="C27" i="80" s="1"/>
  <c r="AI27" i="80" s="1"/>
  <c r="I30" i="30"/>
  <c r="E134" i="32"/>
  <c r="F51" i="30"/>
  <c r="F134" i="32"/>
  <c r="E51" i="30"/>
  <c r="F4" i="82"/>
  <c r="H4" i="82" s="1"/>
  <c r="H9" i="82" s="1"/>
  <c r="D39" i="74"/>
  <c r="D34" i="74"/>
  <c r="F39" i="74"/>
  <c r="F34" i="74"/>
  <c r="E12" i="74"/>
  <c r="E9" i="74"/>
  <c r="E11" i="74"/>
  <c r="E13" i="74"/>
  <c r="G12" i="74"/>
  <c r="G11" i="74"/>
  <c r="H11" i="74" s="1"/>
  <c r="I11" i="74" s="1"/>
  <c r="J11" i="74" s="1"/>
  <c r="K11" i="74" s="1"/>
  <c r="L11" i="74" s="1"/>
  <c r="G9" i="74"/>
  <c r="G13" i="74"/>
  <c r="C9" i="74"/>
  <c r="C12" i="74"/>
  <c r="C11" i="74"/>
  <c r="C13" i="74"/>
  <c r="I115" i="74"/>
  <c r="C22" i="74"/>
  <c r="J54" i="30"/>
  <c r="M50" i="30"/>
  <c r="M5" i="68"/>
  <c r="G100" i="74"/>
  <c r="H8" i="74"/>
  <c r="J4" i="75"/>
  <c r="J82" i="75" s="1"/>
  <c r="Z35" i="80" s="1"/>
  <c r="J75" i="75"/>
  <c r="J8" i="75"/>
  <c r="AA6" i="80"/>
  <c r="K10" i="75"/>
  <c r="I8" i="75"/>
  <c r="I75" i="75"/>
  <c r="I4" i="75"/>
  <c r="I82" i="75" s="1"/>
  <c r="F75" i="75"/>
  <c r="F76" i="75" s="1"/>
  <c r="F8" i="75"/>
  <c r="F10" i="75" s="1"/>
  <c r="F12" i="75" s="1"/>
  <c r="F4" i="75"/>
  <c r="F82" i="75" s="1"/>
  <c r="W13" i="80"/>
  <c r="G18" i="75"/>
  <c r="W15" i="80" s="1"/>
  <c r="G74" i="75"/>
  <c r="W31" i="80" s="1"/>
  <c r="AH31" i="80" s="1"/>
  <c r="AA32" i="80"/>
  <c r="K76" i="75"/>
  <c r="AA13" i="80"/>
  <c r="K18" i="75"/>
  <c r="AA15" i="80" s="1"/>
  <c r="E75" i="75"/>
  <c r="E76" i="75" s="1"/>
  <c r="E8" i="75"/>
  <c r="E10" i="75" s="1"/>
  <c r="E12" i="75" s="1"/>
  <c r="E4" i="75"/>
  <c r="E82" i="75" s="1"/>
  <c r="H8" i="75"/>
  <c r="H4" i="75"/>
  <c r="H82" i="75" s="1"/>
  <c r="H75" i="75"/>
  <c r="W32" i="80"/>
  <c r="G76" i="75"/>
  <c r="W6" i="80"/>
  <c r="G10" i="75"/>
  <c r="S35" i="80"/>
  <c r="R7" i="80"/>
  <c r="G75" i="73"/>
  <c r="G8" i="73"/>
  <c r="R6" i="80" s="1"/>
  <c r="G4" i="73"/>
  <c r="G82" i="73" s="1"/>
  <c r="R35" i="80" s="1"/>
  <c r="S13" i="80"/>
  <c r="H18" i="73"/>
  <c r="S15" i="80" s="1"/>
  <c r="I8" i="73"/>
  <c r="I4" i="73"/>
  <c r="I82" i="73" s="1"/>
  <c r="T35" i="80" s="1"/>
  <c r="I75" i="73"/>
  <c r="H76" i="73"/>
  <c r="S32" i="80"/>
  <c r="J8" i="73"/>
  <c r="J4" i="73"/>
  <c r="J82" i="73" s="1"/>
  <c r="J75" i="73"/>
  <c r="K4" i="73"/>
  <c r="K82" i="73" s="1"/>
  <c r="K75" i="73"/>
  <c r="K8" i="73"/>
  <c r="F75" i="73"/>
  <c r="F76" i="73" s="1"/>
  <c r="F8" i="73"/>
  <c r="F10" i="73" s="1"/>
  <c r="F12" i="73" s="1"/>
  <c r="F4" i="73"/>
  <c r="F82" i="73" s="1"/>
  <c r="E4" i="73"/>
  <c r="E82" i="73" s="1"/>
  <c r="E75" i="73"/>
  <c r="E76" i="73" s="1"/>
  <c r="E8" i="73"/>
  <c r="E10" i="73" s="1"/>
  <c r="E12" i="73" s="1"/>
  <c r="S6" i="80"/>
  <c r="H10" i="73"/>
  <c r="F18" i="55"/>
  <c r="O13" i="80"/>
  <c r="I18" i="72"/>
  <c r="O15" i="80" s="1"/>
  <c r="K8" i="72"/>
  <c r="K4" i="72"/>
  <c r="K82" i="72" s="1"/>
  <c r="Q35" i="80" s="1"/>
  <c r="K75" i="72"/>
  <c r="H75" i="72"/>
  <c r="H8" i="72"/>
  <c r="H4" i="72"/>
  <c r="H82" i="72" s="1"/>
  <c r="I8" i="72"/>
  <c r="I4" i="72"/>
  <c r="I82" i="72" s="1"/>
  <c r="O35" i="80" s="1"/>
  <c r="I75" i="72"/>
  <c r="F4" i="72"/>
  <c r="F82" i="72" s="1"/>
  <c r="F75" i="72"/>
  <c r="F76" i="72" s="1"/>
  <c r="F8" i="72"/>
  <c r="F10" i="72"/>
  <c r="F12" i="72" s="1"/>
  <c r="P7" i="80"/>
  <c r="I4" i="54"/>
  <c r="F4" i="71"/>
  <c r="F82" i="71" s="1"/>
  <c r="H9" i="71"/>
  <c r="I7" i="80" s="1"/>
  <c r="AJ7" i="80" s="1"/>
  <c r="F8" i="71"/>
  <c r="H11" i="71"/>
  <c r="I9" i="80" s="1"/>
  <c r="AJ9" i="80" s="1"/>
  <c r="C97" i="74"/>
  <c r="C100" i="74" s="1"/>
  <c r="D100" i="74"/>
  <c r="F98" i="74"/>
  <c r="F100" i="74" s="1"/>
  <c r="F25" i="80"/>
  <c r="AO25" i="80" s="1"/>
  <c r="G77" i="30"/>
  <c r="E97" i="74"/>
  <c r="E100" i="74" s="1"/>
  <c r="E24" i="80"/>
  <c r="AM24" i="80" s="1"/>
  <c r="AI123" i="32"/>
  <c r="AI134" i="32" s="1"/>
  <c r="E33" i="74"/>
  <c r="G33" i="74"/>
  <c r="C33" i="74"/>
  <c r="G18" i="54"/>
  <c r="G123" i="74"/>
  <c r="H71" i="74" s="1"/>
  <c r="D106" i="74"/>
  <c r="F45" i="30"/>
  <c r="I62" i="30"/>
  <c r="E27" i="80" s="1"/>
  <c r="AM27" i="80" s="1"/>
  <c r="AG113" i="32"/>
  <c r="AK78" i="32"/>
  <c r="J62" i="30"/>
  <c r="F27" i="80" s="1"/>
  <c r="AO27" i="80" s="1"/>
  <c r="F17" i="32"/>
  <c r="AH15" i="32"/>
  <c r="G10" i="30"/>
  <c r="J4" i="30"/>
  <c r="J83" i="30" s="1"/>
  <c r="F35" i="80" s="1"/>
  <c r="AO35" i="80" s="1"/>
  <c r="J8" i="30"/>
  <c r="J76" i="30"/>
  <c r="K76" i="30"/>
  <c r="K8" i="30"/>
  <c r="K4" i="30"/>
  <c r="K83" i="30" s="1"/>
  <c r="G35" i="80" s="1"/>
  <c r="AQ35" i="80" s="1"/>
  <c r="H76" i="30"/>
  <c r="H8" i="30"/>
  <c r="H4" i="30"/>
  <c r="H83" i="30" s="1"/>
  <c r="D35" i="80" s="1"/>
  <c r="AK35" i="80" s="1"/>
  <c r="G75" i="30"/>
  <c r="C31" i="80" s="1"/>
  <c r="AI31" i="80" s="1"/>
  <c r="I4" i="30"/>
  <c r="I83" i="30" s="1"/>
  <c r="E35" i="80" s="1"/>
  <c r="AM35" i="80" s="1"/>
  <c r="I8" i="30"/>
  <c r="I76" i="30"/>
  <c r="J74" i="71"/>
  <c r="K31" i="80" s="1"/>
  <c r="AN31" i="80" s="1"/>
  <c r="K76" i="54"/>
  <c r="F9" i="71"/>
  <c r="H76" i="54"/>
  <c r="G76" i="54"/>
  <c r="J76" i="54"/>
  <c r="E11" i="71"/>
  <c r="E9" i="71"/>
  <c r="G4" i="71"/>
  <c r="G82" i="71" s="1"/>
  <c r="H35" i="80" s="1"/>
  <c r="G8" i="71"/>
  <c r="H6" i="80" s="1"/>
  <c r="G75" i="71"/>
  <c r="H32" i="80" s="1"/>
  <c r="F76" i="71"/>
  <c r="G11" i="71"/>
  <c r="H9" i="80" s="1"/>
  <c r="AH9" i="80" s="1"/>
  <c r="G9" i="71"/>
  <c r="H7" i="80" s="1"/>
  <c r="F74" i="71"/>
  <c r="J75" i="71"/>
  <c r="K32" i="80" s="1"/>
  <c r="J4" i="71"/>
  <c r="J82" i="71" s="1"/>
  <c r="K35" i="80" s="1"/>
  <c r="J8" i="71"/>
  <c r="F84" i="54"/>
  <c r="F88" i="54" s="1"/>
  <c r="E96" i="32"/>
  <c r="E16" i="30"/>
  <c r="E18" i="30" s="1"/>
  <c r="E10" i="30"/>
  <c r="E12" i="30" s="1"/>
  <c r="AI20" i="32"/>
  <c r="AO83" i="32"/>
  <c r="E113" i="32"/>
  <c r="AG20" i="32"/>
  <c r="E88" i="57"/>
  <c r="E93" i="57" s="1"/>
  <c r="L88" i="57"/>
  <c r="K93" i="57"/>
  <c r="O93" i="57"/>
  <c r="J21" i="57"/>
  <c r="J98" i="57"/>
  <c r="J101" i="57" s="1"/>
  <c r="J16" i="75" s="1"/>
  <c r="I98" i="57"/>
  <c r="I101" i="57" s="1"/>
  <c r="I16" i="75" s="1"/>
  <c r="I21" i="57"/>
  <c r="E98" i="57"/>
  <c r="E101" i="57" s="1"/>
  <c r="E16" i="75" s="1"/>
  <c r="E18" i="75" s="1"/>
  <c r="E21" i="57"/>
  <c r="I93" i="57"/>
  <c r="F98" i="57"/>
  <c r="F101" i="57" s="1"/>
  <c r="F16" i="75" s="1"/>
  <c r="F18" i="75" s="1"/>
  <c r="F21" i="57"/>
  <c r="Q93" i="57"/>
  <c r="G114" i="57"/>
  <c r="G83" i="75" s="1"/>
  <c r="G97" i="57"/>
  <c r="H88" i="57"/>
  <c r="H98" i="57"/>
  <c r="H101" i="57" s="1"/>
  <c r="H16" i="75" s="1"/>
  <c r="H21" i="57"/>
  <c r="M98" i="57"/>
  <c r="M101" i="57" s="1"/>
  <c r="M93" i="57"/>
  <c r="J93" i="57"/>
  <c r="P93" i="57"/>
  <c r="K114" i="57"/>
  <c r="K83" i="75" s="1"/>
  <c r="K97" i="57"/>
  <c r="L98" i="57"/>
  <c r="L101" i="57" s="1"/>
  <c r="L21" i="57"/>
  <c r="N98" i="57"/>
  <c r="N101" i="57" s="1"/>
  <c r="G93" i="57"/>
  <c r="M98" i="55"/>
  <c r="M101" i="55" s="1"/>
  <c r="AR78" i="32"/>
  <c r="L21" i="54"/>
  <c r="AS83" i="32"/>
  <c r="AQ78" i="32"/>
  <c r="AJ83" i="32"/>
  <c r="H20" i="32"/>
  <c r="H97" i="32"/>
  <c r="H100" i="32" s="1"/>
  <c r="H16" i="30" s="1"/>
  <c r="D13" i="80" s="1"/>
  <c r="AK13" i="80" s="1"/>
  <c r="AJ17" i="32"/>
  <c r="AJ97" i="32" s="1"/>
  <c r="AJ100" i="32" s="1"/>
  <c r="G113" i="32"/>
  <c r="G84" i="30" s="1"/>
  <c r="G96" i="32"/>
  <c r="AI96" i="32"/>
  <c r="AI113" i="32"/>
  <c r="AK17" i="32"/>
  <c r="AK97" i="32" s="1"/>
  <c r="AK100" i="32" s="1"/>
  <c r="I97" i="32"/>
  <c r="I100" i="32" s="1"/>
  <c r="I16" i="30" s="1"/>
  <c r="E13" i="80" s="1"/>
  <c r="AM13" i="80" s="1"/>
  <c r="I20" i="32"/>
  <c r="J97" i="32"/>
  <c r="J100" i="32" s="1"/>
  <c r="J16" i="30" s="1"/>
  <c r="F13" i="80" s="1"/>
  <c r="AO13" i="80" s="1"/>
  <c r="AL17" i="32"/>
  <c r="AL97" i="32" s="1"/>
  <c r="AL100" i="32" s="1"/>
  <c r="J20" i="32"/>
  <c r="J98" i="56"/>
  <c r="J101" i="56" s="1"/>
  <c r="J16" i="73" s="1"/>
  <c r="J21" i="56"/>
  <c r="M98" i="56"/>
  <c r="M101" i="56" s="1"/>
  <c r="F88" i="56"/>
  <c r="O93" i="56"/>
  <c r="H88" i="56"/>
  <c r="I98" i="56"/>
  <c r="I101" i="56" s="1"/>
  <c r="I16" i="73" s="1"/>
  <c r="I21" i="56"/>
  <c r="L98" i="56"/>
  <c r="L101" i="56" s="1"/>
  <c r="L21" i="56"/>
  <c r="E93" i="56"/>
  <c r="J88" i="56"/>
  <c r="G98" i="56"/>
  <c r="G101" i="56" s="1"/>
  <c r="G16" i="73" s="1"/>
  <c r="G21" i="56"/>
  <c r="N98" i="56"/>
  <c r="N101" i="56" s="1"/>
  <c r="K98" i="56"/>
  <c r="K101" i="56" s="1"/>
  <c r="K16" i="73" s="1"/>
  <c r="K21" i="56"/>
  <c r="L93" i="56"/>
  <c r="F98" i="56"/>
  <c r="F101" i="56" s="1"/>
  <c r="F16" i="73" s="1"/>
  <c r="F18" i="73" s="1"/>
  <c r="F21" i="56"/>
  <c r="K88" i="56"/>
  <c r="H114" i="56"/>
  <c r="H97" i="56"/>
  <c r="E98" i="56"/>
  <c r="E101" i="56" s="1"/>
  <c r="E16" i="73" s="1"/>
  <c r="E18" i="73" s="1"/>
  <c r="E21" i="56"/>
  <c r="E18" i="55"/>
  <c r="I21" i="55"/>
  <c r="N98" i="55"/>
  <c r="N101" i="55" s="1"/>
  <c r="G18" i="55"/>
  <c r="J18" i="55"/>
  <c r="L18" i="55"/>
  <c r="L88" i="55"/>
  <c r="H98" i="55"/>
  <c r="H101" i="55" s="1"/>
  <c r="H16" i="72" s="1"/>
  <c r="H21" i="55"/>
  <c r="F21" i="55"/>
  <c r="F98" i="55"/>
  <c r="F101" i="55" s="1"/>
  <c r="F16" i="72" s="1"/>
  <c r="F18" i="72" s="1"/>
  <c r="E93" i="55"/>
  <c r="K98" i="55"/>
  <c r="K101" i="55" s="1"/>
  <c r="K16" i="72" s="1"/>
  <c r="K21" i="55"/>
  <c r="M93" i="55"/>
  <c r="I97" i="55"/>
  <c r="I114" i="55"/>
  <c r="I83" i="72" s="1"/>
  <c r="L114" i="54"/>
  <c r="L97" i="54"/>
  <c r="N92" i="32"/>
  <c r="AP92" i="32" s="1"/>
  <c r="AP87" i="32"/>
  <c r="AK83" i="32"/>
  <c r="F92" i="32"/>
  <c r="K92" i="32"/>
  <c r="AM92" i="32" s="1"/>
  <c r="AM87" i="32"/>
  <c r="AL92" i="32"/>
  <c r="AL87" i="32"/>
  <c r="AI83" i="32"/>
  <c r="K20" i="32"/>
  <c r="K97" i="32"/>
  <c r="K100" i="32" s="1"/>
  <c r="K16" i="30" s="1"/>
  <c r="G13" i="80" s="1"/>
  <c r="AQ13" i="80" s="1"/>
  <c r="AM17" i="32"/>
  <c r="AM97" i="32" s="1"/>
  <c r="AM100" i="32" s="1"/>
  <c r="AH78" i="32"/>
  <c r="I84" i="54"/>
  <c r="I18" i="54"/>
  <c r="E18" i="54"/>
  <c r="M98" i="54"/>
  <c r="M101" i="54" s="1"/>
  <c r="E88" i="54"/>
  <c r="L88" i="54"/>
  <c r="N98" i="54"/>
  <c r="N101" i="54" s="1"/>
  <c r="G98" i="54"/>
  <c r="G101" i="54" s="1"/>
  <c r="G16" i="71" s="1"/>
  <c r="G21" i="54"/>
  <c r="K18" i="54"/>
  <c r="G70" i="54"/>
  <c r="H18" i="54"/>
  <c r="J21" i="54"/>
  <c r="J98" i="54"/>
  <c r="J101" i="54" s="1"/>
  <c r="J16" i="71" s="1"/>
  <c r="D70" i="54"/>
  <c r="F70" i="54"/>
  <c r="F97" i="54"/>
  <c r="F114" i="54"/>
  <c r="AH6" i="80" l="1"/>
  <c r="AH35" i="80"/>
  <c r="AH7" i="80"/>
  <c r="E107" i="74"/>
  <c r="AM134" i="32"/>
  <c r="H83" i="73"/>
  <c r="S36" i="80" s="1"/>
  <c r="F83" i="71"/>
  <c r="F84" i="71" s="1"/>
  <c r="C13" i="80"/>
  <c r="AI13" i="80" s="1"/>
  <c r="G18" i="30"/>
  <c r="C15" i="80" s="1"/>
  <c r="AI15" i="80" s="1"/>
  <c r="E84" i="30"/>
  <c r="E85" i="30" s="1"/>
  <c r="C82" i="74"/>
  <c r="C56" i="74"/>
  <c r="H132" i="74"/>
  <c r="I132" i="74" s="1"/>
  <c r="J4" i="82"/>
  <c r="J14" i="82" s="1"/>
  <c r="H8" i="82"/>
  <c r="J8" i="82" s="1"/>
  <c r="J9" i="82"/>
  <c r="F40" i="74"/>
  <c r="F42" i="74" s="1"/>
  <c r="D40" i="74"/>
  <c r="D42" i="74" s="1"/>
  <c r="C39" i="74"/>
  <c r="C34" i="74"/>
  <c r="G39" i="74"/>
  <c r="Q6" i="82" s="1"/>
  <c r="G34" i="74"/>
  <c r="E39" i="74"/>
  <c r="E34" i="74"/>
  <c r="D107" i="74"/>
  <c r="H72" i="74"/>
  <c r="I118" i="74"/>
  <c r="I122" i="74" s="1"/>
  <c r="N50" i="30"/>
  <c r="AA36" i="80"/>
  <c r="K84" i="75"/>
  <c r="AA37" i="80" s="1"/>
  <c r="H18" i="75"/>
  <c r="X15" i="80" s="1"/>
  <c r="X13" i="80"/>
  <c r="X32" i="80"/>
  <c r="H76" i="75"/>
  <c r="Y6" i="80"/>
  <c r="I10" i="75"/>
  <c r="W36" i="80"/>
  <c r="G84" i="75"/>
  <c r="W37" i="80" s="1"/>
  <c r="X35" i="80"/>
  <c r="K12" i="75"/>
  <c r="AA10" i="80" s="1"/>
  <c r="AA8" i="80"/>
  <c r="G12" i="75"/>
  <c r="W10" i="80" s="1"/>
  <c r="W8" i="80"/>
  <c r="X6" i="80"/>
  <c r="H10" i="75"/>
  <c r="Y13" i="80"/>
  <c r="I18" i="75"/>
  <c r="Y15" i="80" s="1"/>
  <c r="J10" i="75"/>
  <c r="Z6" i="80"/>
  <c r="Z13" i="80"/>
  <c r="J18" i="75"/>
  <c r="Z15" i="80" s="1"/>
  <c r="Y35" i="80"/>
  <c r="Z32" i="80"/>
  <c r="AN32" i="80" s="1"/>
  <c r="J76" i="75"/>
  <c r="I76" i="75"/>
  <c r="Y32" i="80"/>
  <c r="V35" i="80"/>
  <c r="T32" i="80"/>
  <c r="I76" i="73"/>
  <c r="T13" i="80"/>
  <c r="I18" i="73"/>
  <c r="T15" i="80" s="1"/>
  <c r="U32" i="80"/>
  <c r="J76" i="73"/>
  <c r="R32" i="80"/>
  <c r="AH32" i="80" s="1"/>
  <c r="G76" i="73"/>
  <c r="U13" i="80"/>
  <c r="J18" i="73"/>
  <c r="U15" i="80" s="1"/>
  <c r="H12" i="73"/>
  <c r="S10" i="80" s="1"/>
  <c r="S8" i="80"/>
  <c r="U35" i="80"/>
  <c r="AN35" i="80" s="1"/>
  <c r="I10" i="73"/>
  <c r="T6" i="80"/>
  <c r="R13" i="80"/>
  <c r="G18" i="73"/>
  <c r="R15" i="80" s="1"/>
  <c r="J10" i="73"/>
  <c r="U6" i="80"/>
  <c r="G10" i="73"/>
  <c r="K10" i="73"/>
  <c r="V6" i="80"/>
  <c r="V13" i="80"/>
  <c r="K18" i="73"/>
  <c r="V15" i="80" s="1"/>
  <c r="V32" i="80"/>
  <c r="K76" i="73"/>
  <c r="O32" i="80"/>
  <c r="I76" i="72"/>
  <c r="H76" i="72"/>
  <c r="N32" i="80"/>
  <c r="N13" i="80"/>
  <c r="H18" i="72"/>
  <c r="N15" i="80" s="1"/>
  <c r="J8" i="72"/>
  <c r="J4" i="72"/>
  <c r="J82" i="72" s="1"/>
  <c r="P35" i="80" s="1"/>
  <c r="J75" i="72"/>
  <c r="I10" i="72"/>
  <c r="O6" i="80"/>
  <c r="K10" i="72"/>
  <c r="Q6" i="80"/>
  <c r="Q32" i="80"/>
  <c r="K76" i="72"/>
  <c r="N35" i="80"/>
  <c r="I84" i="72"/>
  <c r="O37" i="80" s="1"/>
  <c r="O36" i="80"/>
  <c r="Q13" i="80"/>
  <c r="K18" i="72"/>
  <c r="Q15" i="80" s="1"/>
  <c r="G75" i="72"/>
  <c r="G8" i="72"/>
  <c r="G4" i="72"/>
  <c r="G82" i="72" s="1"/>
  <c r="E8" i="72"/>
  <c r="E10" i="72" s="1"/>
  <c r="E12" i="72" s="1"/>
  <c r="E4" i="72"/>
  <c r="E82" i="72" s="1"/>
  <c r="E75" i="72"/>
  <c r="E76" i="72" s="1"/>
  <c r="N6" i="80"/>
  <c r="H10" i="72"/>
  <c r="F10" i="71"/>
  <c r="F12" i="71" s="1"/>
  <c r="J10" i="71"/>
  <c r="K6" i="80"/>
  <c r="J18" i="71"/>
  <c r="K15" i="80" s="1"/>
  <c r="K13" i="80"/>
  <c r="G18" i="71"/>
  <c r="H15" i="80" s="1"/>
  <c r="H13" i="80"/>
  <c r="K77" i="30"/>
  <c r="G32" i="80"/>
  <c r="AQ32" i="80" s="1"/>
  <c r="I77" i="30"/>
  <c r="E32" i="80"/>
  <c r="AM32" i="80" s="1"/>
  <c r="H77" i="30"/>
  <c r="D32" i="80"/>
  <c r="AK32" i="80" s="1"/>
  <c r="I10" i="30"/>
  <c r="E6" i="80"/>
  <c r="AM6" i="80" s="1"/>
  <c r="G12" i="30"/>
  <c r="C10" i="80" s="1"/>
  <c r="AI10" i="80" s="1"/>
  <c r="C8" i="80"/>
  <c r="AI8" i="80" s="1"/>
  <c r="K10" i="30"/>
  <c r="G6" i="80"/>
  <c r="AQ6" i="80" s="1"/>
  <c r="G85" i="30"/>
  <c r="C37" i="80" s="1"/>
  <c r="AI37" i="80" s="1"/>
  <c r="C36" i="80"/>
  <c r="AI36" i="80" s="1"/>
  <c r="J77" i="30"/>
  <c r="F32" i="80"/>
  <c r="AO32" i="80" s="1"/>
  <c r="H10" i="30"/>
  <c r="D6" i="80"/>
  <c r="AK6" i="80" s="1"/>
  <c r="J10" i="30"/>
  <c r="F6" i="80"/>
  <c r="AO6" i="80" s="1"/>
  <c r="H100" i="74"/>
  <c r="G10" i="71"/>
  <c r="H38" i="74"/>
  <c r="H103" i="74"/>
  <c r="H36" i="74"/>
  <c r="H9" i="74"/>
  <c r="I9" i="74" s="1"/>
  <c r="J9" i="74" s="1"/>
  <c r="K9" i="74" s="1"/>
  <c r="L9" i="74" s="1"/>
  <c r="F20" i="32"/>
  <c r="AH20" i="32" s="1"/>
  <c r="AH17" i="32"/>
  <c r="AH97" i="32" s="1"/>
  <c r="AH100" i="32" s="1"/>
  <c r="F8" i="30"/>
  <c r="F10" i="30" s="1"/>
  <c r="F12" i="30" s="1"/>
  <c r="F76" i="30"/>
  <c r="F77" i="30" s="1"/>
  <c r="F4" i="30"/>
  <c r="F83" i="30" s="1"/>
  <c r="F97" i="32"/>
  <c r="F100" i="32" s="1"/>
  <c r="H79" i="54"/>
  <c r="K79" i="54"/>
  <c r="G79" i="54"/>
  <c r="J79" i="54"/>
  <c r="K4" i="71"/>
  <c r="K82" i="71" s="1"/>
  <c r="L35" i="80" s="1"/>
  <c r="K75" i="71"/>
  <c r="K8" i="71"/>
  <c r="H75" i="71"/>
  <c r="H8" i="71"/>
  <c r="H4" i="71"/>
  <c r="H82" i="71" s="1"/>
  <c r="I35" i="80" s="1"/>
  <c r="AJ35" i="80" s="1"/>
  <c r="E4" i="71"/>
  <c r="E82" i="71" s="1"/>
  <c r="E8" i="71"/>
  <c r="E10" i="71" s="1"/>
  <c r="E12" i="71" s="1"/>
  <c r="E75" i="71"/>
  <c r="E76" i="71" s="1"/>
  <c r="I75" i="71"/>
  <c r="I4" i="71"/>
  <c r="I82" i="71" s="1"/>
  <c r="J35" i="80" s="1"/>
  <c r="AL35" i="80" s="1"/>
  <c r="I8" i="71"/>
  <c r="AJ20" i="32"/>
  <c r="H18" i="30"/>
  <c r="D15" i="80" s="1"/>
  <c r="AK15" i="80" s="1"/>
  <c r="AK20" i="32"/>
  <c r="I18" i="30"/>
  <c r="E15" i="80" s="1"/>
  <c r="AM15" i="80" s="1"/>
  <c r="AL20" i="32"/>
  <c r="J18" i="30"/>
  <c r="F15" i="80" s="1"/>
  <c r="AO15" i="80" s="1"/>
  <c r="AM20" i="32"/>
  <c r="K18" i="30"/>
  <c r="G15" i="80" s="1"/>
  <c r="AQ15" i="80" s="1"/>
  <c r="AO87" i="32"/>
  <c r="AO92" i="32"/>
  <c r="F97" i="57"/>
  <c r="F114" i="57"/>
  <c r="N114" i="57"/>
  <c r="N97" i="57"/>
  <c r="M114" i="57"/>
  <c r="M97" i="57"/>
  <c r="H93" i="57"/>
  <c r="I114" i="57"/>
  <c r="I97" i="57"/>
  <c r="L93" i="57"/>
  <c r="L114" i="57"/>
  <c r="L97" i="57"/>
  <c r="H114" i="57"/>
  <c r="H97" i="57"/>
  <c r="E114" i="57"/>
  <c r="E83" i="75" s="1"/>
  <c r="E84" i="75" s="1"/>
  <c r="E97" i="57"/>
  <c r="J114" i="57"/>
  <c r="J83" i="75" s="1"/>
  <c r="J97" i="57"/>
  <c r="M114" i="55"/>
  <c r="M97" i="55"/>
  <c r="AR83" i="32"/>
  <c r="AS92" i="32"/>
  <c r="AS87" i="32"/>
  <c r="AQ83" i="32"/>
  <c r="AL96" i="32"/>
  <c r="AL113" i="32"/>
  <c r="J113" i="32"/>
  <c r="J84" i="30" s="1"/>
  <c r="J96" i="32"/>
  <c r="AJ96" i="32"/>
  <c r="AJ113" i="32"/>
  <c r="I113" i="32"/>
  <c r="I84" i="30" s="1"/>
  <c r="I96" i="32"/>
  <c r="AK113" i="32"/>
  <c r="AK96" i="32"/>
  <c r="H113" i="32"/>
  <c r="H84" i="30" s="1"/>
  <c r="H96" i="32"/>
  <c r="AJ87" i="32"/>
  <c r="AJ92" i="32"/>
  <c r="E114" i="56"/>
  <c r="E97" i="56"/>
  <c r="K93" i="56"/>
  <c r="F97" i="56"/>
  <c r="F114" i="56"/>
  <c r="N114" i="56"/>
  <c r="N97" i="56"/>
  <c r="G114" i="56"/>
  <c r="G83" i="73" s="1"/>
  <c r="G97" i="56"/>
  <c r="F93" i="56"/>
  <c r="M114" i="56"/>
  <c r="M97" i="56"/>
  <c r="J93" i="56"/>
  <c r="I114" i="56"/>
  <c r="I83" i="73" s="1"/>
  <c r="I97" i="56"/>
  <c r="K114" i="56"/>
  <c r="K97" i="56"/>
  <c r="L114" i="56"/>
  <c r="L97" i="56"/>
  <c r="H93" i="56"/>
  <c r="J114" i="56"/>
  <c r="J97" i="56"/>
  <c r="E21" i="55"/>
  <c r="E98" i="55"/>
  <c r="E101" i="55" s="1"/>
  <c r="E16" i="72" s="1"/>
  <c r="E18" i="72" s="1"/>
  <c r="N114" i="55"/>
  <c r="N97" i="55"/>
  <c r="F97" i="55"/>
  <c r="F114" i="55"/>
  <c r="H114" i="55"/>
  <c r="H97" i="55"/>
  <c r="L21" i="55"/>
  <c r="L98" i="55"/>
  <c r="L101" i="55" s="1"/>
  <c r="J98" i="55"/>
  <c r="J101" i="55" s="1"/>
  <c r="J16" i="72" s="1"/>
  <c r="J21" i="55"/>
  <c r="L93" i="55"/>
  <c r="G21" i="55"/>
  <c r="G98" i="55"/>
  <c r="G101" i="55" s="1"/>
  <c r="G16" i="72" s="1"/>
  <c r="K97" i="55"/>
  <c r="K114" i="55"/>
  <c r="K83" i="72" s="1"/>
  <c r="AM96" i="32"/>
  <c r="AM113" i="32"/>
  <c r="AI92" i="32"/>
  <c r="AI87" i="32"/>
  <c r="K113" i="32"/>
  <c r="K84" i="30" s="1"/>
  <c r="K96" i="32"/>
  <c r="AK92" i="32"/>
  <c r="AK87" i="32"/>
  <c r="AH83" i="32"/>
  <c r="I88" i="54"/>
  <c r="E21" i="54"/>
  <c r="E98" i="54"/>
  <c r="E101" i="54" s="1"/>
  <c r="E16" i="71" s="1"/>
  <c r="E18" i="71" s="1"/>
  <c r="I98" i="54"/>
  <c r="I101" i="54" s="1"/>
  <c r="I16" i="71" s="1"/>
  <c r="I21" i="54"/>
  <c r="M97" i="54"/>
  <c r="M114" i="54"/>
  <c r="K21" i="54"/>
  <c r="K98" i="54"/>
  <c r="K101" i="54" s="1"/>
  <c r="K16" i="71" s="1"/>
  <c r="E93" i="54"/>
  <c r="H98" i="54"/>
  <c r="H101" i="54" s="1"/>
  <c r="H16" i="71" s="1"/>
  <c r="H21" i="54"/>
  <c r="F93" i="54"/>
  <c r="N114" i="54"/>
  <c r="N97" i="54"/>
  <c r="L93" i="54"/>
  <c r="J97" i="54"/>
  <c r="J114" i="54"/>
  <c r="J83" i="71" s="1"/>
  <c r="G97" i="54"/>
  <c r="G114" i="54"/>
  <c r="G83" i="71" s="1"/>
  <c r="H83" i="75" l="1"/>
  <c r="X36" i="80" s="1"/>
  <c r="F83" i="75"/>
  <c r="F84" i="75" s="1"/>
  <c r="AN6" i="80"/>
  <c r="I83" i="75"/>
  <c r="I84" i="75" s="1"/>
  <c r="Y37" i="80" s="1"/>
  <c r="AP35" i="80"/>
  <c r="AN15" i="80"/>
  <c r="H84" i="73"/>
  <c r="S37" i="80" s="1"/>
  <c r="F83" i="73"/>
  <c r="F84" i="73" s="1"/>
  <c r="AH13" i="80"/>
  <c r="AH15" i="80"/>
  <c r="K83" i="73"/>
  <c r="K84" i="73" s="1"/>
  <c r="V37" i="80" s="1"/>
  <c r="E83" i="73"/>
  <c r="E84" i="73" s="1"/>
  <c r="J83" i="73"/>
  <c r="U36" i="80" s="1"/>
  <c r="AN13" i="80"/>
  <c r="H83" i="72"/>
  <c r="N36" i="80" s="1"/>
  <c r="F83" i="72"/>
  <c r="F84" i="72" s="1"/>
  <c r="F132" i="74"/>
  <c r="E132" i="74" s="1"/>
  <c r="F14" i="82"/>
  <c r="G14" i="82"/>
  <c r="E14" i="82"/>
  <c r="D14" i="82"/>
  <c r="C40" i="74"/>
  <c r="C42" i="74" s="1"/>
  <c r="G40" i="74"/>
  <c r="G42" i="74" s="1"/>
  <c r="E40" i="74"/>
  <c r="E42" i="74" s="1"/>
  <c r="J115" i="74"/>
  <c r="J118" i="74" s="1"/>
  <c r="J122" i="74" s="1"/>
  <c r="O50" i="30"/>
  <c r="P50" i="30" s="1"/>
  <c r="Q50" i="30" s="1"/>
  <c r="J12" i="75"/>
  <c r="Z10" i="80" s="1"/>
  <c r="Z8" i="80"/>
  <c r="H84" i="75"/>
  <c r="X37" i="80" s="1"/>
  <c r="Z36" i="80"/>
  <c r="J84" i="75"/>
  <c r="Z37" i="80" s="1"/>
  <c r="I12" i="75"/>
  <c r="Y10" i="80" s="1"/>
  <c r="Y8" i="80"/>
  <c r="H12" i="75"/>
  <c r="X10" i="80" s="1"/>
  <c r="X8" i="80"/>
  <c r="J84" i="73"/>
  <c r="U37" i="80" s="1"/>
  <c r="J12" i="73"/>
  <c r="U10" i="80" s="1"/>
  <c r="U8" i="80"/>
  <c r="R36" i="80"/>
  <c r="G84" i="73"/>
  <c r="R37" i="80" s="1"/>
  <c r="T36" i="80"/>
  <c r="I84" i="73"/>
  <c r="T37" i="80" s="1"/>
  <c r="K12" i="73"/>
  <c r="V10" i="80" s="1"/>
  <c r="V8" i="80"/>
  <c r="R8" i="80"/>
  <c r="G12" i="73"/>
  <c r="R10" i="80" s="1"/>
  <c r="T8" i="80"/>
  <c r="I12" i="73"/>
  <c r="T10" i="80" s="1"/>
  <c r="H12" i="72"/>
  <c r="N10" i="80" s="1"/>
  <c r="N8" i="80"/>
  <c r="M35" i="80"/>
  <c r="K12" i="72"/>
  <c r="Q10" i="80" s="1"/>
  <c r="Q8" i="80"/>
  <c r="P13" i="80"/>
  <c r="J18" i="72"/>
  <c r="P15" i="80" s="1"/>
  <c r="Q36" i="80"/>
  <c r="K84" i="72"/>
  <c r="Q37" i="80" s="1"/>
  <c r="M32" i="80"/>
  <c r="G76" i="72"/>
  <c r="H84" i="72"/>
  <c r="N37" i="80" s="1"/>
  <c r="I12" i="72"/>
  <c r="O10" i="80" s="1"/>
  <c r="O8" i="80"/>
  <c r="G10" i="72"/>
  <c r="M6" i="80"/>
  <c r="M13" i="80"/>
  <c r="G18" i="72"/>
  <c r="M15" i="80" s="1"/>
  <c r="J76" i="72"/>
  <c r="P32" i="80"/>
  <c r="P6" i="80"/>
  <c r="J10" i="72"/>
  <c r="K18" i="71"/>
  <c r="L15" i="80" s="1"/>
  <c r="AP15" i="80" s="1"/>
  <c r="L13" i="80"/>
  <c r="AP13" i="80" s="1"/>
  <c r="H10" i="71"/>
  <c r="I6" i="80"/>
  <c r="AJ6" i="80" s="1"/>
  <c r="J12" i="71"/>
  <c r="K10" i="80" s="1"/>
  <c r="AN10" i="80" s="1"/>
  <c r="K8" i="80"/>
  <c r="G84" i="71"/>
  <c r="H37" i="80" s="1"/>
  <c r="H36" i="80"/>
  <c r="H18" i="71"/>
  <c r="I15" i="80" s="1"/>
  <c r="AJ15" i="80" s="1"/>
  <c r="I13" i="80"/>
  <c r="AJ13" i="80" s="1"/>
  <c r="I18" i="71"/>
  <c r="J15" i="80" s="1"/>
  <c r="AL15" i="80" s="1"/>
  <c r="J13" i="80"/>
  <c r="AL13" i="80" s="1"/>
  <c r="I76" i="71"/>
  <c r="J32" i="80"/>
  <c r="AL32" i="80" s="1"/>
  <c r="H76" i="71"/>
  <c r="I32" i="80"/>
  <c r="AJ32" i="80" s="1"/>
  <c r="K10" i="71"/>
  <c r="L6" i="80"/>
  <c r="AP6" i="80" s="1"/>
  <c r="G12" i="71"/>
  <c r="H10" i="80" s="1"/>
  <c r="AH10" i="80" s="1"/>
  <c r="H8" i="80"/>
  <c r="AH8" i="80" s="1"/>
  <c r="J84" i="71"/>
  <c r="K37" i="80" s="1"/>
  <c r="AN37" i="80" s="1"/>
  <c r="K36" i="80"/>
  <c r="K76" i="71"/>
  <c r="L32" i="80"/>
  <c r="AP32" i="80" s="1"/>
  <c r="I10" i="71"/>
  <c r="J6" i="80"/>
  <c r="AL6" i="80" s="1"/>
  <c r="J85" i="30"/>
  <c r="F37" i="80" s="1"/>
  <c r="AO37" i="80" s="1"/>
  <c r="F36" i="80"/>
  <c r="AO36" i="80" s="1"/>
  <c r="K85" i="30"/>
  <c r="G37" i="80" s="1"/>
  <c r="AQ37" i="80" s="1"/>
  <c r="G36" i="80"/>
  <c r="AQ36" i="80" s="1"/>
  <c r="I85" i="30"/>
  <c r="E37" i="80" s="1"/>
  <c r="AM37" i="80" s="1"/>
  <c r="E36" i="80"/>
  <c r="AM36" i="80" s="1"/>
  <c r="J12" i="30"/>
  <c r="F10" i="80" s="1"/>
  <c r="AO10" i="80" s="1"/>
  <c r="F8" i="80"/>
  <c r="AO8" i="80" s="1"/>
  <c r="I12" i="30"/>
  <c r="E10" i="80" s="1"/>
  <c r="AM10" i="80" s="1"/>
  <c r="E8" i="80"/>
  <c r="AM8" i="80" s="1"/>
  <c r="H85" i="30"/>
  <c r="D37" i="80" s="1"/>
  <c r="AK37" i="80" s="1"/>
  <c r="D36" i="80"/>
  <c r="AK36" i="80" s="1"/>
  <c r="H12" i="30"/>
  <c r="D10" i="80" s="1"/>
  <c r="AK10" i="80" s="1"/>
  <c r="D8" i="80"/>
  <c r="AK8" i="80" s="1"/>
  <c r="K12" i="30"/>
  <c r="G10" i="80" s="1"/>
  <c r="AQ10" i="80" s="1"/>
  <c r="G8" i="80"/>
  <c r="AQ8" i="80" s="1"/>
  <c r="H35" i="74"/>
  <c r="I36" i="74"/>
  <c r="H32" i="74"/>
  <c r="I100" i="74"/>
  <c r="I38" i="74"/>
  <c r="I32" i="74"/>
  <c r="I103" i="74"/>
  <c r="F16" i="30"/>
  <c r="F18" i="30" s="1"/>
  <c r="F113" i="32"/>
  <c r="F96" i="32"/>
  <c r="AH113" i="32"/>
  <c r="AH96" i="32"/>
  <c r="G68" i="71"/>
  <c r="G84" i="54"/>
  <c r="K68" i="71"/>
  <c r="K84" i="54"/>
  <c r="H68" i="71"/>
  <c r="H84" i="54"/>
  <c r="J84" i="54"/>
  <c r="J68" i="71"/>
  <c r="J76" i="71"/>
  <c r="G76" i="71"/>
  <c r="AR92" i="32"/>
  <c r="AR87" i="32"/>
  <c r="AQ92" i="32"/>
  <c r="AQ87" i="32"/>
  <c r="E97" i="55"/>
  <c r="E114" i="55"/>
  <c r="G114" i="55"/>
  <c r="G97" i="55"/>
  <c r="L114" i="55"/>
  <c r="L97" i="55"/>
  <c r="J97" i="55"/>
  <c r="J114" i="55"/>
  <c r="J83" i="72" s="1"/>
  <c r="AH92" i="32"/>
  <c r="AH87" i="32"/>
  <c r="I93" i="54"/>
  <c r="E114" i="54"/>
  <c r="E83" i="71" s="1"/>
  <c r="E84" i="71" s="1"/>
  <c r="E97" i="54"/>
  <c r="I97" i="54"/>
  <c r="I114" i="54"/>
  <c r="I83" i="71" s="1"/>
  <c r="H97" i="54"/>
  <c r="H114" i="54"/>
  <c r="H83" i="71" s="1"/>
  <c r="H84" i="71" s="1"/>
  <c r="K97" i="54"/>
  <c r="K114" i="54"/>
  <c r="K83" i="71" s="1"/>
  <c r="Y36" i="80" l="1"/>
  <c r="AH36" i="80"/>
  <c r="AN8" i="80"/>
  <c r="AH37" i="80"/>
  <c r="V36" i="80"/>
  <c r="AN36" i="80"/>
  <c r="G83" i="72"/>
  <c r="M36" i="80" s="1"/>
  <c r="E83" i="72"/>
  <c r="E84" i="72" s="1"/>
  <c r="F84" i="30"/>
  <c r="F85" i="30" s="1"/>
  <c r="H104" i="74"/>
  <c r="H105" i="74"/>
  <c r="K115" i="74"/>
  <c r="K118" i="74" s="1"/>
  <c r="K122" i="74" s="1"/>
  <c r="J12" i="72"/>
  <c r="P10" i="80" s="1"/>
  <c r="P8" i="80"/>
  <c r="M8" i="80"/>
  <c r="G12" i="72"/>
  <c r="M10" i="80" s="1"/>
  <c r="G84" i="72"/>
  <c r="M37" i="80" s="1" a="1"/>
  <c r="M37" i="80" s="1"/>
  <c r="P36" i="80"/>
  <c r="J84" i="72"/>
  <c r="P37" i="80" s="1"/>
  <c r="I84" i="71"/>
  <c r="J37" i="80" s="1"/>
  <c r="AL37" i="80" s="1"/>
  <c r="J36" i="80"/>
  <c r="AL36" i="80" s="1"/>
  <c r="K12" i="71"/>
  <c r="L10" i="80" s="1"/>
  <c r="AP10" i="80" s="1"/>
  <c r="L8" i="80"/>
  <c r="AP8" i="80" s="1"/>
  <c r="I12" i="71"/>
  <c r="J10" i="80" s="1"/>
  <c r="AL10" i="80" s="1"/>
  <c r="J8" i="80"/>
  <c r="AL8" i="80" s="1"/>
  <c r="I37" i="80"/>
  <c r="AJ37" i="80" s="1"/>
  <c r="I36" i="80"/>
  <c r="AJ36" i="80" s="1"/>
  <c r="H12" i="71"/>
  <c r="I10" i="80" s="1"/>
  <c r="AJ10" i="80" s="1"/>
  <c r="I8" i="80"/>
  <c r="AJ8" i="80" s="1"/>
  <c r="K84" i="71"/>
  <c r="L37" i="80" s="1"/>
  <c r="AP37" i="80" s="1"/>
  <c r="L36" i="80"/>
  <c r="AP36" i="80" s="1"/>
  <c r="I35" i="74"/>
  <c r="H33" i="74"/>
  <c r="I105" i="74"/>
  <c r="I33" i="74"/>
  <c r="I34" i="74" s="1"/>
  <c r="J36" i="74"/>
  <c r="J38" i="74"/>
  <c r="J103" i="74"/>
  <c r="J100" i="74"/>
  <c r="J32" i="74"/>
  <c r="I104" i="74"/>
  <c r="H88" i="54"/>
  <c r="K88" i="54"/>
  <c r="J88" i="54"/>
  <c r="G88" i="54"/>
  <c r="I106" i="74" l="1"/>
  <c r="I121" i="74" s="1"/>
  <c r="H39" i="74"/>
  <c r="H34" i="74"/>
  <c r="H106" i="74"/>
  <c r="H121" i="74" s="1"/>
  <c r="L115" i="74"/>
  <c r="L118" i="74" s="1"/>
  <c r="L122" i="74" s="1"/>
  <c r="J35" i="74"/>
  <c r="I39" i="74"/>
  <c r="I40" i="74" s="1"/>
  <c r="J105" i="74"/>
  <c r="J33" i="74"/>
  <c r="J34" i="74" s="1"/>
  <c r="K103" i="74"/>
  <c r="K100" i="74"/>
  <c r="L100" i="74"/>
  <c r="K32" i="74"/>
  <c r="K36" i="74"/>
  <c r="J104" i="74"/>
  <c r="K38" i="74"/>
  <c r="J93" i="54"/>
  <c r="H93" i="54"/>
  <c r="G93" i="54"/>
  <c r="K93" i="54"/>
  <c r="H41" i="74" l="1"/>
  <c r="H40" i="74"/>
  <c r="H107" i="74"/>
  <c r="H45" i="74" s="1"/>
  <c r="I41" i="74"/>
  <c r="I42" i="74" s="1"/>
  <c r="I70" i="74" s="1"/>
  <c r="J106" i="74"/>
  <c r="J121" i="74" s="1"/>
  <c r="I107" i="74"/>
  <c r="I45" i="74" s="1"/>
  <c r="I123" i="74"/>
  <c r="J71" i="74" s="1"/>
  <c r="J72" i="74" s="1"/>
  <c r="H123" i="74"/>
  <c r="I71" i="74" s="1"/>
  <c r="I72" i="74" s="1"/>
  <c r="K35" i="74"/>
  <c r="J39" i="74"/>
  <c r="J40" i="74" s="1"/>
  <c r="K105" i="74"/>
  <c r="K33" i="74"/>
  <c r="K34" i="74" s="1"/>
  <c r="L38" i="74"/>
  <c r="L36" i="74"/>
  <c r="L32" i="74"/>
  <c r="K104" i="74"/>
  <c r="L103" i="74"/>
  <c r="H42" i="74" l="1"/>
  <c r="H70" i="74" s="1"/>
  <c r="H73" i="74" s="1"/>
  <c r="H74" i="74" s="1"/>
  <c r="J41" i="74"/>
  <c r="J42" i="74" s="1"/>
  <c r="J70" i="74" s="1"/>
  <c r="J73" i="74" s="1"/>
  <c r="J74" i="74" s="1"/>
  <c r="I73" i="74"/>
  <c r="I74" i="74" s="1"/>
  <c r="K106" i="74"/>
  <c r="K121" i="74" s="1"/>
  <c r="J107" i="74"/>
  <c r="I46" i="74"/>
  <c r="I48" i="74" s="1"/>
  <c r="L35" i="74"/>
  <c r="L105" i="74"/>
  <c r="L33" i="74"/>
  <c r="L34" i="74" s="1"/>
  <c r="K39" i="74"/>
  <c r="K40" i="74" s="1"/>
  <c r="L104" i="74"/>
  <c r="H46" i="74" l="1"/>
  <c r="L106" i="74"/>
  <c r="L121" i="74" s="1"/>
  <c r="K41" i="74"/>
  <c r="K42" i="74" s="1"/>
  <c r="K70" i="74" s="1"/>
  <c r="J45" i="74"/>
  <c r="J46" i="74" s="1"/>
  <c r="J123" i="74"/>
  <c r="K71" i="74" s="1"/>
  <c r="K72" i="74" s="1"/>
  <c r="K107" i="74"/>
  <c r="I76" i="74"/>
  <c r="L39" i="74"/>
  <c r="L40" i="74" s="1"/>
  <c r="J48" i="74" l="1"/>
  <c r="J76" i="74" s="1"/>
  <c r="H48" i="74"/>
  <c r="H76" i="74" s="1"/>
  <c r="L41" i="74"/>
  <c r="L42" i="74" s="1"/>
  <c r="L70" i="74" s="1"/>
  <c r="K73" i="74"/>
  <c r="K74" i="74" s="1"/>
  <c r="K45" i="74"/>
  <c r="K46" i="74" s="1"/>
  <c r="K48" i="74" s="1"/>
  <c r="K123" i="74"/>
  <c r="L71" i="74" s="1"/>
  <c r="L72" i="74" s="1"/>
  <c r="L107" i="74"/>
  <c r="L45" i="74" l="1"/>
  <c r="L46" i="74" s="1"/>
  <c r="L48" i="74" s="1"/>
  <c r="L123" i="74"/>
  <c r="L73" i="74"/>
  <c r="L74" i="74" s="1"/>
  <c r="K76" i="74"/>
  <c r="C75" i="74" l="1"/>
  <c r="C85" i="74" l="1"/>
  <c r="C88" i="74" s="1"/>
  <c r="C90" i="74" s="1"/>
  <c r="C49" i="74"/>
  <c r="C59" i="74" s="1"/>
  <c r="C62" i="74" s="1"/>
  <c r="C64" i="74" s="1"/>
  <c r="L76" i="74"/>
  <c r="J15" i="82" l="1"/>
  <c r="D132" i="74"/>
  <c r="D143" i="74"/>
  <c r="J16" i="82"/>
  <c r="C91" i="74"/>
  <c r="C65" i="74"/>
  <c r="E16" i="82" l="1"/>
  <c r="D16" i="82" s="1"/>
  <c r="F16" i="82"/>
  <c r="G16" i="82" s="1"/>
  <c r="F15" i="82"/>
  <c r="G15" i="82" s="1"/>
  <c r="E15" i="82"/>
  <c r="D15" i="82" s="1"/>
  <c r="J17" i="82"/>
  <c r="M29" i="68"/>
  <c r="M30" i="68" s="1"/>
  <c r="M27" i="68"/>
  <c r="M26" i="6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Leitz,MP (pgt)</author>
  </authors>
  <commentList>
    <comment ref="N4" authorId="0" shapeId="0" xr:uid="{0C095A27-7244-4D1C-BE04-A9DC2E46C55C}">
      <text>
        <r>
          <rPr>
            <b/>
            <sz val="9"/>
            <color indexed="81"/>
            <rFont val="Tahoma"/>
            <family val="2"/>
          </rPr>
          <t>As of 26.March 2025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Leitz,MP (pgt)</author>
  </authors>
  <commentList>
    <comment ref="M16" authorId="0" shapeId="0" xr:uid="{66670D59-B25A-4A3A-8A65-60252AB1414C}">
      <text>
        <r>
          <rPr>
            <b/>
            <sz val="9"/>
            <color rgb="FF000000"/>
            <rFont val="Tahoma"/>
            <family val="2"/>
          </rPr>
          <t>https://kpmg.com/dk/en/home/insights/2016/11/tax-rates-online/corporate-tax-rates-table.html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<sst xmlns="http://schemas.openxmlformats.org/spreadsheetml/2006/main" count="7556" uniqueCount="961">
  <si>
    <t>&lt;&lt;&lt; End of sheet &gt;&gt;&gt;</t>
  </si>
  <si>
    <t>BioNTech</t>
  </si>
  <si>
    <t>Astra Zeneca</t>
  </si>
  <si>
    <t>Moderna</t>
  </si>
  <si>
    <t>Sanofi</t>
  </si>
  <si>
    <t>GSK</t>
  </si>
  <si>
    <t>Takeda</t>
  </si>
  <si>
    <t>Depreciation policy adjustment</t>
  </si>
  <si>
    <t>PP/E over PP/E + Intangibles</t>
  </si>
  <si>
    <t>Depreciation (% of non-current operating assets)</t>
  </si>
  <si>
    <t>Implied Useful life</t>
  </si>
  <si>
    <t>Industry avg.*</t>
  </si>
  <si>
    <t xml:space="preserve">*excluding Moderna </t>
  </si>
  <si>
    <t>Ratio analysis</t>
  </si>
  <si>
    <t>x</t>
  </si>
  <si>
    <t>Decomposition of ROE</t>
  </si>
  <si>
    <t>Net profit margin (ROS)</t>
  </si>
  <si>
    <t>× Asset turnover</t>
  </si>
  <si>
    <t xml:space="preserve"> = Return on assets (ROA)</t>
  </si>
  <si>
    <t>× Financial Leverage</t>
  </si>
  <si>
    <t xml:space="preserve"> = Return on equity (ROE)</t>
  </si>
  <si>
    <t>Decomposition of RNOA</t>
  </si>
  <si>
    <t>Net Operating Profit Margin</t>
  </si>
  <si>
    <t>× Net Operating Asset Turnover</t>
  </si>
  <si>
    <t xml:space="preserve"> = Return on Net Operating Assets</t>
  </si>
  <si>
    <t>Other key profitability ratios</t>
  </si>
  <si>
    <t>Gross profit margin</t>
  </si>
  <si>
    <t>EBITDA margin</t>
  </si>
  <si>
    <t>Asset management ratios</t>
  </si>
  <si>
    <t>PP&amp;E turnover</t>
  </si>
  <si>
    <t>Days’ receivables</t>
  </si>
  <si>
    <t>Days’ inventories</t>
  </si>
  <si>
    <t>Days’ payables</t>
  </si>
  <si>
    <t>Cash conversion cycle</t>
  </si>
  <si>
    <t>Solvency ratios</t>
  </si>
  <si>
    <t>Debt-to-equity</t>
  </si>
  <si>
    <t>Debt-to-invested capital</t>
  </si>
  <si>
    <t>Interest coverage (earnings based)</t>
  </si>
  <si>
    <t>Sustainable growth rate</t>
  </si>
  <si>
    <t>ROE</t>
  </si>
  <si>
    <t>× Dividend payout ratio</t>
  </si>
  <si>
    <t>Comps</t>
  </si>
  <si>
    <t>Metric</t>
  </si>
  <si>
    <t>EV</t>
  </si>
  <si>
    <t>Net Debt</t>
  </si>
  <si>
    <t>Equity Value</t>
  </si>
  <si>
    <t>Shares</t>
  </si>
  <si>
    <t>Share Price</t>
  </si>
  <si>
    <t>Key Assumptions</t>
  </si>
  <si>
    <t>EV/ NTM Revenue</t>
  </si>
  <si>
    <t>Current Price</t>
  </si>
  <si>
    <t>Revenue (NTM)</t>
  </si>
  <si>
    <t>EV/ LTM Revenue</t>
  </si>
  <si>
    <t>Shares Outstanding (m)</t>
  </si>
  <si>
    <t>Revenue (LTM)</t>
  </si>
  <si>
    <t>P/E</t>
  </si>
  <si>
    <t>n.a.</t>
  </si>
  <si>
    <t>Net Debt ($000)</t>
  </si>
  <si>
    <t>EBIT</t>
  </si>
  <si>
    <t>Earnings</t>
  </si>
  <si>
    <t>Lo</t>
  </si>
  <si>
    <t>Hi</t>
  </si>
  <si>
    <t>Football Field Data</t>
  </si>
  <si>
    <t>lo</t>
  </si>
  <si>
    <t xml:space="preserve">lo </t>
  </si>
  <si>
    <t>hi</t>
  </si>
  <si>
    <t>Price (model)</t>
  </si>
  <si>
    <t>PV of FCF</t>
  </si>
  <si>
    <t>PV of ANOPAT</t>
  </si>
  <si>
    <t>Avg.</t>
  </si>
  <si>
    <t>Valuation Summary</t>
  </si>
  <si>
    <t>Historicals</t>
  </si>
  <si>
    <t>Forecast</t>
  </si>
  <si>
    <t xml:space="preserve"> </t>
  </si>
  <si>
    <t>Assumptions</t>
  </si>
  <si>
    <t>Income Statement</t>
  </si>
  <si>
    <t>Revenue Growth (% YoY)</t>
  </si>
  <si>
    <t>&gt; Calculated in Revenue Forcast Sheet</t>
  </si>
  <si>
    <t>Cost of Goods Sold (% of Revenue)</t>
  </si>
  <si>
    <t>&gt; Based on Average of prior 5 years</t>
  </si>
  <si>
    <t>SG&amp;A (% of Revenue)</t>
  </si>
  <si>
    <t>&gt; remains flat</t>
  </si>
  <si>
    <t>R&amp;D (% of Revenue)</t>
  </si>
  <si>
    <t>&gt; Analyst consensus</t>
  </si>
  <si>
    <t>Other Operating Income/ Expenses (% of Revenue)</t>
  </si>
  <si>
    <t>Other</t>
  </si>
  <si>
    <t>Tax Rate</t>
  </si>
  <si>
    <t>&gt; German tax rate</t>
  </si>
  <si>
    <t>PV of FCF Valuation</t>
  </si>
  <si>
    <t>WACC</t>
  </si>
  <si>
    <t>Perpetural Growth Rate</t>
  </si>
  <si>
    <t>EV / NTM Revenue Multiple</t>
  </si>
  <si>
    <t>*As of 25/03/2025</t>
  </si>
  <si>
    <t>Cash</t>
  </si>
  <si>
    <t>Debt</t>
  </si>
  <si>
    <t>Terminal Revenue Growth Rate</t>
  </si>
  <si>
    <t>Revenue</t>
  </si>
  <si>
    <t>Cost of Goods Sold (COGS)</t>
  </si>
  <si>
    <t>Gross Profit</t>
  </si>
  <si>
    <t>Gross Margin (%)</t>
  </si>
  <si>
    <t>Operating Income/Expenses</t>
  </si>
  <si>
    <t>SG&amp;A</t>
  </si>
  <si>
    <t>R&amp;D</t>
  </si>
  <si>
    <t>Other Operating Income/Expenses</t>
  </si>
  <si>
    <t>Operating Profit</t>
  </si>
  <si>
    <t>Operating Margin (%)</t>
  </si>
  <si>
    <t>Taxes</t>
  </si>
  <si>
    <t>NOPAT</t>
  </si>
  <si>
    <t>Plus: D&amp;A</t>
  </si>
  <si>
    <t>Less: Capex</t>
  </si>
  <si>
    <t>Less: Changes in NWC</t>
  </si>
  <si>
    <t>Free Cash Flow</t>
  </si>
  <si>
    <t>Discounted Free Cash Flow</t>
  </si>
  <si>
    <t>Sum</t>
  </si>
  <si>
    <t>Terminal Value</t>
  </si>
  <si>
    <t>Revenue NTM</t>
  </si>
  <si>
    <t>Present Value of Terminal Value</t>
  </si>
  <si>
    <t>Intrinsic Value</t>
  </si>
  <si>
    <t>Enterprise Value</t>
  </si>
  <si>
    <t>Plus: Cash</t>
  </si>
  <si>
    <t>Less: Debt</t>
  </si>
  <si>
    <t>Implied Price per Share</t>
  </si>
  <si>
    <t>Difference to actual</t>
  </si>
  <si>
    <t>PV of ANOPAT Valuation</t>
  </si>
  <si>
    <t>Beginning Net operating assets (t-1)</t>
  </si>
  <si>
    <t>Capital Charge</t>
  </si>
  <si>
    <t>ANOPAT</t>
  </si>
  <si>
    <t>Supporting Schedules</t>
  </si>
  <si>
    <t>Working Capital Schedule</t>
  </si>
  <si>
    <t>Accounts Receivable (Days)</t>
  </si>
  <si>
    <t>&gt; average adjusted</t>
  </si>
  <si>
    <t>Inventory (Days)</t>
  </si>
  <si>
    <t>Accounts Payable (Days)</t>
  </si>
  <si>
    <t>Cash Conversion Cycle</t>
  </si>
  <si>
    <t>Operating Working Capital</t>
  </si>
  <si>
    <t>Trade receivables</t>
  </si>
  <si>
    <t>Inventories</t>
  </si>
  <si>
    <t>Trade payables</t>
  </si>
  <si>
    <t xml:space="preserve"> = Ending operating working capital</t>
  </si>
  <si>
    <t>Change in NWC</t>
  </si>
  <si>
    <t>Net Operating Assets Schedule</t>
  </si>
  <si>
    <t>Depreciation (% of Revenue)</t>
  </si>
  <si>
    <t>Capex (% of Revenue)</t>
  </si>
  <si>
    <t>Beg. Non-Current Operating Assets</t>
  </si>
  <si>
    <t>+ Capex</t>
  </si>
  <si>
    <t>- D&amp;A</t>
  </si>
  <si>
    <t>Ending Non-Current Operating Assets</t>
  </si>
  <si>
    <t>Invested Capital Schedule</t>
  </si>
  <si>
    <t>Net working capital</t>
  </si>
  <si>
    <t xml:space="preserve"> + Net non-current operating assets</t>
  </si>
  <si>
    <t xml:space="preserve"> = Net operating assets</t>
  </si>
  <si>
    <t>Charts and Graphs</t>
  </si>
  <si>
    <t>Sensitising WACC against terminal value multiple</t>
  </si>
  <si>
    <t>EV / NTM 
Revenue</t>
  </si>
  <si>
    <t>Revenue by type (EUR m)</t>
  </si>
  <si>
    <r>
      <t>Existing product sales</t>
    </r>
    <r>
      <rPr>
        <sz val="10"/>
        <rFont val="Aptos Display"/>
        <family val="2"/>
        <scheme val="major"/>
      </rPr>
      <t xml:space="preserve"> (Comirnaty COVID-19)</t>
    </r>
  </si>
  <si>
    <t>Volume decline</t>
  </si>
  <si>
    <t>&gt; normalisation of Covid vaccine market from ('29)</t>
  </si>
  <si>
    <t>Pipeline product sales – oncology</t>
  </si>
  <si>
    <t>BNT122 TAM (cases m)</t>
  </si>
  <si>
    <t>Penetration (share)</t>
  </si>
  <si>
    <t>BNT122 SOM (cases m)</t>
  </si>
  <si>
    <t>BNT122 pricing</t>
  </si>
  <si>
    <t>BNT122 PoS</t>
  </si>
  <si>
    <t>BNT122 sales</t>
  </si>
  <si>
    <t>BNT116 TAM (cases m)</t>
  </si>
  <si>
    <t>BNT116 SOM (cases m)</t>
  </si>
  <si>
    <t>BNT116 pricing</t>
  </si>
  <si>
    <t>BNT116 PoS</t>
  </si>
  <si>
    <t>BNT116 sales</t>
  </si>
  <si>
    <t>Pipeline product sales – new vaccines</t>
  </si>
  <si>
    <t>Shingles vaccine market</t>
  </si>
  <si>
    <t>Pricing</t>
  </si>
  <si>
    <t>Shingles TAM (doses m)</t>
  </si>
  <si>
    <t>Shingles SOM (doses m)</t>
  </si>
  <si>
    <t>Shingles pricing</t>
  </si>
  <si>
    <t>Shingles PoS</t>
  </si>
  <si>
    <t>Shingles sales</t>
  </si>
  <si>
    <t>Flu TAM (doses m)</t>
  </si>
  <si>
    <t>&gt; US &amp; EU only</t>
  </si>
  <si>
    <t>Flu SOM (doses m)</t>
  </si>
  <si>
    <t>Flu pricing</t>
  </si>
  <si>
    <t>Flu PoS</t>
  </si>
  <si>
    <t>Flu sales</t>
  </si>
  <si>
    <t>Partnership &amp; milestone revenue</t>
  </si>
  <si>
    <t>Collaboration revenue</t>
  </si>
  <si>
    <t>Milestone bump</t>
  </si>
  <si>
    <t>Total revenue</t>
  </si>
  <si>
    <t>Date</t>
  </si>
  <si>
    <t xml:space="preserve"> (in EUR m)</t>
  </si>
  <si>
    <t>Company name</t>
  </si>
  <si>
    <t>Price close</t>
  </si>
  <si>
    <t>Shares oust. (m)</t>
  </si>
  <si>
    <t>Market Cap</t>
  </si>
  <si>
    <t>EV / Revenue (LTM)</t>
  </si>
  <si>
    <t>EV / Revenue (NTM)</t>
  </si>
  <si>
    <t>EBITDA (LTM)</t>
  </si>
  <si>
    <t>EV / EBITDA (LTM)</t>
  </si>
  <si>
    <t>EBITDA (NTM)</t>
  </si>
  <si>
    <t>EV / EBITDA (NTM)</t>
  </si>
  <si>
    <t>Net Income (LTM)</t>
  </si>
  <si>
    <t>EPS (LTM)</t>
  </si>
  <si>
    <t>P / E (LTM)</t>
  </si>
  <si>
    <t>Net Income (NTM)</t>
  </si>
  <si>
    <t>EPS (NTM)</t>
  </si>
  <si>
    <t>P / E (NTM)</t>
  </si>
  <si>
    <t xml:space="preserve">BioNTech SE </t>
  </si>
  <si>
    <t>Selected Biotech peers</t>
  </si>
  <si>
    <t xml:space="preserve">Moderna, Inc. </t>
  </si>
  <si>
    <t xml:space="preserve">AstraZeneca PLC </t>
  </si>
  <si>
    <t xml:space="preserve">GSK plc </t>
  </si>
  <si>
    <t xml:space="preserve">Sanofi </t>
  </si>
  <si>
    <t>Takeda Pharmaceutical Company Limited</t>
  </si>
  <si>
    <t/>
  </si>
  <si>
    <t>Min</t>
  </si>
  <si>
    <t>Median</t>
  </si>
  <si>
    <t>Average</t>
  </si>
  <si>
    <t>Max</t>
  </si>
  <si>
    <t>WACC calculation</t>
  </si>
  <si>
    <t>Sensitising WACC based on capital structure and levered Beta</t>
  </si>
  <si>
    <t>Input</t>
  </si>
  <si>
    <t>Value</t>
  </si>
  <si>
    <t>Comment</t>
  </si>
  <si>
    <t>Source:</t>
  </si>
  <si>
    <t>Debt / Value</t>
  </si>
  <si>
    <t>Risk-free rate</t>
  </si>
  <si>
    <t>Yield on 10y U.S. government bond</t>
  </si>
  <si>
    <t>https://www.marketwatch.com/investing/bond/tmubmusd10y?countrycode=bx</t>
  </si>
  <si>
    <t>Equity Beta</t>
  </si>
  <si>
    <t>Based on 5y-monthly regression (against S&amp;P 500)</t>
  </si>
  <si>
    <t>Bloomberg (LSE)</t>
  </si>
  <si>
    <t>Equity risk premium (ERP)</t>
  </si>
  <si>
    <t>Implied current U.S. ERP</t>
  </si>
  <si>
    <t>https://pages.stern.nyu.edu/~adamodar/New_Home_Page/datafile/ctryprem.html</t>
  </si>
  <si>
    <t>Cost of equity</t>
  </si>
  <si>
    <t>Interest rate</t>
  </si>
  <si>
    <t>Pre-tax cost of debt</t>
  </si>
  <si>
    <t>Based on AlphaSpread security analysis</t>
  </si>
  <si>
    <t>https://www.alphaspread.com/security/nasdaq/bntx/discount-rate</t>
  </si>
  <si>
    <t>Marginal tax rate</t>
  </si>
  <si>
    <t>German corporate tax rate</t>
  </si>
  <si>
    <t>https://kpmg.com/dk/en/home/insights/2016/11/tax-rates-online/corporate-tax-rates-table.html</t>
  </si>
  <si>
    <t>Post-tax cost of debt</t>
  </si>
  <si>
    <t xml:space="preserve">Debt </t>
  </si>
  <si>
    <t>total debt</t>
  </si>
  <si>
    <t>Equity</t>
  </si>
  <si>
    <t>market cap</t>
  </si>
  <si>
    <t>Current capital structure</t>
  </si>
  <si>
    <t>Equity / Value</t>
  </si>
  <si>
    <t>Sensitising WACC based on capital structure and cost of debt</t>
  </si>
  <si>
    <t>Pre-tax 
cost of debt</t>
  </si>
  <si>
    <t>Operating cash percentage</t>
  </si>
  <si>
    <t>INCOME STATEMENT</t>
  </si>
  <si>
    <t>Operating expenses</t>
  </si>
  <si>
    <t>Operating profit</t>
  </si>
  <si>
    <t>Investment Income</t>
  </si>
  <si>
    <t>Net non-recurring income or expense</t>
  </si>
  <si>
    <t>Interest income</t>
  </si>
  <si>
    <t>Interest expense</t>
  </si>
  <si>
    <t>Profit before taxes</t>
  </si>
  <si>
    <t>Tax expense</t>
  </si>
  <si>
    <t>Profit after taxes</t>
  </si>
  <si>
    <t>Profit/loss to non-controlling interest</t>
  </si>
  <si>
    <t>Profit/Loss of Discontinued Operations</t>
  </si>
  <si>
    <t>Profit/loss to ordinary shareholders</t>
  </si>
  <si>
    <t>OPERATING EXPENSES</t>
  </si>
  <si>
    <t>Classification by function:</t>
  </si>
  <si>
    <t>Cost of Sales (by function)</t>
  </si>
  <si>
    <t>SG&amp;A (by function)</t>
  </si>
  <si>
    <t>R&amp;D Expenses</t>
  </si>
  <si>
    <t>Other Operating Income, Net of Other Operating Expense (by function)</t>
  </si>
  <si>
    <t>Classification by nature:</t>
  </si>
  <si>
    <t>Cost of Materials (by nature)</t>
  </si>
  <si>
    <t>Personnel Expenses (by nature)</t>
  </si>
  <si>
    <t>Depreciation and Amortization (by nature)</t>
  </si>
  <si>
    <t>Other Operating Income, Net of Other Operating Expense (by nature)</t>
  </si>
  <si>
    <t>BALANCE SHEET</t>
  </si>
  <si>
    <t>ASSETS</t>
  </si>
  <si>
    <t>Non-Current Tangible Assets</t>
  </si>
  <si>
    <t>Non-Current Intangible Assets</t>
  </si>
  <si>
    <t>Other Non-Operating Investments</t>
  </si>
  <si>
    <t>Deferred Tax Asset</t>
  </si>
  <si>
    <t>Total Non-Current Assets</t>
  </si>
  <si>
    <t>Trade Receivables</t>
  </si>
  <si>
    <t>Other Current Assets</t>
  </si>
  <si>
    <t>Cash and Cash Equivalents</t>
  </si>
  <si>
    <t>Total Current Assets</t>
  </si>
  <si>
    <t>Total Assets</t>
  </si>
  <si>
    <t>LIABILITIES AND SHAREHOLDERS' EQUITY</t>
  </si>
  <si>
    <t>Ordinary Shareholders' Equity</t>
  </si>
  <si>
    <t>Preference Shares</t>
  </si>
  <si>
    <t>Non-Controlling Interest in Equity</t>
  </si>
  <si>
    <t>Non-Current Debt</t>
  </si>
  <si>
    <t>Deferred Tax Liability</t>
  </si>
  <si>
    <t>Other Non-Current Liabilities (non interest bearing)</t>
  </si>
  <si>
    <t>Non-Current Liabilities</t>
  </si>
  <si>
    <t>Trade Payables</t>
  </si>
  <si>
    <t>Other Current Liabilities</t>
  </si>
  <si>
    <t>Current Debt</t>
  </si>
  <si>
    <t>Current Liabilities</t>
  </si>
  <si>
    <t>Total Liabilities and Shareholders' Equity</t>
  </si>
  <si>
    <t>Check</t>
  </si>
  <si>
    <t>CASH FLOW STATEMENT</t>
  </si>
  <si>
    <t>Profit Before Interest and Tax</t>
  </si>
  <si>
    <t>Taxes Paid</t>
  </si>
  <si>
    <t>Non-Operating Losses (Gains)</t>
  </si>
  <si>
    <t>Non-Current Operating Accruals</t>
  </si>
  <si>
    <t>Operating Cash Flow before Working Capital Investments</t>
  </si>
  <si>
    <t>Net (Investments in) or Liquidation of Operating Working Capital</t>
  </si>
  <si>
    <t>Operating Cash Flow before Investment in Non-Current Assets</t>
  </si>
  <si>
    <t>Interest Received</t>
  </si>
  <si>
    <t>Dividends received</t>
  </si>
  <si>
    <t>Net (Investments in) or Liquidation of Non-Current Operating or Investment Assets</t>
  </si>
  <si>
    <t>Free Cash Flow Available to Debt and Equity</t>
  </si>
  <si>
    <t>Interest Paid</t>
  </si>
  <si>
    <t>Net Debt (Repayment) or Issuance</t>
  </si>
  <si>
    <t>Free Cash Flow Available to Equity</t>
  </si>
  <si>
    <t>Dividend (Payments)</t>
  </si>
  <si>
    <t>Net share (Repurchase) or Issuance</t>
  </si>
  <si>
    <t>Misc. Cash Flow &amp; Exchange rate</t>
  </si>
  <si>
    <t>Net Increase (Decrease) in Cash Balance</t>
  </si>
  <si>
    <t>CONDENSED STATEMENTS OF EARNINGS</t>
  </si>
  <si>
    <t>Net operating profit after tax</t>
  </si>
  <si>
    <t>Profit or loss</t>
  </si>
  <si>
    <t>– Investment profit after tax</t>
  </si>
  <si>
    <t>+ Interest expense after tax</t>
  </si>
  <si>
    <t xml:space="preserve"> = Net operating profit after tax</t>
  </si>
  <si>
    <t>of which: Net non-recurring expense after tax</t>
  </si>
  <si>
    <t xml:space="preserve"> = Net non-recurring expense (income)</t>
  </si>
  <si>
    <t>x (1 – Tax rate)</t>
  </si>
  <si>
    <t xml:space="preserve"> = Net non-recurring expense after tax</t>
  </si>
  <si>
    <t>+ Net investment profit after tax</t>
  </si>
  <si>
    <t xml:space="preserve"> = Investment and interest income</t>
  </si>
  <si>
    <t xml:space="preserve"> = Net investment profit after tax</t>
  </si>
  <si>
    <t>– Interest expense after tax</t>
  </si>
  <si>
    <t xml:space="preserve"> = Interest expense</t>
  </si>
  <si>
    <t xml:space="preserve"> = Interest expense after tax</t>
  </si>
  <si>
    <t xml:space="preserve"> = Profit or loss</t>
  </si>
  <si>
    <t>CONDENSED BALANCE SHEETS</t>
  </si>
  <si>
    <t>Ending operating working capital</t>
  </si>
  <si>
    <t>Operating cash</t>
  </si>
  <si>
    <t>+ Trade receivables</t>
  </si>
  <si>
    <t>+ Inventories</t>
  </si>
  <si>
    <t>+ Other current assets</t>
  </si>
  <si>
    <t>– Trade payables</t>
  </si>
  <si>
    <t>– Other current liabilities</t>
  </si>
  <si>
    <t>+ Ending net non-current operating assets</t>
  </si>
  <si>
    <t>Non-current tangible assets</t>
  </si>
  <si>
    <t>+ Non-current intangible assets</t>
  </si>
  <si>
    <t>– Deferred tax liability (net of asset)</t>
  </si>
  <si>
    <t>– Other non-current liabilities (non-interest-bearing)</t>
  </si>
  <si>
    <t xml:space="preserve"> = Ending net non-current operating assets</t>
  </si>
  <si>
    <t>+ Ending non-operating investments</t>
  </si>
  <si>
    <t>Excess cash</t>
  </si>
  <si>
    <t>+ Other Non-Operating investments</t>
  </si>
  <si>
    <t xml:space="preserve"> = Ending non-operating investments</t>
  </si>
  <si>
    <t xml:space="preserve"> = Total business assets</t>
  </si>
  <si>
    <t>Ending debt</t>
  </si>
  <si>
    <t>Current debt</t>
  </si>
  <si>
    <t>+ Non-current debt</t>
  </si>
  <si>
    <t xml:space="preserve"> = Ending debt</t>
  </si>
  <si>
    <t>+ Ending group equity</t>
  </si>
  <si>
    <t>Ordinary shareholders' equity</t>
  </si>
  <si>
    <t>+ Minority interests</t>
  </si>
  <si>
    <t>= Ending group equity</t>
  </si>
  <si>
    <t xml:space="preserve"> = Total invested capital</t>
  </si>
  <si>
    <t>Assumptions:</t>
  </si>
  <si>
    <t>Pre-Adjustment (from Standardized)</t>
  </si>
  <si>
    <t>Return on equity</t>
  </si>
  <si>
    <t>Ratio</t>
  </si>
  <si>
    <t>× Financial leverage</t>
  </si>
  <si>
    <t>Decomposing RNOA</t>
  </si>
  <si>
    <t>Common-sized income statement</t>
  </si>
  <si>
    <t>Line items as a percent of sales</t>
  </si>
  <si>
    <t>Net operating expense</t>
  </si>
  <si>
    <t>Net operating profit before tax</t>
  </si>
  <si>
    <t>Non-operating investment income</t>
  </si>
  <si>
    <t>Operating expense line items as a percent of sales (by function)</t>
  </si>
  <si>
    <t>Cost of sales</t>
  </si>
  <si>
    <t>Selling, general, and administrative expense</t>
  </si>
  <si>
    <t>Operating expense line items as a percent of sales (by nature)</t>
  </si>
  <si>
    <t>Personnel expense</t>
  </si>
  <si>
    <t>Cost of materials</t>
  </si>
  <si>
    <t>Depreciation and amortization</t>
  </si>
  <si>
    <t>Depreciation and amortization (% of non-current operating assets)</t>
  </si>
  <si>
    <t>Other operating income/expense</t>
  </si>
  <si>
    <t>Operating working capital/Revenue</t>
  </si>
  <si>
    <t>Net non-current operating assets/Revenue</t>
  </si>
  <si>
    <t>(Non-operating) investment assets to revenue</t>
  </si>
  <si>
    <t>PP&amp;E/Revenue</t>
  </si>
  <si>
    <t>Operating working capital turnover</t>
  </si>
  <si>
    <t>Net non-current asset turnover</t>
  </si>
  <si>
    <t>Trade receivables turnover</t>
  </si>
  <si>
    <t>Inventories turnover</t>
  </si>
  <si>
    <t>Trade payables turnover</t>
  </si>
  <si>
    <t>Liquidity ratios</t>
  </si>
  <si>
    <t>Current ratio</t>
  </si>
  <si>
    <t>Quick ratio</t>
  </si>
  <si>
    <t>Cash ratio</t>
  </si>
  <si>
    <t>Operating cash flow ratio</t>
  </si>
  <si>
    <t>Liabilities-to-equity</t>
  </si>
  <si>
    <t>Interest coverage (cash flow based)</t>
  </si>
  <si>
    <t>Taxes paid</t>
  </si>
  <si>
    <t>Interest paid</t>
  </si>
  <si>
    <t>Dividend payout ratio</t>
  </si>
  <si>
    <t>Standard accounts</t>
  </si>
  <si>
    <t>Revenue (by function)</t>
  </si>
  <si>
    <t>Interest Income</t>
  </si>
  <si>
    <t>Interest Expense</t>
  </si>
  <si>
    <t>Net Non-Recurring Income or Expense</t>
  </si>
  <si>
    <t>Tax Expense</t>
  </si>
  <si>
    <t>Profit/Loss to Non-Controlling Interest</t>
  </si>
  <si>
    <t>Profit/Loss to Ordinary Shareholders</t>
  </si>
  <si>
    <t>PRO FORMA ITEMS</t>
  </si>
  <si>
    <t>Depreciation and Amortization of Property, Plant, Equipment, Intangible Assets and Right-of-use Assets</t>
  </si>
  <si>
    <t>BALANCE SHEET - ASSETS</t>
  </si>
  <si>
    <t>BALANCE SHEET - EQUITY &amp; LIABILITIES</t>
  </si>
  <si>
    <t>Adjustment for share of exchange rate difference in finance expenses from income statement</t>
  </si>
  <si>
    <t>Net Share (Repurchase) or Issuance</t>
  </si>
  <si>
    <t>Net Cash Flow</t>
  </si>
  <si>
    <t>BS Check</t>
  </si>
  <si>
    <t>Currency</t>
  </si>
  <si>
    <t>Euro</t>
  </si>
  <si>
    <t>Millions</t>
  </si>
  <si>
    <t>Income Statement in millions (IFRS)</t>
  </si>
  <si>
    <t>Research &amp; Development Revenues</t>
  </si>
  <si>
    <t>Commercial Revenues</t>
  </si>
  <si>
    <t>Revenues from Contracts with Customer</t>
  </si>
  <si>
    <t>Total Revenues</t>
  </si>
  <si>
    <t>Cost of Sales</t>
  </si>
  <si>
    <t>Gross profit</t>
  </si>
  <si>
    <t>Sales and Marketing Expenses</t>
  </si>
  <si>
    <t>General and Administrative Expenses</t>
  </si>
  <si>
    <t>Research and Development Expenses</t>
  </si>
  <si>
    <t>Other Operating Income (Net of expenses)</t>
  </si>
  <si>
    <t>Finance expenses</t>
  </si>
  <si>
    <t>Finance Income</t>
  </si>
  <si>
    <t>Non-Recurring after two years</t>
  </si>
  <si>
    <t>Profit after financial items</t>
  </si>
  <si>
    <t>Provision for Income Tax</t>
  </si>
  <si>
    <t>Minority Interest (After Tax)</t>
  </si>
  <si>
    <t>Profit for the year</t>
  </si>
  <si>
    <t>Pro Forma IS Items in millions (IFRS)</t>
  </si>
  <si>
    <t>Salaries, other remuneration and payroll overheads</t>
  </si>
  <si>
    <t>Depreciation - within cost of goods sold</t>
  </si>
  <si>
    <t xml:space="preserve">Depreciation - within selling expenses </t>
  </si>
  <si>
    <t>Depreciation - within administrative expenses</t>
  </si>
  <si>
    <t>Cost of goods sold excluding depreciation</t>
  </si>
  <si>
    <t>Balance Sheet in millions (IFRS)</t>
  </si>
  <si>
    <t>Right of Use Assets</t>
  </si>
  <si>
    <t>Property, Plant and Equipment</t>
  </si>
  <si>
    <t>Other Financial Assets</t>
  </si>
  <si>
    <t>Deferred Tax Assets</t>
  </si>
  <si>
    <t>Goodwill</t>
  </si>
  <si>
    <t>Intangible Assets</t>
  </si>
  <si>
    <t>Other Intangible Assets</t>
  </si>
  <si>
    <t>Other Assets</t>
  </si>
  <si>
    <t>Non-financial Assets</t>
  </si>
  <si>
    <t>Other Non-financial Assets</t>
  </si>
  <si>
    <t>CIQ Balancing Difference - Total Assets</t>
  </si>
  <si>
    <t>Total fixed assets</t>
  </si>
  <si>
    <t>Trade and Other Receivables</t>
  </si>
  <si>
    <t>Contract Asset</t>
  </si>
  <si>
    <t>Income Tax Asset</t>
  </si>
  <si>
    <t>Deferred Expenses</t>
  </si>
  <si>
    <t>CIQ Balancing Difference - Total Current Assets</t>
  </si>
  <si>
    <t>Total current assets</t>
  </si>
  <si>
    <t>Total assets</t>
  </si>
  <si>
    <t>Common Stock - Par Value</t>
  </si>
  <si>
    <t>Treasury Stock - Common</t>
  </si>
  <si>
    <t>Retained Earnings/accumulated Losses</t>
  </si>
  <si>
    <t>Capital Reserves</t>
  </si>
  <si>
    <t>Other Reserves</t>
  </si>
  <si>
    <t>Interest-bearing Loans and Borrowings</t>
  </si>
  <si>
    <t>Lease Liabilities, Loans and Borrowings</t>
  </si>
  <si>
    <t>Contract Liabilities</t>
  </si>
  <si>
    <t>Deferred Tax Liabilities</t>
  </si>
  <si>
    <t>Minority Interest</t>
  </si>
  <si>
    <t>Other Liabilities</t>
  </si>
  <si>
    <t>Provisions</t>
  </si>
  <si>
    <t>Income Tax Liabilities</t>
  </si>
  <si>
    <t>Liabilities</t>
  </si>
  <si>
    <t>Other Financial Liabilities</t>
  </si>
  <si>
    <t>Financial Liabilities</t>
  </si>
  <si>
    <t>Other Non-financial Liabilities</t>
  </si>
  <si>
    <t>CIQ Balancing Difference - Total Long-Term Liabilities</t>
  </si>
  <si>
    <t>Total non-current liabilities</t>
  </si>
  <si>
    <t>Trade Payables and Other Payables</t>
  </si>
  <si>
    <t>Government Grant</t>
  </si>
  <si>
    <t>Other Provisions</t>
  </si>
  <si>
    <t>Refund Liabilities</t>
  </si>
  <si>
    <t>Total current liabilities</t>
  </si>
  <si>
    <t>Total liabilities and shareholders' equity</t>
  </si>
  <si>
    <t>Cash flow statement in millions (IFRS)</t>
  </si>
  <si>
    <t>Operating activities</t>
  </si>
  <si>
    <t>Net Income</t>
  </si>
  <si>
    <t>Loss for the Period</t>
  </si>
  <si>
    <t>Income Taxes</t>
  </si>
  <si>
    <t>Depreciation</t>
  </si>
  <si>
    <t>Gain/loss on Disposal of Property, plant &amp; Equipment</t>
  </si>
  <si>
    <t>Net Gain/loss on Derivative Instruments At Fair Value through Profit/loss</t>
  </si>
  <si>
    <t>Share of Loss of an Associate and a Joint Venture</t>
  </si>
  <si>
    <t>Share Based Payments</t>
  </si>
  <si>
    <t>Share-based Payment Expense</t>
  </si>
  <si>
    <t>Net Foreign Exchange Differences</t>
  </si>
  <si>
    <t>Income Tax Received (paid), Net</t>
  </si>
  <si>
    <t>Movement in Government Grants</t>
  </si>
  <si>
    <t>Other Noncash (Income) Loss</t>
  </si>
  <si>
    <t>Finance Expense</t>
  </si>
  <si>
    <t>CIQ Balancing Calc. - Operating Activities</t>
  </si>
  <si>
    <t>Interest on Lease Liability</t>
  </si>
  <si>
    <t>Interest paid and realized losses from Cash and Cash equivalents</t>
  </si>
  <si>
    <t>Interest received and realized gains from Cash and Cash equivalents</t>
  </si>
  <si>
    <t>Non-Cash Income/(Loss)</t>
  </si>
  <si>
    <t>Change in Trade Receivables and Contract Assets</t>
  </si>
  <si>
    <t>Changes in Trade and Other Receivables, Contract Assets and Other Assets</t>
  </si>
  <si>
    <t>Changes in Inventories</t>
  </si>
  <si>
    <t>Changes in Trade and Other Payables, Contract Liabilities and Provisions</t>
  </si>
  <si>
    <t>Changes in Trade Payables, Other Financial Liabilities, Other Liabilities, Contract Liabilities, Refund Liabilities and Provisions</t>
  </si>
  <si>
    <t>Cash flow from current operations</t>
  </si>
  <si>
    <t>Investing activities</t>
  </si>
  <si>
    <t>Purchase of Property Plant, and Equipment</t>
  </si>
  <si>
    <t>Proceeds From Sale of Property, Plant &amp; Equipment</t>
  </si>
  <si>
    <t>Acquisitions of Subsidiaries and Businesses, Net of Cash Acquired</t>
  </si>
  <si>
    <t>(Purchases) of Intangible Assets</t>
  </si>
  <si>
    <t>Purchase of Intangibles Assets and Right of Use Assets</t>
  </si>
  <si>
    <t>Investments in Other Financial Assets</t>
  </si>
  <si>
    <t>Proceeds from Maturity of Other Financial Assets</t>
  </si>
  <si>
    <t>Right-of-use Assets</t>
  </si>
  <si>
    <t>Cash flow from investing activities</t>
  </si>
  <si>
    <t>Repayment of Loans and Borrowings</t>
  </si>
  <si>
    <t>Proceeds from Loans and Borrowings</t>
  </si>
  <si>
    <t>Payment of Finance Lease Liabilities</t>
  </si>
  <si>
    <t>Payments Related to Lease Liabilities</t>
  </si>
  <si>
    <t>Proceeds from Issuance of Share Capital, Net of Costs</t>
  </si>
  <si>
    <t>Proceeds from Issuance of Share Capital and Treasury Shares, Net of Costs</t>
  </si>
  <si>
    <t>Share Repurchase Program</t>
  </si>
  <si>
    <t>Dividends</t>
  </si>
  <si>
    <t>Cash flows from financing activities</t>
  </si>
  <si>
    <t>Cash and cash equivalents at beginning of year</t>
  </si>
  <si>
    <t>Cash flow for the year</t>
  </si>
  <si>
    <t>Foreign Exchange Rate Adj.</t>
  </si>
  <si>
    <t>Misc. Cash Flow Adj.</t>
  </si>
  <si>
    <t>Cash and cash equivalents at end of year</t>
  </si>
  <si>
    <t>Minority Equity Investments</t>
  </si>
  <si>
    <t>Derivatives - Asset</t>
  </si>
  <si>
    <t>Assets Held For Sale</t>
  </si>
  <si>
    <t>Derivatives - Liability</t>
  </si>
  <si>
    <t>Liabilities Held For Sale</t>
  </si>
  <si>
    <t>Selling and Marketing Expense</t>
  </si>
  <si>
    <t>R&amp;D Expense</t>
  </si>
  <si>
    <t>Net Rental Expense, Total</t>
  </si>
  <si>
    <t>Imputed Oper. Lease Interest Exp.</t>
  </si>
  <si>
    <t>Imputed Oper. Lease Depreciation</t>
  </si>
  <si>
    <t>Stock-Based Comp., Unallocated</t>
  </si>
  <si>
    <t>Cash from Ops.</t>
  </si>
  <si>
    <t>Depreciation &amp; Amort.</t>
  </si>
  <si>
    <t>Net Income - CF + Net Interest Expense + Tax</t>
  </si>
  <si>
    <t>Interest and Invest. Income</t>
  </si>
  <si>
    <t>Income Tax Expense</t>
  </si>
  <si>
    <t>Amort. of Goodwill and Intangibles</t>
  </si>
  <si>
    <t>Other Amortization</t>
  </si>
  <si>
    <t>(Gain) Loss From Sale Of Assets</t>
  </si>
  <si>
    <t>Loss On Sale Of Investment</t>
  </si>
  <si>
    <t>Asset Writedown &amp; Restructuring Costs</t>
  </si>
  <si>
    <t>Loss on Equity Investment</t>
  </si>
  <si>
    <t>Stock-Based Compensation</t>
  </si>
  <si>
    <t>Other Operating Activities</t>
  </si>
  <si>
    <t>Change in Acc. Receivable</t>
  </si>
  <si>
    <t>Change In Inventories</t>
  </si>
  <si>
    <t>Change in Acc. Payable</t>
  </si>
  <si>
    <t>Capital Expenditure</t>
  </si>
  <si>
    <t>Sale of Property, Plant and Equipment</t>
  </si>
  <si>
    <t>Cash Acquisitions</t>
  </si>
  <si>
    <t>Sale (Purchase) of Intangible assets</t>
  </si>
  <si>
    <t>Invest. in Marketable &amp; Equity Securt.</t>
  </si>
  <si>
    <t>Other Investing Activities</t>
  </si>
  <si>
    <t>Short Term Debt Issued</t>
  </si>
  <si>
    <t>Long-Term Debt Issued</t>
  </si>
  <si>
    <t>Short Term Debt Repaid</t>
  </si>
  <si>
    <t>Long-Term Debt Repaid</t>
  </si>
  <si>
    <t>Issuance of Common Stock</t>
  </si>
  <si>
    <t>Repurchase of Common Stock</t>
  </si>
  <si>
    <t>Common Dividends Paid</t>
  </si>
  <si>
    <t>Other Financing Activities</t>
  </si>
  <si>
    <t>Other Revenue</t>
  </si>
  <si>
    <t>Selling General &amp; Admin Exp.</t>
  </si>
  <si>
    <t>Gain (Loss) On Sale Of Invest. / Asset</t>
  </si>
  <si>
    <t>Other Non-Operating Inc. &amp; Unusual Items</t>
  </si>
  <si>
    <t>Advertising Expense</t>
  </si>
  <si>
    <t>General and Administrative Expense</t>
  </si>
  <si>
    <t>Stock-Based Comp., COGS</t>
  </si>
  <si>
    <t>Stock-Based Comp., G&amp;A Exp.</t>
  </si>
  <si>
    <t>Stock-Based Comp., SG&amp;A Exp.</t>
  </si>
  <si>
    <t>Net Property, Plant &amp; Equipment</t>
  </si>
  <si>
    <t>Long-term Investments</t>
  </si>
  <si>
    <t>Other Intangibles</t>
  </si>
  <si>
    <t>Deferred Tax Assets, LT</t>
  </si>
  <si>
    <t>Other Long-Term Assets</t>
  </si>
  <si>
    <t>Cash and Equivalents</t>
  </si>
  <si>
    <t>Short Term Investments</t>
  </si>
  <si>
    <t>Restricted Cash</t>
  </si>
  <si>
    <t>Accounts Receivable</t>
  </si>
  <si>
    <t>Other Receivables</t>
  </si>
  <si>
    <t>Notes Receivable</t>
  </si>
  <si>
    <t>Inventory</t>
  </si>
  <si>
    <t>Prepaid Exp.</t>
  </si>
  <si>
    <t>Pref. Stock, Convertible</t>
  </si>
  <si>
    <t>Common Stock</t>
  </si>
  <si>
    <t>Additional Paid In Capital</t>
  </si>
  <si>
    <t>Retained Earnings</t>
  </si>
  <si>
    <t>Comprehensive Inc. and Other</t>
  </si>
  <si>
    <t>Long-Term Debt</t>
  </si>
  <si>
    <t>Long-Term Leases</t>
  </si>
  <si>
    <t>Unearned Revenue, Non-Current</t>
  </si>
  <si>
    <t>Other Non-Current Liabilities</t>
  </si>
  <si>
    <t>Accounts Payable</t>
  </si>
  <si>
    <t>Accrued Exp.</t>
  </si>
  <si>
    <t>Current Portion of Leases</t>
  </si>
  <si>
    <t>Curr. Income Taxes Payable</t>
  </si>
  <si>
    <t>Unearned Revenue, Current</t>
  </si>
  <si>
    <t>Net Income + Net Interest Expense - Tax</t>
  </si>
  <si>
    <t>Interest received</t>
  </si>
  <si>
    <t>Change in Unearned Rev.</t>
  </si>
  <si>
    <t>Change In Income Taxes</t>
  </si>
  <si>
    <t>Change in Def. Taxes</t>
  </si>
  <si>
    <t>Change in Other Net Operating Assets</t>
  </si>
  <si>
    <t>Issuance of Pref. Stock</t>
  </si>
  <si>
    <t>Repurchase of Preferred Stock</t>
  </si>
  <si>
    <t>Common and/or Pref. Dividends Paid</t>
  </si>
  <si>
    <t>R &amp; D Exp.</t>
  </si>
  <si>
    <t>Other Operating Expense</t>
  </si>
  <si>
    <t>Income from Affiliates</t>
  </si>
  <si>
    <t>Currency Exchange Gains</t>
  </si>
  <si>
    <t>Other Non-Operating Inc.</t>
  </si>
  <si>
    <t>Restructuring Charges</t>
  </si>
  <si>
    <t>Merger &amp; Related Restruct. Charges</t>
  </si>
  <si>
    <t>Gain (Loss) On Sale Of Invest.</t>
  </si>
  <si>
    <t>Gain (Loss) On Sale Of Assets</t>
  </si>
  <si>
    <t>Asset Writedown</t>
  </si>
  <si>
    <t>Legal Settlements</t>
  </si>
  <si>
    <t>Other Unusual Items</t>
  </si>
  <si>
    <t>Minority Int. in Earnings</t>
  </si>
  <si>
    <t>Earnings of Discontinued Ops.</t>
  </si>
  <si>
    <t>Loans Receivable Long-Term</t>
  </si>
  <si>
    <t>Deferred Charges, LT</t>
  </si>
  <si>
    <t>Trading Asset Securities</t>
  </si>
  <si>
    <t>Treasury Stock</t>
  </si>
  <si>
    <t>Total Minority Interest</t>
  </si>
  <si>
    <t>Pension &amp; Other Post-Retire. Benefits</t>
  </si>
  <si>
    <t>Def. Tax Liability, Non-Curr.</t>
  </si>
  <si>
    <t>Short-term Borrowings</t>
  </si>
  <si>
    <t>Curr. Port. of LT Debt</t>
  </si>
  <si>
    <t>Net Cash From Discontinued Ops.</t>
  </si>
  <si>
    <t>Net (Inc.) Dec. in Loans Orig/Sold: Investing</t>
  </si>
  <si>
    <t>Total Revenue</t>
  </si>
  <si>
    <t>Cost Of Goods Sold</t>
  </si>
  <si>
    <t>Divestitures</t>
  </si>
  <si>
    <t>Special Dividend Paid</t>
  </si>
  <si>
    <t>Cost of Goods Sold</t>
  </si>
  <si>
    <t>Insurance Settlements</t>
  </si>
  <si>
    <t>Total Debt Issued</t>
  </si>
  <si>
    <t>Total Debt Repaid</t>
  </si>
  <si>
    <t>BioNTech SE | Income Statement (As Reported)</t>
  </si>
  <si>
    <t>NASDAQGS: BNTX (MI KEY: 5164480; SPCIQ KEY: 51198843)</t>
  </si>
  <si>
    <t>Source: Recommended</t>
  </si>
  <si>
    <t>Period Category: Fiscal</t>
  </si>
  <si>
    <t>Period Type: Years</t>
  </si>
  <si>
    <t>Sort Order: Latest on Right</t>
  </si>
  <si>
    <t>Currency: Reported Currency</t>
  </si>
  <si>
    <t>Recommended: S&amp;P Capital IQ - Standard</t>
  </si>
  <si>
    <t>2017 FY</t>
  </si>
  <si>
    <t>2018 FY</t>
  </si>
  <si>
    <t>2019 FY</t>
  </si>
  <si>
    <t>2020 FY</t>
  </si>
  <si>
    <t>2021 FY</t>
  </si>
  <si>
    <t>2022 FY</t>
  </si>
  <si>
    <t>2023 FY</t>
  </si>
  <si>
    <t>Period Ended</t>
  </si>
  <si>
    <t>12/31/2017</t>
  </si>
  <si>
    <t>12/31/2018</t>
  </si>
  <si>
    <t>12/31/2019</t>
  </si>
  <si>
    <t>12/31/2020</t>
  </si>
  <si>
    <t>12/31/2021</t>
  </si>
  <si>
    <t>12/31/2022</t>
  </si>
  <si>
    <t>12/31/2023</t>
  </si>
  <si>
    <t>EUR</t>
  </si>
  <si>
    <t>Units</t>
  </si>
  <si>
    <t>Thousands</t>
  </si>
  <si>
    <t>Revenues</t>
  </si>
  <si>
    <t>NA</t>
  </si>
  <si>
    <t>Expenses</t>
  </si>
  <si>
    <t>Other Operating Expenses</t>
  </si>
  <si>
    <t>Other Operating Income</t>
  </si>
  <si>
    <t>Interest Expenses Related to Lease Liabilities</t>
  </si>
  <si>
    <t>Share of Loss of Equity Method Investees</t>
  </si>
  <si>
    <t>Finance Expenses</t>
  </si>
  <si>
    <t>Ciq Balancing Calc.-expenses</t>
  </si>
  <si>
    <t>Earnings before Taxes</t>
  </si>
  <si>
    <t>Taxes and Other Expenses</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</si>
  <si>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</si>
  <si>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</si>
  <si>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</si>
  <si>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</si>
  <si>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</si>
  <si>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</si>
  <si>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</si>
  <si>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BioNTech SE | Cash Flow (As Reported)</t>
  </si>
  <si>
    <t>Operating Activities</t>
  </si>
  <si>
    <t>Los for the Period</t>
  </si>
  <si>
    <t>Cash Flow from Operating Activities</t>
  </si>
  <si>
    <t>Investing Activities</t>
  </si>
  <si>
    <t>Cash Flow from Investing Activities</t>
  </si>
  <si>
    <t>Financing Activities</t>
  </si>
  <si>
    <t>Cash Flow from Financing Activities</t>
  </si>
  <si>
    <t>Other Adjustments</t>
  </si>
  <si>
    <t>CIQ Balancing Calc. - Net Change in Cash</t>
  </si>
  <si>
    <t>Cash Flow Net Changes in Cash</t>
  </si>
  <si>
    <t>Change in Cash and Cash Equivalents Resulting from ExChange Rate Differences</t>
  </si>
  <si>
    <t>BioNTech SE | Balance Sheet (As Reported)</t>
  </si>
  <si>
    <t>2016 FY</t>
  </si>
  <si>
    <t>Current Assets</t>
  </si>
  <si>
    <t>Noncurrent Assets</t>
  </si>
  <si>
    <t>Total Current Liabilities</t>
  </si>
  <si>
    <t>Noncurrent Liabilities</t>
  </si>
  <si>
    <t>Shareholders' Equity</t>
  </si>
  <si>
    <t>Total Shareholders Equity</t>
  </si>
  <si>
    <t>Total Liabilities &amp; Shareholders Equity</t>
  </si>
  <si>
    <t>AstraZeneca PLC | Income Statement</t>
  </si>
  <si>
    <t>LSE:AZN (MI KEY: 4250855; SPCIQ KEY: 336774)</t>
  </si>
  <si>
    <t>Reporting Basis: Current/Restated</t>
  </si>
  <si>
    <t>Currency: Euro (EUR)</t>
  </si>
  <si>
    <t>Magnitude: Thousands (K)</t>
  </si>
  <si>
    <t>2015 FY</t>
  </si>
  <si>
    <t>2024 FY</t>
  </si>
  <si>
    <t>Current/Restated</t>
  </si>
  <si>
    <t>12/31/2015</t>
  </si>
  <si>
    <t>12/31/2016</t>
  </si>
  <si>
    <t>12/31/2024</t>
  </si>
  <si>
    <t>Financial Filing Date</t>
  </si>
  <si>
    <t>2/15/2021</t>
  </si>
  <si>
    <t>2/22/2022</t>
  </si>
  <si>
    <t>2/21/2023</t>
  </si>
  <si>
    <t>2/20/2024</t>
  </si>
  <si>
    <t>2/18/2025</t>
  </si>
  <si>
    <t>Spot Exchange Rate</t>
  </si>
  <si>
    <t>Average Exchange Rate</t>
  </si>
  <si>
    <t xml:space="preserve">        Gross Profit</t>
  </si>
  <si>
    <t xml:space="preserve">        Other Operating Exp., Total</t>
  </si>
  <si>
    <t>Operating Income</t>
  </si>
  <si>
    <t xml:space="preserve">        Net Interest Exp.</t>
  </si>
  <si>
    <t>EBT Excl Unusual Items</t>
  </si>
  <si>
    <t>EBT Incl. Unusual Items</t>
  </si>
  <si>
    <t xml:space="preserve">        Earnings from Cont. Ops.</t>
  </si>
  <si>
    <t xml:space="preserve">        Net Income to Company</t>
  </si>
  <si>
    <t xml:space="preserve">        NI to Common Incl Extra Items</t>
  </si>
  <si>
    <t xml:space="preserve">        NI to Common Excl. Extra Items</t>
  </si>
  <si>
    <t>Per Share Items (€)</t>
  </si>
  <si>
    <t>Basic EPS</t>
  </si>
  <si>
    <t>Basic EPS Excl. Extra Items</t>
  </si>
  <si>
    <t>Weighted Avg. Basic Shares Out. (actual)</t>
  </si>
  <si>
    <t>Diluted EPS Incl. Extra Items</t>
  </si>
  <si>
    <t>Diluted EPS Excl. Extra Items</t>
  </si>
  <si>
    <t>Weighted Avg. Diluted Shares Out. (actual)</t>
  </si>
  <si>
    <t>Normalized Basic EPS</t>
  </si>
  <si>
    <t>Normalized Diluted EPS</t>
  </si>
  <si>
    <t>Dividends per Share</t>
  </si>
  <si>
    <t>Payout Ratio (%)</t>
  </si>
  <si>
    <t>NM</t>
  </si>
  <si>
    <t>Shares per Depositary Receipt (actual)</t>
  </si>
  <si>
    <t>Supplemental Items (€000)</t>
  </si>
  <si>
    <t>EBITDA</t>
  </si>
  <si>
    <t>EBITA</t>
  </si>
  <si>
    <t>EBITDAR</t>
  </si>
  <si>
    <t>As Reported Total Revenue</t>
  </si>
  <si>
    <t>Effective Tax Rate (%)</t>
  </si>
  <si>
    <t>Total Current Taxes</t>
  </si>
  <si>
    <t>Total Deferred Taxes</t>
  </si>
  <si>
    <t>Normalized Net Income</t>
  </si>
  <si>
    <t>Interest on Long-Term Debt</t>
  </si>
  <si>
    <t>Non-Cash Pension Expense</t>
  </si>
  <si>
    <t>Supplemental Operating Expense Items (€000)</t>
  </si>
  <si>
    <t xml:space="preserve">        Stock-Based Comp., Total</t>
  </si>
  <si>
    <t>CIQ Restatement Type Code</t>
  </si>
  <si>
    <t>RC</t>
  </si>
  <si>
    <t>O</t>
  </si>
  <si>
    <t>CIQ Calculation Type Code</t>
  </si>
  <si>
    <t>REP</t>
  </si>
  <si>
    <t>Stock Based Compensation (€000)</t>
  </si>
  <si>
    <t>Stock Based Comp. Exp., Before Tax</t>
  </si>
  <si>
    <t>AstraZeneca PLC | Cash Flow</t>
  </si>
  <si>
    <t>Operating Activities (€000)</t>
  </si>
  <si>
    <t>Net Income - CF</t>
  </si>
  <si>
    <t xml:space="preserve">        Depreciation &amp; Amort., Total</t>
  </si>
  <si>
    <t xml:space="preserve">        Cash from Ops.</t>
  </si>
  <si>
    <t>Investing Activity (€000)</t>
  </si>
  <si>
    <t xml:space="preserve">        Cash from Investing</t>
  </si>
  <si>
    <t>Financing Activity (€000)</t>
  </si>
  <si>
    <t xml:space="preserve">        Total Debt Issued</t>
  </si>
  <si>
    <t xml:space="preserve">        Total Debt Repaid</t>
  </si>
  <si>
    <t xml:space="preserve">        Total Dividends Paid</t>
  </si>
  <si>
    <t xml:space="preserve">        Cash from Financing</t>
  </si>
  <si>
    <t>Other Cash Flow (€000)</t>
  </si>
  <si>
    <t xml:space="preserve">        Net Change in Cash</t>
  </si>
  <si>
    <t>Cash Interest Paid</t>
  </si>
  <si>
    <t>Cash Taxes Paid</t>
  </si>
  <si>
    <t>Levered Free Cash Flow</t>
  </si>
  <si>
    <t>Unlevered Free Cash Flow</t>
  </si>
  <si>
    <t>Change in Net Working Capital</t>
  </si>
  <si>
    <t>Net Debt Issued</t>
  </si>
  <si>
    <t>NC</t>
  </si>
  <si>
    <t>AstraZeneca PLC | Balance Sheet</t>
  </si>
  <si>
    <t>Reported Currency Code</t>
  </si>
  <si>
    <t>USD</t>
  </si>
  <si>
    <t>Assets (€000)</t>
  </si>
  <si>
    <t xml:space="preserve">        Cash &amp; Short Term Investments</t>
  </si>
  <si>
    <t xml:space="preserve">        Total Receivables</t>
  </si>
  <si>
    <t xml:space="preserve">        Total Current Assets</t>
  </si>
  <si>
    <t>Gross Property, Plant &amp; Equipment</t>
  </si>
  <si>
    <t>Accumulated Depreciation</t>
  </si>
  <si>
    <t>Liabilities (€000)</t>
  </si>
  <si>
    <t xml:space="preserve">        Total Current Liabilities</t>
  </si>
  <si>
    <t>Total Liabilities</t>
  </si>
  <si>
    <t>Equity (€000)</t>
  </si>
  <si>
    <t xml:space="preserve">        Total Common Equity</t>
  </si>
  <si>
    <t>Total Equity</t>
  </si>
  <si>
    <t>Total Liabilities And Equity</t>
  </si>
  <si>
    <t>Supplemental Items (€)</t>
  </si>
  <si>
    <t>ECS Total Shares Outstanding on Filing Date (actual)</t>
  </si>
  <si>
    <t>ECS Total Common Shares Outstanding (actual)</t>
  </si>
  <si>
    <t>Book Value per Share</t>
  </si>
  <si>
    <t>Tangible Book Value</t>
  </si>
  <si>
    <t>Tangible Book Value per Share</t>
  </si>
  <si>
    <t>Total Debt</t>
  </si>
  <si>
    <t>Debt Equiv. of Unfunded Proj. Benefit Obligation</t>
  </si>
  <si>
    <t>Debt Equivalent Oper. Leases</t>
  </si>
  <si>
    <t>Equity Method Investments</t>
  </si>
  <si>
    <t>Raw Materials Inventory</t>
  </si>
  <si>
    <t>Work in Progress Inventory</t>
  </si>
  <si>
    <t>Finished Goods Inventory</t>
  </si>
  <si>
    <t>Land</t>
  </si>
  <si>
    <t>Machinery</t>
  </si>
  <si>
    <t>Construction in Progress</t>
  </si>
  <si>
    <t>Full Time Employees (actual)</t>
  </si>
  <si>
    <t>Accumulated Allowance for Doubtful Accounts</t>
  </si>
  <si>
    <t>RS</t>
  </si>
  <si>
    <t>Loss Carry Forward Related Items (€000)</t>
  </si>
  <si>
    <t>NOL Carryforward, After Five Years</t>
  </si>
  <si>
    <t>NOL Carryforward, No Expiration</t>
  </si>
  <si>
    <t>Total NOL Carryforward</t>
  </si>
  <si>
    <t>Fair Value Measurements (€000)</t>
  </si>
  <si>
    <t>Level 1 Assets - Quoted Prices</t>
  </si>
  <si>
    <t>Level 2 Assets - Observable Prices</t>
  </si>
  <si>
    <t>Level 3 Assets - Unobservable Prices</t>
  </si>
  <si>
    <t>Fair Value of Assets</t>
  </si>
  <si>
    <t>Level 1 Liabilities - Quoted Prices</t>
  </si>
  <si>
    <t>Level 2 Liabilities - Observable Prices</t>
  </si>
  <si>
    <t>Level 3 Liabilities - Unobservable Prices</t>
  </si>
  <si>
    <t>Fair Value of Liabilities</t>
  </si>
  <si>
    <t>Fair Value Change Included in Earnings</t>
  </si>
  <si>
    <t>GSK plc | Income Statement</t>
  </si>
  <si>
    <t>LSE:GSK (MI KEY: 4806213; SPCIQ KEY: 275442)</t>
  </si>
  <si>
    <t>3/13/2018</t>
  </si>
  <si>
    <t xml:space="preserve">        Total Revenue</t>
  </si>
  <si>
    <t xml:space="preserve">        Operating Income</t>
  </si>
  <si>
    <t xml:space="preserve">        EBT Excl Unusual Items</t>
  </si>
  <si>
    <t xml:space="preserve">        EBT Incl. Unusual Items</t>
  </si>
  <si>
    <t xml:space="preserve">        Net Income</t>
  </si>
  <si>
    <t>RD</t>
  </si>
  <si>
    <t>P</t>
  </si>
  <si>
    <t>Options Outstanding</t>
  </si>
  <si>
    <t>Options Granted During the Period, Common Stock</t>
  </si>
  <si>
    <t>Options Out. at the End of Period, Common Stock</t>
  </si>
  <si>
    <t>Options Wtd Avg Strike Price of Outstd, Comm Stock (€)</t>
  </si>
  <si>
    <t>Options Outstanding - All Classes</t>
  </si>
  <si>
    <t>Options Granted During the Period, Total</t>
  </si>
  <si>
    <t>Options Out. at the End of the Period, Total</t>
  </si>
  <si>
    <t>Stock Options Comp. Exp., Before Tax</t>
  </si>
  <si>
    <t>Capitalized Interest Data (€000)</t>
  </si>
  <si>
    <t>Interest Capitalized During the Period</t>
  </si>
  <si>
    <t>GSK plc | Cash Flow</t>
  </si>
  <si>
    <t>Net Cash From Discontinued Ops. - Investing</t>
  </si>
  <si>
    <t>Net Cash From Discontinued Ops. - Financing</t>
  </si>
  <si>
    <t>GSK plc | Balance Sheet</t>
  </si>
  <si>
    <t>GBP</t>
  </si>
  <si>
    <t xml:space="preserve">        Net Property, Plant &amp; Equipment</t>
  </si>
  <si>
    <t>Assets under Capital Lease - Gross</t>
  </si>
  <si>
    <t>Assets under Cap. Lease, Accum. Depr.</t>
  </si>
  <si>
    <t>RUP</t>
  </si>
  <si>
    <t>Capital Loss Carryforward, After Five Years</t>
  </si>
  <si>
    <t>Capital Loss Carryforward, No Expiration</t>
  </si>
  <si>
    <t>Total Capital Loss Carryforward</t>
  </si>
  <si>
    <t>Moderna, Inc. | Income Statement</t>
  </si>
  <si>
    <t>NASDAQGS:MRNA (MI KEY: 4430411; SPCIQ KEY: 128680956)</t>
  </si>
  <si>
    <t>3/13/2019</t>
  </si>
  <si>
    <t>2/27/2020</t>
  </si>
  <si>
    <t>2/26/2021</t>
  </si>
  <si>
    <t>2/25/2022</t>
  </si>
  <si>
    <t>2/24/2023</t>
  </si>
  <si>
    <t>2/23/2024</t>
  </si>
  <si>
    <t>2/21/2025</t>
  </si>
  <si>
    <t>Pref. Dividends and Other Adj.</t>
  </si>
  <si>
    <t>Current Domestic Taxes</t>
  </si>
  <si>
    <t>Current Foreign Taxes</t>
  </si>
  <si>
    <t>Deferred Domestic Taxes</t>
  </si>
  <si>
    <t>Deferred Foreign Taxes</t>
  </si>
  <si>
    <t>Options Out. at the Begin of Period, Common Stock</t>
  </si>
  <si>
    <t>Options Exercised During the Period, Common Stock</t>
  </si>
  <si>
    <t>Options Cancelled During the Period, Common Stock</t>
  </si>
  <si>
    <t>Wtd Avg Strike Price of Granted, Comm Stock (€)</t>
  </si>
  <si>
    <t>Options Out. at the Beginning of the Period, Total</t>
  </si>
  <si>
    <t>Options Exercised During the Period, Total</t>
  </si>
  <si>
    <t>Options Cancelled During the Period, Total</t>
  </si>
  <si>
    <t>Restr. Stock Comp. Exp., Before Tax</t>
  </si>
  <si>
    <t>Moderna, Inc. | Cash Flow</t>
  </si>
  <si>
    <t>Moderna, Inc. | Balance Sheet</t>
  </si>
  <si>
    <t xml:space="preserve">        Total Preferred Equity</t>
  </si>
  <si>
    <t>Buildings</t>
  </si>
  <si>
    <t>Leasehold Improvements</t>
  </si>
  <si>
    <t>Tax Benefit Carryforward, After Five Years</t>
  </si>
  <si>
    <t>Total Tax Benefit Carryforward</t>
  </si>
  <si>
    <t>Adoption of FIN 48 Related Items (€000)</t>
  </si>
  <si>
    <t>Unrecog. Tax Benefits, Beginning of the Period</t>
  </si>
  <si>
    <t>Additions Based on Tax Positions - Current Yr.</t>
  </si>
  <si>
    <t>Additions for Tax Positions - Prior Yrs</t>
  </si>
  <si>
    <t>Reductions for Tax Positions - Prior Yrs</t>
  </si>
  <si>
    <t>Settlements with Tax Authorities</t>
  </si>
  <si>
    <t>Unrecog. Tax Benefits, End of the Period</t>
  </si>
  <si>
    <t>Unrecog. Tax Benefit Impacting Effective Tax Rate</t>
  </si>
  <si>
    <t>Sanofi | Income Statement</t>
  </si>
  <si>
    <t>ENXTPA:SAN (MI KEY: 4404124; SPCIQ KEY: 687130)</t>
  </si>
  <si>
    <t>2/23/2022</t>
  </si>
  <si>
    <t>2/13/2025</t>
  </si>
  <si>
    <t>Sanofi | Cash Flow</t>
  </si>
  <si>
    <t>Sanofi | Balance Sheet</t>
  </si>
  <si>
    <t>NOL Carryforward, Current Year</t>
  </si>
  <si>
    <t>NOL Carryforward, Current Year + 1</t>
  </si>
  <si>
    <t>NOL Carryforward, Current Year + 2</t>
  </si>
  <si>
    <t>NOL Carryforward, Current Year + 3</t>
  </si>
  <si>
    <t>NOL Carryforward, Current Year + 4</t>
  </si>
  <si>
    <t>Takeda Pharmaceutical Company Limited - 武田薬品工業株式会社 | Income Statement</t>
  </si>
  <si>
    <t>TSE:4502 (MI KEY: 4219651; SPCIQ KEY: 874540)</t>
  </si>
  <si>
    <t>Period Category: Calendar</t>
  </si>
  <si>
    <t>CY 2015</t>
  </si>
  <si>
    <t>CY 2016</t>
  </si>
  <si>
    <t>CY 2017</t>
  </si>
  <si>
    <t>CY 2018</t>
  </si>
  <si>
    <t>CY 2019</t>
  </si>
  <si>
    <t>CY 2020</t>
  </si>
  <si>
    <t>CY 2021</t>
  </si>
  <si>
    <t>CY 2022</t>
  </si>
  <si>
    <t>CY 2023</t>
  </si>
  <si>
    <t>CY 2024</t>
  </si>
  <si>
    <t>2/14/2019</t>
  </si>
  <si>
    <t>1/30/2025</t>
  </si>
  <si>
    <t>LTM</t>
  </si>
  <si>
    <t>Takeda Pharmaceutical Company Limited - 武田薬品工業株式会社 | Cash Flow</t>
  </si>
  <si>
    <t>Takeda Pharmaceutical Company Limited - 武田薬品工業株式会社 | Balance Sheet</t>
  </si>
  <si>
    <t>JPY</t>
  </si>
  <si>
    <t>PP/E over PP/E + intangibles</t>
  </si>
  <si>
    <t>Implied useful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</si>
</sst>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0.0%"/>
    <numFmt numFmtId="165" formatCode="0.0"/>
    <numFmt numFmtId="166" formatCode="General&quot;A&quot;"/>
    <numFmt numFmtId="167" formatCode="General&quot;E&quot;"/>
    <numFmt numFmtId="168" formatCode="#,##0.0_);\(#,##0.0\);\-"/>
    <numFmt numFmtId="169" formatCode="_-* #,##0_-;\(#,##0\)_-;_-* &quot;-&quot;_-;_-@_-"/>
    <numFmt numFmtId="170" formatCode="0.0\x"/>
    <numFmt numFmtId="171" formatCode="_(* #,##0_);_(* \(#,##0\);_(* &quot;-&quot;??_);_(@_)"/>
    <numFmt numFmtId="172" formatCode="_-* #,##0.00_-;\(#,##0.00\)_-;_-* &quot;-&quot;_-;_-@_-"/>
    <numFmt numFmtId="173" formatCode="#,##0.00;\(#,##0.00\)"/>
    <numFmt numFmtId="174" formatCode="0.00\x"/>
    <numFmt numFmtId="175" formatCode="_-* #,##0_-;\-* #,##0_-;_-* &quot;-&quot;??_-;_-@_-"/>
    <numFmt numFmtId="176" formatCode="_-* #,##0.00\x_-;\(#,##0.00\)_-;_-* &quot;-&quot;_-;_-@_-"/>
    <numFmt numFmtId="177" formatCode="#,##0;[Red]\(#,##0\)"/>
    <numFmt numFmtId="178" formatCode="#,##0.000"/>
    <numFmt numFmtId="179" formatCode="[$€-2]\ #,##0;[Red]\-[$€-2]\ #,##0"/>
  </numFmts>
  <fonts count="60" x14ac:knownFonts="1">
    <font>
      <sz val="10"/>
      <name val="Arial"/>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b/>
      <i/>
      <sz val="11"/>
      <name val="Aptos Narrow"/>
      <family val="2"/>
      <scheme val="minor"/>
    </font>
    <font>
      <i/>
      <sz val="11"/>
      <name val="Aptos Narrow"/>
      <family val="2"/>
      <scheme val="minor"/>
    </font>
    <font>
      <sz val="10"/>
      <name val="Arial"/>
      <family val="2"/>
    </font>
    <font>
      <b/>
      <sz val="11"/>
      <color theme="0"/>
      <name val="Aptos Narrow"/>
      <family val="2"/>
      <scheme val="minor"/>
    </font>
    <font>
      <sz val="8"/>
      <color theme="1"/>
      <name val="Aptos Narrow"/>
      <family val="2"/>
      <scheme val="minor"/>
    </font>
    <font>
      <i/>
      <sz val="11"/>
      <color theme="0" tint="-0.249977111117893"/>
      <name val="Aptos Narrow"/>
      <family val="2"/>
      <scheme val="minor"/>
    </font>
    <font>
      <sz val="10"/>
      <name val="Aptos Display"/>
      <family val="2"/>
      <scheme val="major"/>
    </font>
    <font>
      <b/>
      <sz val="14"/>
      <color theme="0"/>
      <name val="Aptos Display"/>
      <family val="2"/>
      <scheme val="major"/>
    </font>
    <font>
      <b/>
      <sz val="11"/>
      <color theme="4"/>
      <name val="Aptos Display"/>
      <family val="2"/>
      <scheme val="major"/>
    </font>
    <font>
      <b/>
      <sz val="10"/>
      <name val="Aptos Display"/>
      <family val="2"/>
      <scheme val="major"/>
    </font>
    <font>
      <sz val="10"/>
      <color theme="0"/>
      <name val="Aptos Display"/>
      <family val="2"/>
      <scheme val="major"/>
    </font>
    <font>
      <u/>
      <sz val="10"/>
      <color theme="10"/>
      <name val="Arial"/>
      <family val="2"/>
    </font>
    <font>
      <sz val="10"/>
      <color rgb="FF00B050"/>
      <name val="Aptos Display"/>
      <family val="2"/>
      <scheme val="major"/>
    </font>
    <font>
      <b/>
      <sz val="9"/>
      <color indexed="81"/>
      <name val="Tahoma"/>
      <family val="2"/>
    </font>
    <font>
      <b/>
      <sz val="11"/>
      <color theme="0"/>
      <name val="Aptos Display"/>
      <family val="2"/>
      <scheme val="major"/>
    </font>
    <font>
      <b/>
      <sz val="10"/>
      <color rgb="FF0000FF"/>
      <name val="Aptos Display"/>
      <family val="2"/>
      <scheme val="major"/>
    </font>
    <font>
      <sz val="10"/>
      <color rgb="FF0000FF"/>
      <name val="Aptos Display"/>
      <family val="2"/>
      <scheme val="major"/>
    </font>
    <font>
      <sz val="11"/>
      <color theme="1"/>
      <name val="Aptos Display"/>
      <family val="2"/>
      <scheme val="major"/>
    </font>
    <font>
      <b/>
      <sz val="11"/>
      <color theme="1"/>
      <name val="Aptos Display"/>
      <family val="2"/>
      <scheme val="major"/>
    </font>
    <font>
      <sz val="11"/>
      <name val="Aptos Display"/>
      <family val="2"/>
      <scheme val="major"/>
    </font>
    <font>
      <u val="singleAccounting"/>
      <sz val="11"/>
      <name val="Aptos Display"/>
      <family val="2"/>
      <scheme val="major"/>
    </font>
    <font>
      <i/>
      <sz val="11"/>
      <color theme="1"/>
      <name val="Aptos Display"/>
      <family val="2"/>
      <scheme val="major"/>
    </font>
    <font>
      <b/>
      <u val="singleAccounting"/>
      <sz val="11"/>
      <color theme="1"/>
      <name val="Aptos Display"/>
      <family val="2"/>
      <scheme val="major"/>
    </font>
    <font>
      <sz val="11"/>
      <color rgb="FF0000FF"/>
      <name val="Aptos Display"/>
      <family val="2"/>
      <scheme val="major"/>
    </font>
    <font>
      <b/>
      <sz val="11"/>
      <name val="Aptos Display"/>
      <family val="2"/>
      <scheme val="major"/>
    </font>
    <font>
      <i/>
      <sz val="11"/>
      <name val="Aptos Display"/>
      <family val="2"/>
      <scheme val="major"/>
    </font>
    <font>
      <u val="singleAccounting"/>
      <sz val="11"/>
      <color theme="1"/>
      <name val="Aptos Display"/>
      <family val="2"/>
      <scheme val="major"/>
    </font>
    <font>
      <sz val="11"/>
      <color rgb="FF000000"/>
      <name val="Aptos Display"/>
      <family val="2"/>
      <scheme val="major"/>
    </font>
    <font>
      <i/>
      <sz val="11"/>
      <color rgb="FF000000"/>
      <name val="Aptos Display"/>
      <family val="2"/>
      <scheme val="major"/>
    </font>
    <font>
      <b/>
      <sz val="10"/>
      <color theme="4"/>
      <name val="Aptos Display"/>
      <family val="2"/>
      <scheme val="major"/>
    </font>
    <font>
      <sz val="12"/>
      <color theme="1"/>
      <name val="Aptos Display"/>
      <family val="2"/>
      <scheme val="major"/>
    </font>
    <font>
      <sz val="12"/>
      <color rgb="FF0000FF"/>
      <name val="Aptos Display"/>
      <family val="2"/>
      <scheme val="major"/>
    </font>
    <font>
      <b/>
      <i/>
      <sz val="11"/>
      <name val="Aptos Display"/>
      <family val="2"/>
      <scheme val="major"/>
    </font>
    <font>
      <b/>
      <sz val="10"/>
      <color theme="0"/>
      <name val="Aptos Display"/>
      <family val="2"/>
      <scheme val="major"/>
    </font>
    <font>
      <i/>
      <sz val="10"/>
      <name val="Aptos Display"/>
      <family val="2"/>
      <scheme val="major"/>
    </font>
    <font>
      <b/>
      <sz val="11"/>
      <color theme="1"/>
      <name val="Aptos Display"/>
      <family val="2"/>
      <scheme val="major"/>
    </font>
    <font>
      <b/>
      <sz val="10"/>
      <color theme="1"/>
      <name val="Aptos Display"/>
      <family val="2"/>
      <scheme val="major"/>
    </font>
    <font>
      <sz val="11"/>
      <color rgb="FF00B050"/>
      <name val="Aptos Display"/>
      <family val="2"/>
      <scheme val="major"/>
    </font>
    <font>
      <sz val="12"/>
      <color rgb="FF00B050"/>
      <name val="Aptos Display"/>
      <family val="2"/>
      <scheme val="major"/>
    </font>
    <font>
      <sz val="10"/>
      <name val="Aptos Display"/>
      <family val="2"/>
      <scheme val="major"/>
    </font>
    <font>
      <sz val="10"/>
      <color rgb="FF000000"/>
      <name val="Arial"/>
      <family val="2"/>
    </font>
    <font>
      <sz val="10"/>
      <color theme="0"/>
      <name val="Arial"/>
      <family val="2"/>
    </font>
    <font>
      <sz val="10"/>
      <color rgb="FF000000"/>
      <name val="Arial"/>
      <family val="2"/>
    </font>
    <font>
      <b/>
      <sz val="20"/>
      <name val="Arial"/>
      <family val="2"/>
    </font>
    <font>
      <i/>
      <sz val="11"/>
      <color theme="0" tint="-0.34998626667073579"/>
      <name val="Aptos Narrow"/>
      <family val="2"/>
      <scheme val="minor"/>
    </font>
    <font>
      <sz val="11"/>
      <name val="Calibri"/>
      <family val="2"/>
    </font>
    <font>
      <b/>
      <sz val="11"/>
      <name val="Calibri"/>
      <family val="2"/>
    </font>
    <font>
      <i/>
      <sz val="11"/>
      <name val="Calibri"/>
      <family val="2"/>
    </font>
    <font>
      <b/>
      <i/>
      <sz val="11"/>
      <name val="Calibri"/>
      <family val="2"/>
    </font>
    <font>
      <b/>
      <sz val="10"/>
      <name val="Arial"/>
      <family val="2"/>
    </font>
    <font>
      <b/>
      <i/>
      <sz val="10"/>
      <color rgb="FF000000"/>
      <name val="Arial"/>
      <family val="2"/>
    </font>
    <font>
      <b/>
      <sz val="14"/>
      <name val="Arial"/>
      <family val="2"/>
    </font>
    <font>
      <b/>
      <sz val="9"/>
      <color rgb="FF000000"/>
      <name val="Tahoma"/>
      <family val="2"/>
    </font>
  </fonts>
  <fills count="11">
    <fill>
      <patternFill patternType="none"/>
    </fill>
    <fill>
      <patternFill patternType="gray125"/>
    </fill>
    <fill>
      <patternFill patternType="solid">
        <fgColor rgb="FFFFFF00"/>
        <bgColor indexed="64"/>
      </patternFill>
    </fill>
    <fill>
      <patternFill patternType="solid">
        <fgColor theme="3"/>
        <bgColor indexed="64"/>
      </patternFill>
    </fill>
    <fill>
      <patternFill patternType="solid">
        <fgColor theme="0" tint="-0.499984740745262"/>
        <bgColor indexed="64"/>
      </patternFill>
    </fill>
    <fill>
      <patternFill patternType="solid">
        <fgColor theme="4" tint="0.79998168889431442"/>
        <bgColor indexed="64"/>
      </patternFill>
    </fill>
    <fill>
      <patternFill patternType="solid">
        <fgColor rgb="FFFEF2CB"/>
        <bgColor indexed="64"/>
      </patternFill>
    </fill>
    <fill>
      <patternFill patternType="solid">
        <fgColor theme="5"/>
        <bgColor indexed="64"/>
      </patternFill>
    </fill>
    <fill>
      <patternFill patternType="solid">
        <fgColor theme="0" tint="-0.14999847407452621"/>
        <bgColor indexed="64"/>
      </patternFill>
    </fill>
    <fill>
      <patternFill patternType="solid">
        <fgColor theme="1"/>
        <bgColor indexed="64"/>
      </patternFill>
    </fill>
    <fill>
      <patternFill patternType="solid">
        <fgColor rgb="FFE0E0E0"/>
        <bgColor rgb="FF000000"/>
      </patternFill>
    </fill>
  </fills>
  <borders count="31">
    <border>
      <left/>
      <right/>
      <top/>
      <bottom/>
      <diagonal/>
    </border>
    <border>
      <left/>
      <right/>
      <top/>
      <bottom style="thin">
        <color indexed="64"/>
      </bottom>
      <diagonal/>
    </border>
    <border>
      <left/>
      <right/>
      <top style="thin">
        <color indexed="64"/>
      </top>
      <bottom/>
      <diagonal/>
    </border>
    <border>
      <left/>
      <right/>
      <top/>
      <bottom style="thick">
        <color indexed="64"/>
      </bottom>
      <diagonal/>
    </border>
    <border>
      <left/>
      <right/>
      <top style="thick">
        <color indexed="64"/>
      </top>
      <bottom style="thick">
        <color indexed="64"/>
      </bottom>
      <diagonal/>
    </border>
    <border>
      <left/>
      <right/>
      <top/>
      <bottom style="double">
        <color indexed="64"/>
      </bottom>
      <diagonal/>
    </border>
    <border>
      <left/>
      <right/>
      <top style="thick">
        <color indexed="64"/>
      </top>
      <bottom/>
      <diagonal/>
    </border>
    <border>
      <left/>
      <right/>
      <top style="thin">
        <color indexed="64"/>
      </top>
      <bottom style="double">
        <color indexed="64"/>
      </bottom>
      <diagonal/>
    </border>
    <border>
      <left style="medium">
        <color theme="0"/>
      </left>
      <right/>
      <top/>
      <bottom/>
      <diagonal/>
    </border>
    <border>
      <left/>
      <right/>
      <top style="thin">
        <color indexed="64"/>
      </top>
      <bottom style="thin">
        <color indexed="64"/>
      </bottom>
      <diagonal/>
    </border>
    <border>
      <left/>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medium">
        <color theme="0"/>
      </left>
      <right/>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theme="0"/>
      </left>
      <right style="thin">
        <color indexed="64"/>
      </right>
      <top/>
      <bottom/>
      <diagonal/>
    </border>
    <border>
      <left/>
      <right style="medium">
        <color theme="0"/>
      </right>
      <top/>
      <bottom style="thin">
        <color indexed="64"/>
      </bottom>
      <diagonal/>
    </border>
    <border>
      <left/>
      <right/>
      <top style="double">
        <color indexed="64"/>
      </top>
      <bottom style="thick">
        <color indexed="64"/>
      </bottom>
      <diagonal/>
    </border>
    <border>
      <left/>
      <right/>
      <top style="double">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3">
    <xf numFmtId="0" fontId="0" fillId="0" borderId="0"/>
    <xf numFmtId="9" fontId="9" fillId="0" borderId="0" applyFont="0" applyFill="0" applyBorder="0" applyAlignment="0" applyProtection="0"/>
    <xf numFmtId="0" fontId="9" fillId="0" borderId="0"/>
    <xf numFmtId="0" fontId="9"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2" fillId="0" borderId="0"/>
    <xf numFmtId="0" fontId="18" fillId="0" borderId="0" applyNumberFormat="0" applyFill="0" applyBorder="0" applyAlignment="0" applyProtection="0"/>
    <xf numFmtId="0" fontId="1" fillId="0" borderId="0"/>
    <xf numFmtId="43" fontId="1" fillId="0" borderId="0" applyFont="0" applyFill="0" applyBorder="0" applyAlignment="0" applyProtection="0"/>
    <xf numFmtId="43" fontId="9" fillId="0" borderId="0" applyFont="0" applyFill="0" applyBorder="0" applyAlignment="0" applyProtection="0"/>
    <xf numFmtId="0" fontId="47" fillId="0" borderId="0"/>
  </cellStyleXfs>
  <cellXfs count="546">
    <xf numFmtId="0" fontId="0" fillId="0" borderId="0" xfId="0"/>
    <xf numFmtId="0" fontId="6" fillId="0" borderId="0" xfId="0" applyFont="1"/>
    <xf numFmtId="0" fontId="6" fillId="0" borderId="0" xfId="0" applyFont="1" applyAlignment="1">
      <alignment vertical="justify"/>
    </xf>
    <xf numFmtId="0" fontId="7" fillId="0" borderId="0" xfId="0" applyFont="1" applyAlignment="1">
      <alignment vertical="justify"/>
    </xf>
    <xf numFmtId="0" fontId="5" fillId="0" borderId="0" xfId="0" applyFont="1"/>
    <xf numFmtId="0" fontId="5" fillId="0" borderId="0" xfId="0" applyFont="1" applyAlignment="1">
      <alignment vertical="justify"/>
    </xf>
    <xf numFmtId="0" fontId="8" fillId="0" borderId="0" xfId="0" applyFont="1" applyAlignment="1">
      <alignment vertical="justify"/>
    </xf>
    <xf numFmtId="0" fontId="8" fillId="0" borderId="1" xfId="0" applyFont="1" applyBorder="1" applyAlignment="1">
      <alignment vertical="justify"/>
    </xf>
    <xf numFmtId="0" fontId="8" fillId="0" borderId="1" xfId="0" applyFont="1" applyBorder="1" applyAlignment="1">
      <alignment horizontal="center" vertical="justify"/>
    </xf>
    <xf numFmtId="164" fontId="6" fillId="0" borderId="0" xfId="0" applyNumberFormat="1" applyFont="1" applyAlignment="1">
      <alignment horizontal="center"/>
    </xf>
    <xf numFmtId="2" fontId="6" fillId="0" borderId="1" xfId="0" applyNumberFormat="1" applyFont="1" applyBorder="1" applyAlignment="1">
      <alignment horizontal="center"/>
    </xf>
    <xf numFmtId="2" fontId="6" fillId="0" borderId="0" xfId="0" applyNumberFormat="1" applyFont="1" applyAlignment="1">
      <alignment horizontal="center"/>
    </xf>
    <xf numFmtId="165" fontId="6" fillId="0" borderId="0" xfId="0" applyNumberFormat="1" applyFont="1" applyAlignment="1">
      <alignment horizontal="center"/>
    </xf>
    <xf numFmtId="164" fontId="6" fillId="0" borderId="1" xfId="0" applyNumberFormat="1" applyFont="1" applyBorder="1" applyAlignment="1">
      <alignment horizontal="center"/>
    </xf>
    <xf numFmtId="164" fontId="6" fillId="0" borderId="0" xfId="0" applyNumberFormat="1" applyFont="1"/>
    <xf numFmtId="10" fontId="6" fillId="0" borderId="0" xfId="0" applyNumberFormat="1" applyFont="1" applyAlignment="1">
      <alignment horizontal="center"/>
    </xf>
    <xf numFmtId="164" fontId="6" fillId="0" borderId="0" xfId="1" applyNumberFormat="1" applyFont="1" applyAlignment="1">
      <alignment horizontal="center"/>
    </xf>
    <xf numFmtId="10" fontId="6" fillId="0" borderId="1" xfId="0" applyNumberFormat="1" applyFont="1" applyBorder="1" applyAlignment="1">
      <alignment horizontal="center"/>
    </xf>
    <xf numFmtId="164" fontId="6" fillId="0" borderId="0" xfId="1" applyNumberFormat="1" applyFont="1" applyFill="1" applyAlignment="1">
      <alignment horizontal="center"/>
    </xf>
    <xf numFmtId="2" fontId="6" fillId="0" borderId="0" xfId="0" applyNumberFormat="1" applyFont="1" applyAlignment="1">
      <alignment horizontal="center" wrapText="1"/>
    </xf>
    <xf numFmtId="0" fontId="0" fillId="0" borderId="0" xfId="0" applyAlignment="1">
      <alignment wrapText="1"/>
    </xf>
    <xf numFmtId="166" fontId="10" fillId="3" borderId="8" xfId="0" applyNumberFormat="1" applyFont="1" applyFill="1" applyBorder="1" applyAlignment="1">
      <alignment horizontal="center"/>
    </xf>
    <xf numFmtId="167" fontId="10" fillId="4" borderId="8" xfId="0" applyNumberFormat="1" applyFont="1" applyFill="1" applyBorder="1" applyAlignment="1">
      <alignment horizontal="center"/>
    </xf>
    <xf numFmtId="168" fontId="5" fillId="0" borderId="0" xfId="0" applyNumberFormat="1" applyFont="1" applyAlignment="1">
      <alignment horizontal="right"/>
    </xf>
    <xf numFmtId="168" fontId="6" fillId="0" borderId="0" xfId="0" applyNumberFormat="1" applyFont="1"/>
    <xf numFmtId="168" fontId="6" fillId="0" borderId="0" xfId="0" applyNumberFormat="1" applyFont="1" applyAlignment="1">
      <alignment horizontal="right"/>
    </xf>
    <xf numFmtId="168" fontId="5" fillId="0" borderId="0" xfId="0" applyNumberFormat="1" applyFont="1"/>
    <xf numFmtId="168" fontId="6" fillId="0" borderId="1" xfId="0" applyNumberFormat="1" applyFont="1" applyBorder="1" applyAlignment="1">
      <alignment horizontal="right"/>
    </xf>
    <xf numFmtId="168" fontId="5" fillId="0" borderId="1" xfId="0" applyNumberFormat="1" applyFont="1" applyBorder="1" applyAlignment="1">
      <alignment horizontal="right"/>
    </xf>
    <xf numFmtId="168" fontId="6" fillId="0" borderId="2" xfId="0" applyNumberFormat="1" applyFont="1" applyBorder="1"/>
    <xf numFmtId="168" fontId="5" fillId="0" borderId="2" xfId="0" applyNumberFormat="1" applyFont="1" applyBorder="1"/>
    <xf numFmtId="0" fontId="6" fillId="0" borderId="0" xfId="0" applyFont="1" applyAlignment="1">
      <alignment vertical="justify" wrapText="1"/>
    </xf>
    <xf numFmtId="168" fontId="4" fillId="0" borderId="0" xfId="0" applyNumberFormat="1" applyFont="1"/>
    <xf numFmtId="168" fontId="5" fillId="0" borderId="0" xfId="0" applyNumberFormat="1" applyFont="1" applyAlignment="1">
      <alignment horizontal="center"/>
    </xf>
    <xf numFmtId="168" fontId="6" fillId="0" borderId="0" xfId="0" applyNumberFormat="1" applyFont="1" applyAlignment="1">
      <alignment vertical="justify"/>
    </xf>
    <xf numFmtId="168" fontId="5" fillId="0" borderId="2" xfId="0" applyNumberFormat="1" applyFont="1" applyBorder="1" applyAlignment="1">
      <alignment vertical="justify"/>
    </xf>
    <xf numFmtId="168" fontId="4" fillId="0" borderId="2" xfId="0" applyNumberFormat="1" applyFont="1" applyBorder="1"/>
    <xf numFmtId="167" fontId="10" fillId="4" borderId="0" xfId="0" applyNumberFormat="1" applyFont="1" applyFill="1" applyAlignment="1">
      <alignment horizontal="center"/>
    </xf>
    <xf numFmtId="168" fontId="11" fillId="0" borderId="0" xfId="0" applyNumberFormat="1" applyFont="1"/>
    <xf numFmtId="168" fontId="6" fillId="0" borderId="2" xfId="0" applyNumberFormat="1" applyFont="1" applyBorder="1" applyAlignment="1">
      <alignment vertical="justify"/>
    </xf>
    <xf numFmtId="168" fontId="6" fillId="0" borderId="1" xfId="0" applyNumberFormat="1" applyFont="1" applyBorder="1" applyAlignment="1">
      <alignment horizontal="centerContinuous"/>
    </xf>
    <xf numFmtId="168" fontId="6" fillId="0" borderId="3" xfId="0" applyNumberFormat="1" applyFont="1" applyBorder="1"/>
    <xf numFmtId="168" fontId="5" fillId="0" borderId="0" xfId="0" applyNumberFormat="1" applyFont="1" applyAlignment="1">
      <alignment vertical="justify"/>
    </xf>
    <xf numFmtId="168" fontId="6" fillId="0" borderId="0" xfId="0" applyNumberFormat="1" applyFont="1" applyAlignment="1">
      <alignment horizontal="left"/>
    </xf>
    <xf numFmtId="168" fontId="4" fillId="0" borderId="3" xfId="0" applyNumberFormat="1" applyFont="1" applyBorder="1"/>
    <xf numFmtId="168" fontId="6" fillId="0" borderId="4" xfId="0" applyNumberFormat="1" applyFont="1" applyBorder="1"/>
    <xf numFmtId="168" fontId="5" fillId="0" borderId="0" xfId="0" applyNumberFormat="1" applyFont="1" applyAlignment="1">
      <alignment horizontal="center" vertical="justify"/>
    </xf>
    <xf numFmtId="168" fontId="6" fillId="0" borderId="0" xfId="0" applyNumberFormat="1" applyFont="1" applyAlignment="1">
      <alignment horizontal="left" vertical="justify" indent="3"/>
    </xf>
    <xf numFmtId="168" fontId="6" fillId="0" borderId="3" xfId="0" applyNumberFormat="1" applyFont="1" applyBorder="1" applyAlignment="1">
      <alignment horizontal="right"/>
    </xf>
    <xf numFmtId="168" fontId="6" fillId="0" borderId="5" xfId="0" applyNumberFormat="1" applyFont="1" applyBorder="1"/>
    <xf numFmtId="168" fontId="6" fillId="0" borderId="5" xfId="1" applyNumberFormat="1" applyFont="1" applyBorder="1"/>
    <xf numFmtId="168" fontId="6" fillId="0" borderId="0" xfId="1" applyNumberFormat="1" applyFont="1"/>
    <xf numFmtId="168" fontId="5" fillId="0" borderId="3" xfId="0" applyNumberFormat="1" applyFont="1" applyBorder="1" applyAlignment="1">
      <alignment vertical="justify"/>
    </xf>
    <xf numFmtId="168" fontId="5" fillId="0" borderId="3" xfId="0" applyNumberFormat="1" applyFont="1" applyBorder="1"/>
    <xf numFmtId="168" fontId="10" fillId="0" borderId="8" xfId="0" applyNumberFormat="1" applyFont="1" applyBorder="1" applyAlignment="1">
      <alignment horizontal="center"/>
    </xf>
    <xf numFmtId="168" fontId="12" fillId="0" borderId="3" xfId="0" applyNumberFormat="1" applyFont="1" applyBorder="1"/>
    <xf numFmtId="168" fontId="12" fillId="0" borderId="0" xfId="0" applyNumberFormat="1" applyFont="1"/>
    <xf numFmtId="168" fontId="4" fillId="0" borderId="6" xfId="0" applyNumberFormat="1" applyFont="1" applyBorder="1"/>
    <xf numFmtId="168" fontId="5" fillId="0" borderId="6" xfId="0" applyNumberFormat="1" applyFont="1" applyBorder="1" applyAlignment="1">
      <alignment horizontal="center" vertical="justify"/>
    </xf>
    <xf numFmtId="168" fontId="6" fillId="0" borderId="0" xfId="0" quotePrefix="1" applyNumberFormat="1" applyFont="1" applyAlignment="1">
      <alignment horizontal="left" vertical="justify" indent="3"/>
    </xf>
    <xf numFmtId="168" fontId="5" fillId="0" borderId="0" xfId="0" applyNumberFormat="1" applyFont="1" applyAlignment="1">
      <alignment horizontal="left" vertical="justify" indent="3"/>
    </xf>
    <xf numFmtId="168" fontId="5" fillId="0" borderId="0" xfId="0" applyNumberFormat="1" applyFont="1" applyAlignment="1">
      <alignment horizontal="left" vertical="justify"/>
    </xf>
    <xf numFmtId="168" fontId="5" fillId="0" borderId="0" xfId="0" quotePrefix="1" applyNumberFormat="1" applyFont="1" applyAlignment="1">
      <alignment vertical="justify"/>
    </xf>
    <xf numFmtId="168" fontId="6" fillId="0" borderId="0" xfId="1" applyNumberFormat="1" applyFont="1" applyFill="1"/>
    <xf numFmtId="168" fontId="4" fillId="0" borderId="7" xfId="0" applyNumberFormat="1" applyFont="1" applyBorder="1"/>
    <xf numFmtId="168" fontId="4" fillId="0" borderId="0" xfId="1" applyNumberFormat="1" applyFont="1" applyFill="1"/>
    <xf numFmtId="168" fontId="5" fillId="0" borderId="0" xfId="0" quotePrefix="1" applyNumberFormat="1" applyFont="1" applyAlignment="1">
      <alignment horizontal="left" vertical="justify" indent="3"/>
    </xf>
    <xf numFmtId="168" fontId="6" fillId="0" borderId="0" xfId="0" applyNumberFormat="1" applyFont="1" applyAlignment="1">
      <alignment horizontal="center"/>
    </xf>
    <xf numFmtId="9" fontId="6" fillId="0" borderId="1" xfId="0" applyNumberFormat="1" applyFont="1" applyBorder="1" applyAlignment="1">
      <alignment horizontal="right"/>
    </xf>
    <xf numFmtId="168" fontId="6" fillId="0" borderId="0" xfId="0" quotePrefix="1" applyNumberFormat="1" applyFont="1"/>
    <xf numFmtId="168" fontId="4" fillId="0" borderId="0" xfId="0" quotePrefix="1" applyNumberFormat="1" applyFont="1"/>
    <xf numFmtId="168" fontId="4" fillId="0" borderId="0" xfId="1" applyNumberFormat="1" applyFont="1"/>
    <xf numFmtId="168" fontId="4" fillId="0" borderId="10" xfId="0" applyNumberFormat="1" applyFont="1" applyBorder="1"/>
    <xf numFmtId="168" fontId="6" fillId="0" borderId="0" xfId="3" applyNumberFormat="1" applyFont="1"/>
    <xf numFmtId="166" fontId="10" fillId="3" borderId="8" xfId="3" applyNumberFormat="1" applyFont="1" applyFill="1" applyBorder="1" applyAlignment="1">
      <alignment horizontal="center"/>
    </xf>
    <xf numFmtId="167" fontId="10" fillId="4" borderId="0" xfId="3" applyNumberFormat="1" applyFont="1" applyFill="1" applyAlignment="1">
      <alignment horizontal="center"/>
    </xf>
    <xf numFmtId="168" fontId="4" fillId="0" borderId="0" xfId="3" applyNumberFormat="1" applyFont="1"/>
    <xf numFmtId="168" fontId="5" fillId="0" borderId="0" xfId="3" applyNumberFormat="1" applyFont="1" applyAlignment="1">
      <alignment horizontal="center"/>
    </xf>
    <xf numFmtId="168" fontId="6" fillId="0" borderId="0" xfId="3" applyNumberFormat="1" applyFont="1" applyAlignment="1">
      <alignment horizontal="right"/>
    </xf>
    <xf numFmtId="168" fontId="6" fillId="0" borderId="0" xfId="3" applyNumberFormat="1" applyFont="1" applyAlignment="1">
      <alignment vertical="justify"/>
    </xf>
    <xf numFmtId="0" fontId="6" fillId="0" borderId="0" xfId="3" applyFont="1" applyAlignment="1">
      <alignment vertical="justify"/>
    </xf>
    <xf numFmtId="168" fontId="5" fillId="0" borderId="0" xfId="3" applyNumberFormat="1" applyFont="1"/>
    <xf numFmtId="168" fontId="5" fillId="0" borderId="2" xfId="3" applyNumberFormat="1" applyFont="1" applyBorder="1" applyAlignment="1">
      <alignment vertical="justify"/>
    </xf>
    <xf numFmtId="168" fontId="4" fillId="0" borderId="2" xfId="3" applyNumberFormat="1" applyFont="1" applyBorder="1"/>
    <xf numFmtId="168" fontId="6" fillId="0" borderId="2" xfId="3" applyNumberFormat="1" applyFont="1" applyBorder="1" applyAlignment="1">
      <alignment vertical="justify"/>
    </xf>
    <xf numFmtId="168" fontId="6" fillId="0" borderId="2" xfId="3" applyNumberFormat="1" applyFont="1" applyBorder="1"/>
    <xf numFmtId="0" fontId="6" fillId="0" borderId="0" xfId="3" applyFont="1" applyAlignment="1">
      <alignment vertical="justify" wrapText="1"/>
    </xf>
    <xf numFmtId="168" fontId="11" fillId="0" borderId="0" xfId="3" applyNumberFormat="1" applyFont="1"/>
    <xf numFmtId="4" fontId="6" fillId="0" borderId="0" xfId="0" applyNumberFormat="1" applyFont="1" applyAlignment="1">
      <alignment horizontal="center"/>
    </xf>
    <xf numFmtId="4" fontId="6" fillId="0" borderId="0" xfId="0" applyNumberFormat="1" applyFont="1"/>
    <xf numFmtId="4" fontId="8" fillId="0" borderId="1" xfId="0" applyNumberFormat="1" applyFont="1" applyBorder="1" applyAlignment="1">
      <alignment horizontal="center" vertical="justify"/>
    </xf>
    <xf numFmtId="4" fontId="6" fillId="0" borderId="1" xfId="0" applyNumberFormat="1" applyFont="1" applyBorder="1" applyAlignment="1">
      <alignment horizontal="center"/>
    </xf>
    <xf numFmtId="4" fontId="6" fillId="2" borderId="0" xfId="0" applyNumberFormat="1" applyFont="1" applyFill="1" applyAlignment="1">
      <alignment horizontal="center"/>
    </xf>
    <xf numFmtId="9" fontId="6" fillId="0" borderId="0" xfId="1" applyFont="1" applyAlignment="1">
      <alignment horizontal="center"/>
    </xf>
    <xf numFmtId="9" fontId="6" fillId="0" borderId="0" xfId="1" quotePrefix="1" applyFont="1" applyAlignment="1">
      <alignment horizontal="center"/>
    </xf>
    <xf numFmtId="10" fontId="6" fillId="0" borderId="0" xfId="1" applyNumberFormat="1" applyFont="1" applyAlignment="1">
      <alignment horizontal="right"/>
    </xf>
    <xf numFmtId="165" fontId="6" fillId="0" borderId="0" xfId="1" applyNumberFormat="1" applyFont="1" applyAlignment="1">
      <alignment horizontal="center"/>
    </xf>
    <xf numFmtId="9" fontId="6" fillId="0" borderId="0" xfId="0" applyNumberFormat="1" applyFont="1" applyAlignment="1">
      <alignment horizontal="center"/>
    </xf>
    <xf numFmtId="0" fontId="13" fillId="0" borderId="0" xfId="0" applyFont="1"/>
    <xf numFmtId="37" fontId="14" fillId="3" borderId="0" xfId="0" applyNumberFormat="1" applyFont="1" applyFill="1" applyAlignment="1">
      <alignment vertical="center"/>
    </xf>
    <xf numFmtId="37" fontId="14" fillId="0" borderId="0" xfId="0" applyNumberFormat="1" applyFont="1" applyAlignment="1">
      <alignment vertical="center"/>
    </xf>
    <xf numFmtId="0" fontId="15" fillId="0" borderId="1" xfId="7" applyFont="1" applyBorder="1" applyAlignment="1">
      <alignment horizontal="left" vertical="center" wrapText="1"/>
    </xf>
    <xf numFmtId="0" fontId="15" fillId="0" borderId="1" xfId="7" applyFont="1" applyBorder="1" applyAlignment="1">
      <alignment horizontal="right" vertical="center" wrapText="1"/>
    </xf>
    <xf numFmtId="10" fontId="13" fillId="0" borderId="0" xfId="1" applyNumberFormat="1" applyFont="1" applyAlignment="1">
      <alignment horizontal="right"/>
    </xf>
    <xf numFmtId="0" fontId="13" fillId="0" borderId="0" xfId="0" applyFont="1" applyAlignment="1">
      <alignment horizontal="center"/>
    </xf>
    <xf numFmtId="0" fontId="13" fillId="0" borderId="0" xfId="0" applyFont="1" applyAlignment="1">
      <alignment horizontal="right"/>
    </xf>
    <xf numFmtId="10" fontId="13" fillId="0" borderId="0" xfId="0" applyNumberFormat="1" applyFont="1" applyAlignment="1">
      <alignment horizontal="right"/>
    </xf>
    <xf numFmtId="0" fontId="16" fillId="0" borderId="12" xfId="0" applyFont="1" applyBorder="1"/>
    <xf numFmtId="10" fontId="16" fillId="0" borderId="12" xfId="1" applyNumberFormat="1" applyFont="1" applyBorder="1" applyAlignment="1">
      <alignment horizontal="right"/>
    </xf>
    <xf numFmtId="0" fontId="13" fillId="0" borderId="12" xfId="0" applyFont="1" applyBorder="1" applyAlignment="1">
      <alignment horizontal="center"/>
    </xf>
    <xf numFmtId="9" fontId="13" fillId="0" borderId="0" xfId="1" applyFont="1" applyAlignment="1">
      <alignment horizontal="right"/>
    </xf>
    <xf numFmtId="0" fontId="16" fillId="0" borderId="7" xfId="0" applyFont="1" applyBorder="1"/>
    <xf numFmtId="10" fontId="16" fillId="0" borderId="7" xfId="1" applyNumberFormat="1" applyFont="1" applyBorder="1" applyAlignment="1">
      <alignment horizontal="right"/>
    </xf>
    <xf numFmtId="0" fontId="13" fillId="0" borderId="7" xfId="0" applyFont="1" applyBorder="1" applyAlignment="1">
      <alignment horizontal="center"/>
    </xf>
    <xf numFmtId="0" fontId="16" fillId="0" borderId="0" xfId="0" applyFont="1"/>
    <xf numFmtId="9" fontId="13" fillId="0" borderId="0" xfId="1" applyFont="1"/>
    <xf numFmtId="9" fontId="13" fillId="0" borderId="0" xfId="1" applyFont="1" applyAlignment="1">
      <alignment horizontal="center"/>
    </xf>
    <xf numFmtId="10" fontId="13" fillId="0" borderId="0" xfId="1" applyNumberFormat="1" applyFont="1" applyBorder="1" applyAlignment="1">
      <alignment horizontal="center"/>
    </xf>
    <xf numFmtId="0" fontId="13" fillId="0" borderId="0" xfId="0" applyFont="1" applyAlignment="1">
      <alignment horizontal="centerContinuous"/>
    </xf>
    <xf numFmtId="0" fontId="18" fillId="0" borderId="0" xfId="8"/>
    <xf numFmtId="0" fontId="19" fillId="0" borderId="0" xfId="0" applyFont="1" applyAlignment="1">
      <alignment horizontal="right"/>
    </xf>
    <xf numFmtId="3" fontId="19" fillId="0" borderId="0" xfId="0" applyNumberFormat="1" applyFont="1" applyAlignment="1">
      <alignment horizontal="right"/>
    </xf>
    <xf numFmtId="10" fontId="13" fillId="0" borderId="0" xfId="1" applyNumberFormat="1" applyFont="1" applyFill="1" applyBorder="1" applyAlignment="1">
      <alignment horizontal="center"/>
    </xf>
    <xf numFmtId="10" fontId="13" fillId="0" borderId="13" xfId="1" applyNumberFormat="1" applyFont="1" applyBorder="1" applyAlignment="1">
      <alignment horizontal="center"/>
    </xf>
    <xf numFmtId="10" fontId="13" fillId="0" borderId="14" xfId="1" applyNumberFormat="1" applyFont="1" applyBorder="1" applyAlignment="1">
      <alignment horizontal="center"/>
    </xf>
    <xf numFmtId="10" fontId="13" fillId="0" borderId="2" xfId="1" applyNumberFormat="1" applyFont="1" applyBorder="1" applyAlignment="1">
      <alignment horizontal="center"/>
    </xf>
    <xf numFmtId="2" fontId="13" fillId="0" borderId="0" xfId="0" applyNumberFormat="1" applyFont="1" applyAlignment="1">
      <alignment horizontal="right"/>
    </xf>
    <xf numFmtId="9" fontId="6" fillId="0" borderId="1" xfId="0" applyNumberFormat="1" applyFont="1" applyBorder="1" applyAlignment="1">
      <alignment horizontal="center"/>
    </xf>
    <xf numFmtId="0" fontId="16" fillId="0" borderId="0" xfId="0" applyFont="1" applyAlignment="1">
      <alignment vertical="center" wrapText="1"/>
    </xf>
    <xf numFmtId="1" fontId="16" fillId="0" borderId="0" xfId="0" applyNumberFormat="1" applyFont="1" applyAlignment="1">
      <alignment vertical="center" wrapText="1"/>
    </xf>
    <xf numFmtId="0" fontId="13" fillId="0" borderId="0" xfId="0" applyFont="1" applyAlignment="1">
      <alignment horizontal="left" vertical="center" wrapText="1" indent="1"/>
    </xf>
    <xf numFmtId="0" fontId="13" fillId="0" borderId="0" xfId="0" applyFont="1" applyAlignment="1">
      <alignment vertical="center" wrapText="1"/>
    </xf>
    <xf numFmtId="9" fontId="23" fillId="0" borderId="0" xfId="1" applyFont="1" applyAlignment="1">
      <alignment vertical="center" wrapText="1"/>
    </xf>
    <xf numFmtId="0" fontId="13" fillId="0" borderId="0" xfId="0" quotePrefix="1" applyFont="1"/>
    <xf numFmtId="9" fontId="16" fillId="0" borderId="0" xfId="1" applyFont="1" applyAlignment="1">
      <alignment vertical="center" wrapText="1"/>
    </xf>
    <xf numFmtId="0" fontId="13" fillId="0" borderId="0" xfId="0" applyFont="1" applyAlignment="1">
      <alignment horizontal="left" vertical="center" wrapText="1" indent="2"/>
    </xf>
    <xf numFmtId="0" fontId="23" fillId="0" borderId="0" xfId="0" applyFont="1" applyAlignment="1">
      <alignment vertical="center" wrapText="1"/>
    </xf>
    <xf numFmtId="0" fontId="13" fillId="0" borderId="1" xfId="0" applyFont="1" applyBorder="1" applyAlignment="1">
      <alignment vertical="center" wrapText="1"/>
    </xf>
    <xf numFmtId="164" fontId="23" fillId="0" borderId="1" xfId="0" applyNumberFormat="1" applyFont="1" applyBorder="1" applyAlignment="1">
      <alignment vertical="center" wrapText="1"/>
    </xf>
    <xf numFmtId="0" fontId="13" fillId="0" borderId="2" xfId="0" applyFont="1" applyBorder="1" applyAlignment="1">
      <alignment horizontal="left" vertical="center" wrapText="1" indent="2"/>
    </xf>
    <xf numFmtId="9" fontId="23" fillId="0" borderId="1" xfId="1" applyFont="1" applyBorder="1" applyAlignment="1">
      <alignment vertical="center" wrapText="1"/>
    </xf>
    <xf numFmtId="0" fontId="13" fillId="0" borderId="9" xfId="0" applyFont="1" applyBorder="1" applyAlignment="1">
      <alignment horizontal="left" vertical="center" wrapText="1" indent="1"/>
    </xf>
    <xf numFmtId="164" fontId="13" fillId="0" borderId="1" xfId="0" applyNumberFormat="1" applyFont="1" applyBorder="1" applyAlignment="1">
      <alignment vertical="center" wrapText="1"/>
    </xf>
    <xf numFmtId="9" fontId="13" fillId="0" borderId="1" xfId="1" applyFont="1" applyBorder="1" applyAlignment="1">
      <alignment vertical="center" wrapText="1"/>
    </xf>
    <xf numFmtId="3" fontId="13" fillId="0" borderId="0" xfId="0" applyNumberFormat="1" applyFont="1" applyAlignment="1">
      <alignment vertical="center" wrapText="1"/>
    </xf>
    <xf numFmtId="3" fontId="23" fillId="0" borderId="0" xfId="0" applyNumberFormat="1" applyFont="1" applyAlignment="1">
      <alignment vertical="center" wrapText="1"/>
    </xf>
    <xf numFmtId="3" fontId="13" fillId="0" borderId="1" xfId="0" applyNumberFormat="1" applyFont="1" applyBorder="1" applyAlignment="1">
      <alignment vertical="center" wrapText="1"/>
    </xf>
    <xf numFmtId="3" fontId="23" fillId="0" borderId="1" xfId="0" applyNumberFormat="1" applyFont="1" applyBorder="1" applyAlignment="1">
      <alignment vertical="center" wrapText="1"/>
    </xf>
    <xf numFmtId="9" fontId="13" fillId="0" borderId="0" xfId="1" applyFont="1" applyBorder="1" applyAlignment="1">
      <alignment horizontal="left" vertical="center" wrapText="1" indent="2"/>
    </xf>
    <xf numFmtId="9" fontId="23" fillId="0" borderId="1" xfId="0" applyNumberFormat="1" applyFont="1" applyBorder="1" applyAlignment="1">
      <alignment vertical="center" wrapText="1"/>
    </xf>
    <xf numFmtId="9" fontId="13" fillId="0" borderId="2" xfId="1" applyFont="1" applyBorder="1" applyAlignment="1">
      <alignment horizontal="left" vertical="center" wrapText="1" indent="2"/>
    </xf>
    <xf numFmtId="3" fontId="13" fillId="0" borderId="2" xfId="0" applyNumberFormat="1" applyFont="1" applyBorder="1" applyAlignment="1">
      <alignment vertical="center" wrapText="1"/>
    </xf>
    <xf numFmtId="0" fontId="13" fillId="0" borderId="0" xfId="0" applyFont="1" applyAlignment="1">
      <alignment vertical="center"/>
    </xf>
    <xf numFmtId="9" fontId="13" fillId="0" borderId="0" xfId="0" applyNumberFormat="1" applyFont="1" applyAlignment="1">
      <alignment vertical="center" wrapText="1"/>
    </xf>
    <xf numFmtId="9" fontId="13" fillId="0" borderId="0" xfId="0" applyNumberFormat="1" applyFont="1" applyAlignment="1">
      <alignment vertical="center"/>
    </xf>
    <xf numFmtId="9" fontId="23" fillId="0" borderId="0" xfId="0" applyNumberFormat="1" applyFont="1" applyAlignment="1">
      <alignment vertical="center"/>
    </xf>
    <xf numFmtId="0" fontId="13" fillId="0" borderId="9" xfId="0" applyFont="1" applyBorder="1" applyAlignment="1">
      <alignment vertical="center"/>
    </xf>
    <xf numFmtId="0" fontId="13" fillId="0" borderId="9" xfId="1" applyNumberFormat="1" applyFont="1" applyBorder="1" applyAlignment="1">
      <alignment vertical="center" wrapText="1"/>
    </xf>
    <xf numFmtId="1" fontId="13" fillId="0" borderId="9" xfId="0" applyNumberFormat="1" applyFont="1" applyBorder="1"/>
    <xf numFmtId="9" fontId="13" fillId="0" borderId="0" xfId="1" applyFont="1" applyBorder="1" applyAlignment="1">
      <alignment vertical="center" wrapText="1"/>
    </xf>
    <xf numFmtId="10" fontId="13" fillId="0" borderId="0" xfId="0" applyNumberFormat="1" applyFont="1" applyAlignment="1">
      <alignment vertical="center" wrapText="1"/>
    </xf>
    <xf numFmtId="9" fontId="23" fillId="0" borderId="0" xfId="0" applyNumberFormat="1" applyFont="1"/>
    <xf numFmtId="9" fontId="13" fillId="0" borderId="9" xfId="0" applyNumberFormat="1" applyFont="1" applyBorder="1" applyAlignment="1">
      <alignment vertical="center" wrapText="1"/>
    </xf>
    <xf numFmtId="0" fontId="13" fillId="0" borderId="9" xfId="0" applyFont="1" applyBorder="1" applyAlignment="1">
      <alignment vertical="center" wrapText="1"/>
    </xf>
    <xf numFmtId="0" fontId="13" fillId="0" borderId="9" xfId="0" applyFont="1" applyBorder="1"/>
    <xf numFmtId="0" fontId="24" fillId="0" borderId="0" xfId="7" applyFont="1"/>
    <xf numFmtId="14" fontId="24" fillId="0" borderId="0" xfId="7" applyNumberFormat="1" applyFont="1"/>
    <xf numFmtId="0" fontId="15" fillId="0" borderId="0" xfId="7" applyFont="1" applyAlignment="1">
      <alignment horizontal="left" vertical="center" wrapText="1"/>
    </xf>
    <xf numFmtId="0" fontId="15" fillId="0" borderId="0" xfId="7" applyFont="1" applyAlignment="1">
      <alignment horizontal="right" vertical="center" wrapText="1"/>
    </xf>
    <xf numFmtId="3" fontId="24" fillId="0" borderId="0" xfId="7" applyNumberFormat="1" applyFont="1"/>
    <xf numFmtId="4" fontId="24" fillId="0" borderId="0" xfId="7" applyNumberFormat="1" applyFont="1"/>
    <xf numFmtId="170" fontId="24" fillId="0" borderId="0" xfId="7" applyNumberFormat="1" applyFont="1" applyAlignment="1">
      <alignment horizontal="right" vertical="top"/>
    </xf>
    <xf numFmtId="3" fontId="22" fillId="0" borderId="0" xfId="0" applyNumberFormat="1" applyFont="1" applyAlignment="1">
      <alignment vertical="center" wrapText="1"/>
    </xf>
    <xf numFmtId="3" fontId="16" fillId="0" borderId="0" xfId="0" applyNumberFormat="1" applyFont="1" applyAlignment="1">
      <alignment vertical="center" wrapText="1"/>
    </xf>
    <xf numFmtId="3" fontId="16" fillId="0" borderId="7" xfId="0" applyNumberFormat="1" applyFont="1" applyBorder="1" applyAlignment="1">
      <alignment vertical="center" wrapText="1"/>
    </xf>
    <xf numFmtId="0" fontId="25" fillId="5" borderId="9" xfId="7" applyFont="1" applyFill="1" applyBorder="1" applyAlignment="1">
      <alignment horizontal="left" vertical="center"/>
    </xf>
    <xf numFmtId="173" fontId="25" fillId="5" borderId="9" xfId="7" applyNumberFormat="1" applyFont="1" applyFill="1" applyBorder="1" applyAlignment="1">
      <alignment horizontal="right" vertical="center"/>
    </xf>
    <xf numFmtId="3" fontId="25" fillId="5" borderId="9" xfId="7" applyNumberFormat="1" applyFont="1" applyFill="1" applyBorder="1" applyAlignment="1">
      <alignment vertical="center"/>
    </xf>
    <xf numFmtId="3" fontId="25" fillId="5" borderId="9" xfId="7" applyNumberFormat="1" applyFont="1" applyFill="1" applyBorder="1" applyAlignment="1">
      <alignment horizontal="right" vertical="center"/>
    </xf>
    <xf numFmtId="174" fontId="25" fillId="5" borderId="9" xfId="7" applyNumberFormat="1" applyFont="1" applyFill="1" applyBorder="1" applyAlignment="1">
      <alignment horizontal="right" vertical="center"/>
    </xf>
    <xf numFmtId="0" fontId="24" fillId="0" borderId="0" xfId="7" applyFont="1" applyAlignment="1">
      <alignment horizontal="left" vertical="center"/>
    </xf>
    <xf numFmtId="173" fontId="24" fillId="0" borderId="0" xfId="7" applyNumberFormat="1" applyFont="1" applyAlignment="1">
      <alignment horizontal="right" vertical="center"/>
    </xf>
    <xf numFmtId="3" fontId="24" fillId="0" borderId="0" xfId="7" applyNumberFormat="1" applyFont="1" applyAlignment="1">
      <alignment vertical="center"/>
    </xf>
    <xf numFmtId="3" fontId="24" fillId="0" borderId="0" xfId="7" applyNumberFormat="1" applyFont="1" applyAlignment="1">
      <alignment horizontal="right" vertical="center"/>
    </xf>
    <xf numFmtId="174" fontId="24" fillId="0" borderId="0" xfId="7" applyNumberFormat="1" applyFont="1" applyAlignment="1">
      <alignment horizontal="right" vertical="center"/>
    </xf>
    <xf numFmtId="0" fontId="15" fillId="0" borderId="0" xfId="7" applyFont="1" applyAlignment="1">
      <alignment horizontal="left" vertical="center"/>
    </xf>
    <xf numFmtId="0" fontId="24" fillId="0" borderId="9" xfId="7" applyFont="1" applyBorder="1" applyAlignment="1">
      <alignment horizontal="left" vertical="center"/>
    </xf>
    <xf numFmtId="173" fontId="24" fillId="0" borderId="9" xfId="7" applyNumberFormat="1" applyFont="1" applyBorder="1" applyAlignment="1">
      <alignment horizontal="right" vertical="center"/>
    </xf>
    <xf numFmtId="3" fontId="24" fillId="0" borderId="9" xfId="7" applyNumberFormat="1" applyFont="1" applyBorder="1" applyAlignment="1">
      <alignment vertical="center"/>
    </xf>
    <xf numFmtId="3" fontId="24" fillId="0" borderId="9" xfId="7" applyNumberFormat="1" applyFont="1" applyBorder="1" applyAlignment="1">
      <alignment horizontal="right" vertical="center"/>
    </xf>
    <xf numFmtId="174" fontId="24" fillId="0" borderId="9" xfId="7" applyNumberFormat="1" applyFont="1" applyBorder="1" applyAlignment="1">
      <alignment horizontal="right" vertical="center"/>
    </xf>
    <xf numFmtId="0" fontId="24" fillId="0" borderId="1" xfId="7" applyFont="1" applyBorder="1" applyAlignment="1">
      <alignment horizontal="left" vertical="center"/>
    </xf>
    <xf numFmtId="173" fontId="24" fillId="0" borderId="1" xfId="7" applyNumberFormat="1" applyFont="1" applyBorder="1" applyAlignment="1">
      <alignment horizontal="right" vertical="center"/>
    </xf>
    <xf numFmtId="3" fontId="24" fillId="0" borderId="1" xfId="7" applyNumberFormat="1" applyFont="1" applyBorder="1" applyAlignment="1">
      <alignment vertical="center"/>
    </xf>
    <xf numFmtId="3" fontId="24" fillId="0" borderId="1" xfId="7" applyNumberFormat="1" applyFont="1" applyBorder="1" applyAlignment="1">
      <alignment horizontal="right" vertical="center"/>
    </xf>
    <xf numFmtId="174" fontId="24" fillId="0" borderId="1" xfId="7" applyNumberFormat="1" applyFont="1" applyBorder="1" applyAlignment="1">
      <alignment horizontal="right" vertical="center"/>
    </xf>
    <xf numFmtId="0" fontId="24" fillId="0" borderId="0" xfId="7" applyFont="1" applyAlignment="1">
      <alignment vertical="center"/>
    </xf>
    <xf numFmtId="174" fontId="24" fillId="0" borderId="0" xfId="7" applyNumberFormat="1" applyFont="1" applyAlignment="1">
      <alignment vertical="center"/>
    </xf>
    <xf numFmtId="0" fontId="25" fillId="5" borderId="2" xfId="7" applyFont="1" applyFill="1" applyBorder="1" applyAlignment="1">
      <alignment horizontal="left" vertical="center"/>
    </xf>
    <xf numFmtId="3" fontId="24" fillId="5" borderId="2" xfId="7" applyNumberFormat="1" applyFont="1" applyFill="1" applyBorder="1" applyAlignment="1">
      <alignment horizontal="right" vertical="center"/>
    </xf>
    <xf numFmtId="174" fontId="24" fillId="5" borderId="2" xfId="7" applyNumberFormat="1" applyFont="1" applyFill="1" applyBorder="1" applyAlignment="1">
      <alignment horizontal="right" vertical="center"/>
    </xf>
    <xf numFmtId="0" fontId="25" fillId="5" borderId="0" xfId="7" applyFont="1" applyFill="1" applyAlignment="1">
      <alignment horizontal="left" vertical="center"/>
    </xf>
    <xf numFmtId="3" fontId="24" fillId="5" borderId="0" xfId="7" applyNumberFormat="1" applyFont="1" applyFill="1" applyAlignment="1">
      <alignment horizontal="right" vertical="center"/>
    </xf>
    <xf numFmtId="174" fontId="24" fillId="5" borderId="0" xfId="7" applyNumberFormat="1" applyFont="1" applyFill="1" applyAlignment="1">
      <alignment horizontal="right" vertical="center"/>
    </xf>
    <xf numFmtId="0" fontId="25" fillId="5" borderId="1" xfId="7" applyFont="1" applyFill="1" applyBorder="1" applyAlignment="1">
      <alignment horizontal="left" vertical="center"/>
    </xf>
    <xf numFmtId="3" fontId="24" fillId="5" borderId="1" xfId="7" applyNumberFormat="1" applyFont="1" applyFill="1" applyBorder="1" applyAlignment="1">
      <alignment horizontal="right" vertical="center"/>
    </xf>
    <xf numFmtId="174" fontId="24" fillId="5" borderId="1" xfId="7" applyNumberFormat="1" applyFont="1" applyFill="1" applyBorder="1" applyAlignment="1">
      <alignment horizontal="right" vertical="center"/>
    </xf>
    <xf numFmtId="167" fontId="21" fillId="4" borderId="18" xfId="0" applyNumberFormat="1" applyFont="1" applyFill="1" applyBorder="1" applyAlignment="1">
      <alignment horizontal="center"/>
    </xf>
    <xf numFmtId="0" fontId="13" fillId="0" borderId="0" xfId="0" applyFont="1" applyAlignment="1">
      <alignment horizontal="left" vertical="center" wrapText="1" indent="3"/>
    </xf>
    <xf numFmtId="9" fontId="13" fillId="0" borderId="0" xfId="1" applyFont="1" applyBorder="1" applyAlignment="1">
      <alignment horizontal="left" vertical="center" wrapText="1" indent="3"/>
    </xf>
    <xf numFmtId="165" fontId="13" fillId="0" borderId="0" xfId="0" applyNumberFormat="1" applyFont="1" applyAlignment="1">
      <alignment vertical="center" wrapText="1"/>
    </xf>
    <xf numFmtId="165" fontId="13" fillId="0" borderId="1" xfId="0" applyNumberFormat="1" applyFont="1" applyBorder="1" applyAlignment="1">
      <alignment vertical="center" wrapText="1"/>
    </xf>
    <xf numFmtId="10" fontId="13" fillId="0" borderId="0" xfId="1" applyNumberFormat="1" applyFont="1" applyAlignment="1">
      <alignment horizontal="center"/>
    </xf>
    <xf numFmtId="10" fontId="16" fillId="0" borderId="12" xfId="1" applyNumberFormat="1" applyFont="1" applyBorder="1"/>
    <xf numFmtId="10" fontId="17" fillId="0" borderId="0" xfId="0" applyNumberFormat="1" applyFont="1"/>
    <xf numFmtId="168" fontId="1" fillId="0" borderId="3" xfId="0" applyNumberFormat="1" applyFont="1" applyBorder="1" applyAlignment="1">
      <alignment horizontal="left" wrapText="1" indent="3"/>
    </xf>
    <xf numFmtId="168" fontId="1" fillId="0" borderId="0" xfId="0" applyNumberFormat="1" applyFont="1"/>
    <xf numFmtId="168" fontId="1" fillId="0" borderId="11" xfId="0" applyNumberFormat="1" applyFont="1" applyBorder="1" applyAlignment="1">
      <alignment horizontal="centerContinuous"/>
    </xf>
    <xf numFmtId="9" fontId="15" fillId="0" borderId="1" xfId="1" applyFont="1" applyBorder="1" applyAlignment="1">
      <alignment horizontal="center" vertical="center" wrapText="1"/>
    </xf>
    <xf numFmtId="167" fontId="15" fillId="0" borderId="18" xfId="0" applyNumberFormat="1" applyFont="1" applyBorder="1" applyAlignment="1">
      <alignment horizontal="left"/>
    </xf>
    <xf numFmtId="0" fontId="16" fillId="0" borderId="7" xfId="0" applyFont="1" applyBorder="1" applyAlignment="1">
      <alignment vertical="center" wrapText="1"/>
    </xf>
    <xf numFmtId="169" fontId="24" fillId="0" borderId="0" xfId="4" applyNumberFormat="1" applyFont="1" applyBorder="1"/>
    <xf numFmtId="169" fontId="26" fillId="0" borderId="0" xfId="4" applyNumberFormat="1" applyFont="1" applyFill="1"/>
    <xf numFmtId="169" fontId="26" fillId="0" borderId="0" xfId="4" applyNumberFormat="1" applyFont="1" applyFill="1" applyBorder="1"/>
    <xf numFmtId="169" fontId="26" fillId="0" borderId="0" xfId="4" applyNumberFormat="1" applyFont="1" applyFill="1" applyBorder="1" applyAlignment="1">
      <alignment horizontal="centerContinuous"/>
    </xf>
    <xf numFmtId="169" fontId="27" fillId="0" borderId="0" xfId="4" applyNumberFormat="1" applyFont="1" applyFill="1" applyBorder="1" applyAlignment="1">
      <alignment horizontal="centerContinuous"/>
    </xf>
    <xf numFmtId="169" fontId="24" fillId="0" borderId="0" xfId="4" applyNumberFormat="1" applyFont="1" applyFill="1"/>
    <xf numFmtId="169" fontId="21" fillId="0" borderId="0" xfId="4" applyNumberFormat="1" applyFont="1" applyFill="1" applyAlignment="1"/>
    <xf numFmtId="166" fontId="21" fillId="3" borderId="8" xfId="0" applyNumberFormat="1" applyFont="1" applyFill="1" applyBorder="1" applyAlignment="1">
      <alignment horizontal="center"/>
    </xf>
    <xf numFmtId="167" fontId="21" fillId="4" borderId="8" xfId="0" applyNumberFormat="1" applyFont="1" applyFill="1" applyBorder="1" applyAlignment="1">
      <alignment horizontal="center"/>
    </xf>
    <xf numFmtId="169" fontId="24" fillId="0" borderId="0" xfId="4" applyNumberFormat="1" applyFont="1"/>
    <xf numFmtId="169" fontId="28" fillId="0" borderId="0" xfId="4" applyNumberFormat="1" applyFont="1" applyAlignment="1">
      <alignment horizontal="right"/>
    </xf>
    <xf numFmtId="37" fontId="21" fillId="7" borderId="0" xfId="5" applyNumberFormat="1" applyFont="1" applyFill="1" applyAlignment="1">
      <alignment vertical="center"/>
    </xf>
    <xf numFmtId="37" fontId="21" fillId="0" borderId="0" xfId="5" applyNumberFormat="1" applyFont="1" applyAlignment="1">
      <alignment vertical="center"/>
    </xf>
    <xf numFmtId="169" fontId="24" fillId="0" borderId="0" xfId="4" applyNumberFormat="1" applyFont="1" applyFill="1" applyBorder="1"/>
    <xf numFmtId="169" fontId="29" fillId="0" borderId="0" xfId="4" applyNumberFormat="1" applyFont="1"/>
    <xf numFmtId="164" fontId="24" fillId="0" borderId="0" xfId="4" applyNumberFormat="1" applyFont="1" applyFill="1" applyBorder="1"/>
    <xf numFmtId="164" fontId="24" fillId="0" borderId="0" xfId="4" applyNumberFormat="1" applyFont="1"/>
    <xf numFmtId="164" fontId="30" fillId="6" borderId="17" xfId="4" applyNumberFormat="1" applyFont="1" applyFill="1" applyBorder="1"/>
    <xf numFmtId="164" fontId="26" fillId="0" borderId="0" xfId="6" applyNumberFormat="1" applyFont="1" applyFill="1" applyBorder="1"/>
    <xf numFmtId="169" fontId="24" fillId="0" borderId="0" xfId="4" quotePrefix="1" applyNumberFormat="1" applyFont="1"/>
    <xf numFmtId="169" fontId="24" fillId="0" borderId="0" xfId="4" quotePrefix="1" applyNumberFormat="1" applyFont="1" applyFill="1" applyBorder="1"/>
    <xf numFmtId="169" fontId="29" fillId="0" borderId="0" xfId="4" applyNumberFormat="1" applyFont="1" applyFill="1"/>
    <xf numFmtId="164" fontId="26" fillId="0" borderId="0" xfId="1" applyNumberFormat="1" applyFont="1" applyFill="1"/>
    <xf numFmtId="169" fontId="24" fillId="0" borderId="0" xfId="4" quotePrefix="1" applyNumberFormat="1" applyFont="1" applyFill="1"/>
    <xf numFmtId="169" fontId="31" fillId="0" borderId="0" xfId="4" applyNumberFormat="1" applyFont="1"/>
    <xf numFmtId="169" fontId="30" fillId="0" borderId="0" xfId="4" applyNumberFormat="1" applyFont="1"/>
    <xf numFmtId="169" fontId="26" fillId="0" borderId="2" xfId="4" applyNumberFormat="1" applyFont="1" applyBorder="1"/>
    <xf numFmtId="169" fontId="26" fillId="0" borderId="0" xfId="4" applyNumberFormat="1" applyFont="1"/>
    <xf numFmtId="174" fontId="30" fillId="6" borderId="17" xfId="4" applyNumberFormat="1" applyFont="1" applyFill="1" applyBorder="1"/>
    <xf numFmtId="4" fontId="30" fillId="6" borderId="17" xfId="4" applyNumberFormat="1" applyFont="1" applyFill="1" applyBorder="1"/>
    <xf numFmtId="37" fontId="32" fillId="0" borderId="0" xfId="5" applyNumberFormat="1" applyFont="1" applyAlignment="1">
      <alignment vertical="center"/>
    </xf>
    <xf numFmtId="37" fontId="31" fillId="0" borderId="0" xfId="5" applyNumberFormat="1" applyFont="1" applyAlignment="1">
      <alignment vertical="center"/>
    </xf>
    <xf numFmtId="169" fontId="31" fillId="0" borderId="0" xfId="4" applyNumberFormat="1" applyFont="1" applyFill="1"/>
    <xf numFmtId="169" fontId="26" fillId="0" borderId="0" xfId="4" applyNumberFormat="1" applyFont="1" applyBorder="1"/>
    <xf numFmtId="171" fontId="26" fillId="0" borderId="0" xfId="4" applyNumberFormat="1" applyFont="1" applyFill="1" applyBorder="1"/>
    <xf numFmtId="169" fontId="31" fillId="0" borderId="2" xfId="4" applyNumberFormat="1" applyFont="1" applyBorder="1"/>
    <xf numFmtId="169" fontId="32" fillId="0" borderId="0" xfId="4" applyNumberFormat="1" applyFont="1" applyBorder="1"/>
    <xf numFmtId="9" fontId="32" fillId="0" borderId="0" xfId="1" applyFont="1" applyBorder="1"/>
    <xf numFmtId="9" fontId="32" fillId="0" borderId="0" xfId="1" applyFont="1"/>
    <xf numFmtId="169" fontId="31" fillId="0" borderId="0" xfId="4" applyNumberFormat="1" applyFont="1" applyBorder="1"/>
    <xf numFmtId="169" fontId="26" fillId="0" borderId="0" xfId="4" applyNumberFormat="1" applyFont="1" applyAlignment="1">
      <alignment horizontal="left" indent="1"/>
    </xf>
    <xf numFmtId="169" fontId="32" fillId="0" borderId="0" xfId="4" applyNumberFormat="1" applyFont="1"/>
    <xf numFmtId="171" fontId="26" fillId="0" borderId="0" xfId="4" applyNumberFormat="1" applyFont="1" applyFill="1"/>
    <xf numFmtId="171" fontId="26" fillId="0" borderId="0" xfId="4" applyNumberFormat="1" applyFont="1"/>
    <xf numFmtId="169" fontId="25" fillId="0" borderId="7" xfId="4" applyNumberFormat="1" applyFont="1" applyBorder="1"/>
    <xf numFmtId="169" fontId="31" fillId="0" borderId="7" xfId="4" applyNumberFormat="1" applyFont="1" applyBorder="1"/>
    <xf numFmtId="171" fontId="24" fillId="8" borderId="0" xfId="4" applyNumberFormat="1" applyFont="1" applyFill="1"/>
    <xf numFmtId="171" fontId="24" fillId="0" borderId="0" xfId="4" applyNumberFormat="1" applyFont="1"/>
    <xf numFmtId="169" fontId="24" fillId="8" borderId="0" xfId="4" applyNumberFormat="1" applyFont="1" applyFill="1"/>
    <xf numFmtId="169" fontId="25" fillId="0" borderId="0" xfId="4" applyNumberFormat="1" applyFont="1"/>
    <xf numFmtId="169" fontId="28" fillId="0" borderId="0" xfId="4" applyNumberFormat="1" applyFont="1"/>
    <xf numFmtId="169" fontId="33" fillId="0" borderId="0" xfId="4" applyNumberFormat="1" applyFont="1"/>
    <xf numFmtId="172" fontId="24" fillId="0" borderId="0" xfId="4" applyNumberFormat="1" applyFont="1"/>
    <xf numFmtId="169" fontId="25" fillId="0" borderId="2" xfId="4" applyNumberFormat="1" applyFont="1" applyBorder="1"/>
    <xf numFmtId="169" fontId="24" fillId="0" borderId="2" xfId="4" applyNumberFormat="1" applyFont="1" applyBorder="1"/>
    <xf numFmtId="169" fontId="25" fillId="0" borderId="0" xfId="4" applyNumberFormat="1" applyFont="1" applyBorder="1"/>
    <xf numFmtId="172" fontId="24" fillId="0" borderId="0" xfId="4" applyNumberFormat="1" applyFont="1" applyBorder="1"/>
    <xf numFmtId="164" fontId="28" fillId="0" borderId="0" xfId="4" applyNumberFormat="1" applyFont="1"/>
    <xf numFmtId="169" fontId="28" fillId="0" borderId="0" xfId="4" applyNumberFormat="1" applyFont="1" applyBorder="1"/>
    <xf numFmtId="169" fontId="24" fillId="8" borderId="2" xfId="4" applyNumberFormat="1" applyFont="1" applyFill="1" applyBorder="1"/>
    <xf numFmtId="169" fontId="25" fillId="8" borderId="0" xfId="4" applyNumberFormat="1" applyFont="1" applyFill="1"/>
    <xf numFmtId="0" fontId="34" fillId="0" borderId="0" xfId="0" applyFont="1"/>
    <xf numFmtId="1" fontId="30" fillId="6" borderId="17" xfId="4" applyNumberFormat="1" applyFont="1" applyFill="1" applyBorder="1"/>
    <xf numFmtId="0" fontId="35" fillId="0" borderId="0" xfId="0" applyFont="1"/>
    <xf numFmtId="169" fontId="28" fillId="0" borderId="0" xfId="4" quotePrefix="1" applyNumberFormat="1" applyFont="1"/>
    <xf numFmtId="169" fontId="24" fillId="0" borderId="0" xfId="4" applyNumberFormat="1" applyFont="1" applyAlignment="1">
      <alignment horizontal="left" indent="1"/>
    </xf>
    <xf numFmtId="164" fontId="26" fillId="0" borderId="0" xfId="4" applyNumberFormat="1" applyFont="1"/>
    <xf numFmtId="9" fontId="26" fillId="0" borderId="0" xfId="4" applyNumberFormat="1" applyFont="1"/>
    <xf numFmtId="1" fontId="30" fillId="0" borderId="0" xfId="4" applyNumberFormat="1" applyFont="1" applyFill="1" applyBorder="1"/>
    <xf numFmtId="169" fontId="26" fillId="0" borderId="2" xfId="4" applyNumberFormat="1" applyFont="1" applyFill="1" applyBorder="1"/>
    <xf numFmtId="0" fontId="26" fillId="0" borderId="0" xfId="0" applyFont="1" applyAlignment="1">
      <alignment vertical="justify"/>
    </xf>
    <xf numFmtId="0" fontId="26" fillId="0" borderId="2" xfId="0" applyFont="1" applyBorder="1" applyAlignment="1">
      <alignment vertical="justify"/>
    </xf>
    <xf numFmtId="2" fontId="13" fillId="0" borderId="0" xfId="0" applyNumberFormat="1" applyFont="1"/>
    <xf numFmtId="169" fontId="24" fillId="0" borderId="0" xfId="4" applyNumberFormat="1" applyFont="1" applyBorder="1" applyAlignment="1">
      <alignment horizontal="center"/>
    </xf>
    <xf numFmtId="169" fontId="26" fillId="0" borderId="0" xfId="4" applyNumberFormat="1" applyFont="1" applyFill="1" applyAlignment="1">
      <alignment horizontal="center"/>
    </xf>
    <xf numFmtId="169" fontId="24" fillId="0" borderId="0" xfId="4" applyNumberFormat="1" applyFont="1" applyFill="1" applyAlignment="1">
      <alignment horizontal="center"/>
    </xf>
    <xf numFmtId="169" fontId="24" fillId="0" borderId="0" xfId="4" applyNumberFormat="1" applyFont="1" applyAlignment="1">
      <alignment horizontal="center"/>
    </xf>
    <xf numFmtId="169" fontId="24" fillId="0" borderId="0" xfId="4" applyNumberFormat="1" applyFont="1" applyFill="1" applyBorder="1" applyAlignment="1">
      <alignment horizontal="center"/>
    </xf>
    <xf numFmtId="169" fontId="26" fillId="0" borderId="0" xfId="4" applyNumberFormat="1" applyFont="1" applyAlignment="1">
      <alignment horizontal="center"/>
    </xf>
    <xf numFmtId="169" fontId="25" fillId="0" borderId="0" xfId="4" applyNumberFormat="1" applyFont="1" applyAlignment="1">
      <alignment horizontal="center"/>
    </xf>
    <xf numFmtId="169" fontId="28" fillId="0" borderId="0" xfId="4" applyNumberFormat="1" applyFont="1" applyAlignment="1">
      <alignment horizontal="center"/>
    </xf>
    <xf numFmtId="176" fontId="24" fillId="0" borderId="0" xfId="4" applyNumberFormat="1" applyFont="1"/>
    <xf numFmtId="10" fontId="30" fillId="6" borderId="17" xfId="4" applyNumberFormat="1" applyFont="1" applyFill="1" applyBorder="1"/>
    <xf numFmtId="0" fontId="16" fillId="0" borderId="0" xfId="0" applyFont="1" applyAlignment="1">
      <alignment horizontal="centerContinuous"/>
    </xf>
    <xf numFmtId="0" fontId="36" fillId="0" borderId="0" xfId="0" applyFont="1" applyAlignment="1">
      <alignment horizontal="centerContinuous"/>
    </xf>
    <xf numFmtId="9" fontId="16" fillId="0" borderId="0" xfId="1" applyFont="1" applyAlignment="1">
      <alignment horizontal="center"/>
    </xf>
    <xf numFmtId="2" fontId="16" fillId="0" borderId="0" xfId="0" applyNumberFormat="1" applyFont="1" applyAlignment="1">
      <alignment horizontal="center"/>
    </xf>
    <xf numFmtId="4" fontId="25" fillId="5" borderId="9" xfId="7" applyNumberFormat="1" applyFont="1" applyFill="1" applyBorder="1" applyAlignment="1">
      <alignment vertical="center"/>
    </xf>
    <xf numFmtId="170" fontId="25" fillId="5" borderId="9" xfId="7" applyNumberFormat="1" applyFont="1" applyFill="1" applyBorder="1" applyAlignment="1">
      <alignment horizontal="right" vertical="center"/>
    </xf>
    <xf numFmtId="170" fontId="24" fillId="0" borderId="9" xfId="7" applyNumberFormat="1" applyFont="1" applyBorder="1" applyAlignment="1">
      <alignment horizontal="right" vertical="center"/>
    </xf>
    <xf numFmtId="170" fontId="24" fillId="0" borderId="1" xfId="7" applyNumberFormat="1" applyFont="1" applyBorder="1" applyAlignment="1">
      <alignment horizontal="right" vertical="center"/>
    </xf>
    <xf numFmtId="170" fontId="24" fillId="0" borderId="0" xfId="7" applyNumberFormat="1" applyFont="1" applyAlignment="1">
      <alignment vertical="center"/>
    </xf>
    <xf numFmtId="170" fontId="24" fillId="5" borderId="2" xfId="7" applyNumberFormat="1" applyFont="1" applyFill="1" applyBorder="1" applyAlignment="1">
      <alignment horizontal="right" vertical="center"/>
    </xf>
    <xf numFmtId="170" fontId="24" fillId="5" borderId="0" xfId="7" applyNumberFormat="1" applyFont="1" applyFill="1" applyAlignment="1">
      <alignment horizontal="right" vertical="center"/>
    </xf>
    <xf numFmtId="170" fontId="24" fillId="5" borderId="1" xfId="7" applyNumberFormat="1" applyFont="1" applyFill="1" applyBorder="1" applyAlignment="1">
      <alignment horizontal="right" vertical="center"/>
    </xf>
    <xf numFmtId="4" fontId="24" fillId="0" borderId="9" xfId="7" applyNumberFormat="1" applyFont="1" applyBorder="1" applyAlignment="1">
      <alignment vertical="center"/>
    </xf>
    <xf numFmtId="4" fontId="24" fillId="0" borderId="1" xfId="7" applyNumberFormat="1" applyFont="1" applyBorder="1" applyAlignment="1">
      <alignment vertical="center"/>
    </xf>
    <xf numFmtId="4" fontId="24" fillId="0" borderId="0" xfId="7" applyNumberFormat="1" applyFont="1" applyAlignment="1">
      <alignment vertical="center"/>
    </xf>
    <xf numFmtId="4" fontId="24" fillId="5" borderId="2" xfId="7" applyNumberFormat="1" applyFont="1" applyFill="1" applyBorder="1" applyAlignment="1">
      <alignment horizontal="right" vertical="center"/>
    </xf>
    <xf numFmtId="4" fontId="24" fillId="5" borderId="0" xfId="7" applyNumberFormat="1" applyFont="1" applyFill="1" applyAlignment="1">
      <alignment horizontal="right" vertical="center"/>
    </xf>
    <xf numFmtId="4" fontId="24" fillId="5" borderId="1" xfId="7" applyNumberFormat="1" applyFont="1" applyFill="1" applyBorder="1" applyAlignment="1">
      <alignment horizontal="right" vertical="center"/>
    </xf>
    <xf numFmtId="0" fontId="24" fillId="0" borderId="0" xfId="9" applyFont="1"/>
    <xf numFmtId="0" fontId="25" fillId="0" borderId="0" xfId="9" applyFont="1"/>
    <xf numFmtId="0" fontId="24" fillId="0" borderId="0" xfId="9" applyFont="1" applyAlignment="1">
      <alignment horizontal="right"/>
    </xf>
    <xf numFmtId="170" fontId="24" fillId="0" borderId="0" xfId="9" applyNumberFormat="1" applyFont="1" applyAlignment="1">
      <alignment horizontal="right"/>
    </xf>
    <xf numFmtId="175" fontId="24" fillId="0" borderId="0" xfId="9" applyNumberFormat="1" applyFont="1"/>
    <xf numFmtId="43" fontId="24" fillId="0" borderId="0" xfId="9" applyNumberFormat="1" applyFont="1"/>
    <xf numFmtId="169" fontId="37" fillId="0" borderId="0" xfId="10" applyNumberFormat="1" applyFont="1"/>
    <xf numFmtId="175" fontId="38" fillId="0" borderId="0" xfId="10" applyNumberFormat="1" applyFont="1" applyAlignment="1">
      <alignment horizontal="right"/>
    </xf>
    <xf numFmtId="170" fontId="24" fillId="0" borderId="0" xfId="9" applyNumberFormat="1" applyFont="1"/>
    <xf numFmtId="0" fontId="25" fillId="0" borderId="0" xfId="9" applyFont="1" applyAlignment="1">
      <alignment horizontal="right"/>
    </xf>
    <xf numFmtId="175" fontId="24" fillId="0" borderId="0" xfId="9" quotePrefix="1" applyNumberFormat="1" applyFont="1"/>
    <xf numFmtId="43" fontId="30" fillId="0" borderId="0" xfId="9" applyNumberFormat="1" applyFont="1"/>
    <xf numFmtId="171" fontId="24" fillId="0" borderId="0" xfId="11" applyNumberFormat="1" applyFont="1"/>
    <xf numFmtId="0" fontId="16" fillId="0" borderId="0" xfId="0" applyFont="1" applyAlignment="1">
      <alignment horizontal="center"/>
    </xf>
    <xf numFmtId="166" fontId="21" fillId="0" borderId="0" xfId="0" applyNumberFormat="1" applyFont="1" applyAlignment="1">
      <alignment horizontal="center"/>
    </xf>
    <xf numFmtId="166" fontId="21" fillId="0" borderId="13" xfId="0" applyNumberFormat="1" applyFont="1" applyBorder="1" applyAlignment="1">
      <alignment horizontal="center"/>
    </xf>
    <xf numFmtId="166" fontId="21" fillId="0" borderId="15" xfId="0" applyNumberFormat="1" applyFont="1" applyBorder="1" applyAlignment="1">
      <alignment horizontal="center"/>
    </xf>
    <xf numFmtId="0" fontId="16" fillId="0" borderId="13" xfId="0" applyFont="1" applyBorder="1"/>
    <xf numFmtId="0" fontId="16" fillId="0" borderId="15" xfId="0" applyFont="1" applyBorder="1"/>
    <xf numFmtId="0" fontId="32" fillId="0" borderId="0" xfId="0" applyFont="1" applyAlignment="1">
      <alignment vertical="justify"/>
    </xf>
    <xf numFmtId="9" fontId="13" fillId="0" borderId="13" xfId="0" applyNumberFormat="1" applyFont="1" applyBorder="1"/>
    <xf numFmtId="9" fontId="13" fillId="0" borderId="0" xfId="0" applyNumberFormat="1" applyFont="1"/>
    <xf numFmtId="9" fontId="13" fillId="0" borderId="15" xfId="0" applyNumberFormat="1" applyFont="1" applyBorder="1"/>
    <xf numFmtId="2" fontId="13" fillId="0" borderId="13" xfId="1" applyNumberFormat="1" applyFont="1" applyBorder="1"/>
    <xf numFmtId="2" fontId="13" fillId="0" borderId="0" xfId="1" applyNumberFormat="1" applyFont="1"/>
    <xf numFmtId="2" fontId="13" fillId="0" borderId="15" xfId="1" applyNumberFormat="1" applyFont="1" applyBorder="1"/>
    <xf numFmtId="2" fontId="13" fillId="0" borderId="0" xfId="1" applyNumberFormat="1" applyFont="1" applyBorder="1"/>
    <xf numFmtId="0" fontId="32" fillId="0" borderId="2" xfId="0" applyFont="1" applyBorder="1" applyAlignment="1">
      <alignment vertical="justify"/>
    </xf>
    <xf numFmtId="9" fontId="13" fillId="0" borderId="14" xfId="0" applyNumberFormat="1" applyFont="1" applyBorder="1"/>
    <xf numFmtId="9" fontId="13" fillId="0" borderId="2" xfId="0" applyNumberFormat="1" applyFont="1" applyBorder="1"/>
    <xf numFmtId="9" fontId="13" fillId="0" borderId="16" xfId="0" applyNumberFormat="1" applyFont="1" applyBorder="1"/>
    <xf numFmtId="2" fontId="13" fillId="0" borderId="13" xfId="0" applyNumberFormat="1" applyFont="1" applyBorder="1"/>
    <xf numFmtId="2" fontId="13" fillId="0" borderId="15" xfId="0" applyNumberFormat="1" applyFont="1" applyBorder="1"/>
    <xf numFmtId="0" fontId="39" fillId="0" borderId="7" xfId="0" applyFont="1" applyBorder="1" applyAlignment="1">
      <alignment vertical="justify"/>
    </xf>
    <xf numFmtId="9" fontId="16" fillId="0" borderId="20" xfId="0" applyNumberFormat="1" applyFont="1" applyBorder="1"/>
    <xf numFmtId="9" fontId="16" fillId="0" borderId="7" xfId="0" applyNumberFormat="1" applyFont="1" applyBorder="1"/>
    <xf numFmtId="9" fontId="16" fillId="0" borderId="19" xfId="0" applyNumberFormat="1" applyFont="1" applyBorder="1"/>
    <xf numFmtId="0" fontId="13" fillId="0" borderId="13" xfId="0" applyFont="1" applyBorder="1"/>
    <xf numFmtId="0" fontId="13" fillId="0" borderId="15" xfId="0" applyFont="1" applyBorder="1"/>
    <xf numFmtId="0" fontId="39" fillId="0" borderId="0" xfId="0" applyFont="1" applyAlignment="1">
      <alignment vertical="justify"/>
    </xf>
    <xf numFmtId="9" fontId="13" fillId="0" borderId="13" xfId="1" applyFont="1" applyBorder="1"/>
    <xf numFmtId="9" fontId="13" fillId="0" borderId="15" xfId="1" applyFont="1" applyBorder="1"/>
    <xf numFmtId="9" fontId="13" fillId="0" borderId="0" xfId="1" applyFont="1" applyBorder="1"/>
    <xf numFmtId="4" fontId="13" fillId="0" borderId="13" xfId="0" applyNumberFormat="1" applyFont="1" applyBorder="1"/>
    <xf numFmtId="4" fontId="13" fillId="0" borderId="0" xfId="0" applyNumberFormat="1" applyFont="1"/>
    <xf numFmtId="4" fontId="13" fillId="0" borderId="15" xfId="0" applyNumberFormat="1" applyFont="1" applyBorder="1"/>
    <xf numFmtId="4" fontId="13" fillId="0" borderId="13" xfId="0" applyNumberFormat="1" applyFont="1" applyBorder="1" applyAlignment="1">
      <alignment horizontal="right"/>
    </xf>
    <xf numFmtId="4" fontId="16" fillId="0" borderId="20" xfId="0" applyNumberFormat="1" applyFont="1" applyBorder="1"/>
    <xf numFmtId="4" fontId="16" fillId="0" borderId="7" xfId="0" applyNumberFormat="1" applyFont="1" applyBorder="1"/>
    <xf numFmtId="4" fontId="16" fillId="0" borderId="19" xfId="0" applyNumberFormat="1" applyFont="1" applyBorder="1"/>
    <xf numFmtId="4" fontId="16" fillId="0" borderId="20" xfId="0" applyNumberFormat="1" applyFont="1" applyBorder="1" applyAlignment="1">
      <alignment horizontal="right"/>
    </xf>
    <xf numFmtId="2" fontId="13" fillId="0" borderId="13" xfId="0" applyNumberFormat="1" applyFont="1" applyBorder="1" applyAlignment="1">
      <alignment horizontal="right"/>
    </xf>
    <xf numFmtId="0" fontId="32" fillId="0" borderId="1" xfId="0" applyFont="1" applyBorder="1" applyAlignment="1">
      <alignment vertical="justify"/>
    </xf>
    <xf numFmtId="9" fontId="13" fillId="0" borderId="22" xfId="1" applyFont="1" applyBorder="1"/>
    <xf numFmtId="9" fontId="13" fillId="0" borderId="1" xfId="1" applyFont="1" applyBorder="1"/>
    <xf numFmtId="9" fontId="13" fillId="0" borderId="21" xfId="1" applyFont="1" applyBorder="1"/>
    <xf numFmtId="9" fontId="16" fillId="0" borderId="20" xfId="1" applyFont="1" applyBorder="1"/>
    <xf numFmtId="9" fontId="16" fillId="0" borderId="7" xfId="1" applyFont="1" applyBorder="1"/>
    <xf numFmtId="9" fontId="16" fillId="0" borderId="19" xfId="1" applyFont="1" applyBorder="1"/>
    <xf numFmtId="166" fontId="40" fillId="3" borderId="8" xfId="0" applyNumberFormat="1" applyFont="1" applyFill="1" applyBorder="1" applyAlignment="1">
      <alignment horizontal="center"/>
    </xf>
    <xf numFmtId="0" fontId="31" fillId="0" borderId="0" xfId="0" applyFont="1"/>
    <xf numFmtId="166" fontId="40" fillId="3" borderId="13" xfId="0" applyNumberFormat="1" applyFont="1" applyFill="1" applyBorder="1" applyAlignment="1">
      <alignment horizontal="center"/>
    </xf>
    <xf numFmtId="166" fontId="40" fillId="3" borderId="23" xfId="0" applyNumberFormat="1" applyFont="1" applyFill="1" applyBorder="1" applyAlignment="1">
      <alignment horizontal="center"/>
    </xf>
    <xf numFmtId="166" fontId="40" fillId="3" borderId="0" xfId="0" applyNumberFormat="1" applyFont="1" applyFill="1" applyAlignment="1">
      <alignment horizontal="center"/>
    </xf>
    <xf numFmtId="166" fontId="40" fillId="3" borderId="15" xfId="0" applyNumberFormat="1" applyFont="1" applyFill="1" applyBorder="1" applyAlignment="1">
      <alignment horizontal="center"/>
    </xf>
    <xf numFmtId="0" fontId="15" fillId="0" borderId="0" xfId="0" applyFont="1"/>
    <xf numFmtId="0" fontId="15" fillId="0" borderId="24" xfId="0" applyFont="1" applyBorder="1"/>
    <xf numFmtId="9" fontId="13" fillId="0" borderId="13" xfId="0" applyNumberFormat="1" applyFont="1" applyBorder="1" applyAlignment="1">
      <alignment horizontal="center"/>
    </xf>
    <xf numFmtId="9" fontId="13" fillId="0" borderId="15" xfId="0" applyNumberFormat="1" applyFont="1" applyBorder="1" applyAlignment="1">
      <alignment horizontal="center"/>
    </xf>
    <xf numFmtId="9" fontId="13" fillId="0" borderId="0" xfId="0" applyNumberFormat="1" applyFont="1" applyAlignment="1">
      <alignment horizontal="center"/>
    </xf>
    <xf numFmtId="2" fontId="13" fillId="0" borderId="13" xfId="1" applyNumberFormat="1" applyFont="1" applyBorder="1" applyAlignment="1">
      <alignment horizontal="center"/>
    </xf>
    <xf numFmtId="2" fontId="13" fillId="0" borderId="15" xfId="1" applyNumberFormat="1" applyFont="1" applyBorder="1" applyAlignment="1">
      <alignment horizontal="center"/>
    </xf>
    <xf numFmtId="2" fontId="13" fillId="0" borderId="0" xfId="1" applyNumberFormat="1" applyFont="1" applyAlignment="1">
      <alignment horizontal="center"/>
    </xf>
    <xf numFmtId="9" fontId="13" fillId="0" borderId="14" xfId="0" applyNumberFormat="1" applyFont="1" applyBorder="1" applyAlignment="1">
      <alignment horizontal="center"/>
    </xf>
    <xf numFmtId="9" fontId="13" fillId="0" borderId="16" xfId="0" applyNumberFormat="1" applyFont="1" applyBorder="1" applyAlignment="1">
      <alignment horizontal="center"/>
    </xf>
    <xf numFmtId="9" fontId="13" fillId="0" borderId="2" xfId="0" applyNumberFormat="1" applyFont="1" applyBorder="1" applyAlignment="1">
      <alignment horizontal="center"/>
    </xf>
    <xf numFmtId="2" fontId="13" fillId="0" borderId="13" xfId="0" applyNumberFormat="1" applyFont="1" applyBorder="1" applyAlignment="1">
      <alignment horizontal="center"/>
    </xf>
    <xf numFmtId="2" fontId="13" fillId="0" borderId="15" xfId="0" applyNumberFormat="1" applyFont="1" applyBorder="1" applyAlignment="1">
      <alignment horizontal="center"/>
    </xf>
    <xf numFmtId="2" fontId="13" fillId="0" borderId="0" xfId="0" applyNumberFormat="1" applyFont="1" applyAlignment="1">
      <alignment horizontal="center"/>
    </xf>
    <xf numFmtId="9" fontId="16" fillId="0" borderId="20" xfId="0" applyNumberFormat="1" applyFont="1" applyBorder="1" applyAlignment="1">
      <alignment horizontal="center"/>
    </xf>
    <xf numFmtId="9" fontId="16" fillId="0" borderId="19" xfId="0" applyNumberFormat="1" applyFont="1" applyBorder="1" applyAlignment="1">
      <alignment horizontal="center"/>
    </xf>
    <xf numFmtId="9" fontId="16" fillId="0" borderId="7" xfId="0" applyNumberFormat="1" applyFont="1" applyBorder="1" applyAlignment="1">
      <alignment horizontal="center"/>
    </xf>
    <xf numFmtId="0" fontId="13" fillId="0" borderId="13" xfId="0" applyFont="1" applyBorder="1" applyAlignment="1">
      <alignment horizontal="center"/>
    </xf>
    <xf numFmtId="0" fontId="13" fillId="0" borderId="15" xfId="0" applyFont="1" applyBorder="1" applyAlignment="1">
      <alignment horizontal="center"/>
    </xf>
    <xf numFmtId="0" fontId="16" fillId="0" borderId="13" xfId="0" applyFont="1" applyBorder="1" applyAlignment="1">
      <alignment horizontal="center"/>
    </xf>
    <xf numFmtId="0" fontId="16" fillId="0" borderId="15" xfId="0" applyFont="1" applyBorder="1" applyAlignment="1">
      <alignment horizontal="center"/>
    </xf>
    <xf numFmtId="9" fontId="13" fillId="0" borderId="13" xfId="1" applyFont="1" applyBorder="1" applyAlignment="1">
      <alignment horizontal="center"/>
    </xf>
    <xf numFmtId="9" fontId="13" fillId="0" borderId="15" xfId="1" applyFont="1" applyBorder="1" applyAlignment="1">
      <alignment horizontal="center"/>
    </xf>
    <xf numFmtId="4" fontId="13" fillId="0" borderId="13" xfId="0" applyNumberFormat="1" applyFont="1" applyBorder="1" applyAlignment="1">
      <alignment horizontal="center"/>
    </xf>
    <xf numFmtId="4" fontId="13" fillId="0" borderId="15" xfId="0" applyNumberFormat="1" applyFont="1" applyBorder="1" applyAlignment="1">
      <alignment horizontal="center"/>
    </xf>
    <xf numFmtId="4" fontId="13" fillId="0" borderId="0" xfId="0" applyNumberFormat="1" applyFont="1" applyAlignment="1">
      <alignment horizontal="center"/>
    </xf>
    <xf numFmtId="4" fontId="16" fillId="0" borderId="20" xfId="0" applyNumberFormat="1" applyFont="1" applyBorder="1" applyAlignment="1">
      <alignment horizontal="center"/>
    </xf>
    <xf numFmtId="4" fontId="16" fillId="0" borderId="19" xfId="0" applyNumberFormat="1" applyFont="1" applyBorder="1" applyAlignment="1">
      <alignment horizontal="center"/>
    </xf>
    <xf numFmtId="4" fontId="16" fillId="0" borderId="7" xfId="0" applyNumberFormat="1" applyFont="1" applyBorder="1" applyAlignment="1">
      <alignment horizontal="center"/>
    </xf>
    <xf numFmtId="9" fontId="13" fillId="0" borderId="22" xfId="1" applyFont="1" applyBorder="1" applyAlignment="1">
      <alignment horizontal="center"/>
    </xf>
    <xf numFmtId="9" fontId="13" fillId="0" borderId="21" xfId="1" applyFont="1" applyBorder="1" applyAlignment="1">
      <alignment horizontal="center"/>
    </xf>
    <xf numFmtId="9" fontId="13" fillId="0" borderId="1" xfId="1" applyFont="1" applyBorder="1" applyAlignment="1">
      <alignment horizontal="center"/>
    </xf>
    <xf numFmtId="9" fontId="16" fillId="0" borderId="20" xfId="1" applyFont="1" applyBorder="1" applyAlignment="1">
      <alignment horizontal="center"/>
    </xf>
    <xf numFmtId="9" fontId="16" fillId="0" borderId="19" xfId="1" applyFont="1" applyBorder="1" applyAlignment="1">
      <alignment horizontal="center"/>
    </xf>
    <xf numFmtId="9" fontId="16" fillId="0" borderId="7" xfId="1" applyFont="1" applyBorder="1" applyAlignment="1">
      <alignment horizontal="center"/>
    </xf>
    <xf numFmtId="9" fontId="41" fillId="0" borderId="13" xfId="1" applyFont="1" applyBorder="1"/>
    <xf numFmtId="9" fontId="41" fillId="0" borderId="0" xfId="1" applyFont="1"/>
    <xf numFmtId="9" fontId="41" fillId="0" borderId="15" xfId="1" applyFont="1" applyBorder="1"/>
    <xf numFmtId="9" fontId="41" fillId="0" borderId="0" xfId="1" applyFont="1" applyBorder="1"/>
    <xf numFmtId="0" fontId="41" fillId="0" borderId="0" xfId="0" applyFont="1"/>
    <xf numFmtId="9" fontId="41" fillId="0" borderId="13" xfId="1" applyFont="1" applyBorder="1" applyAlignment="1">
      <alignment horizontal="center"/>
    </xf>
    <xf numFmtId="9" fontId="41" fillId="0" borderId="15" xfId="1" applyFont="1" applyBorder="1" applyAlignment="1">
      <alignment horizontal="center"/>
    </xf>
    <xf numFmtId="9" fontId="41" fillId="0" borderId="0" xfId="1" applyFont="1" applyAlignment="1">
      <alignment horizontal="center"/>
    </xf>
    <xf numFmtId="0" fontId="24" fillId="0" borderId="0" xfId="4" applyNumberFormat="1" applyFont="1"/>
    <xf numFmtId="170" fontId="24" fillId="0" borderId="0" xfId="4" applyNumberFormat="1" applyFont="1"/>
    <xf numFmtId="2" fontId="24" fillId="0" borderId="0" xfId="4" applyNumberFormat="1" applyFont="1"/>
    <xf numFmtId="164" fontId="24" fillId="0" borderId="0" xfId="1" applyNumberFormat="1" applyFont="1"/>
    <xf numFmtId="169" fontId="42" fillId="0" borderId="0" xfId="4" applyNumberFormat="1" applyFont="1"/>
    <xf numFmtId="172" fontId="17" fillId="0" borderId="0" xfId="0" applyNumberFormat="1" applyFont="1" applyAlignment="1">
      <alignment horizontal="center"/>
    </xf>
    <xf numFmtId="164" fontId="16" fillId="0" borderId="9" xfId="0" applyNumberFormat="1" applyFont="1" applyBorder="1" applyAlignment="1">
      <alignment horizontal="center"/>
    </xf>
    <xf numFmtId="170" fontId="16" fillId="0" borderId="15" xfId="0" applyNumberFormat="1" applyFont="1" applyBorder="1" applyAlignment="1">
      <alignment horizontal="center"/>
    </xf>
    <xf numFmtId="2" fontId="13" fillId="5" borderId="0" xfId="0" applyNumberFormat="1" applyFont="1" applyFill="1" applyAlignment="1">
      <alignment horizontal="center"/>
    </xf>
    <xf numFmtId="9" fontId="30" fillId="0" borderId="0" xfId="9" applyNumberFormat="1" applyFont="1"/>
    <xf numFmtId="43" fontId="25" fillId="0" borderId="0" xfId="9" applyNumberFormat="1" applyFont="1"/>
    <xf numFmtId="175" fontId="25" fillId="0" borderId="0" xfId="9" applyNumberFormat="1" applyFont="1"/>
    <xf numFmtId="168" fontId="5" fillId="0" borderId="10" xfId="0" applyNumberFormat="1" applyFont="1" applyBorder="1"/>
    <xf numFmtId="168" fontId="4" fillId="0" borderId="25" xfId="0" applyNumberFormat="1" applyFont="1" applyBorder="1"/>
    <xf numFmtId="168" fontId="5" fillId="0" borderId="26" xfId="0" applyNumberFormat="1" applyFont="1" applyBorder="1" applyAlignment="1">
      <alignment vertical="justify"/>
    </xf>
    <xf numFmtId="168" fontId="4" fillId="0" borderId="26" xfId="0" applyNumberFormat="1" applyFont="1" applyBorder="1"/>
    <xf numFmtId="168" fontId="6" fillId="0" borderId="3" xfId="0" applyNumberFormat="1" applyFont="1" applyBorder="1" applyAlignment="1">
      <alignment horizontal="left" vertical="justify" indent="3"/>
    </xf>
    <xf numFmtId="0" fontId="43" fillId="0" borderId="0" xfId="0" applyFont="1" applyAlignment="1">
      <alignment horizontal="centerContinuous"/>
    </xf>
    <xf numFmtId="0" fontId="21" fillId="7" borderId="0" xfId="9" applyFont="1" applyFill="1"/>
    <xf numFmtId="0" fontId="24" fillId="7" borderId="0" xfId="9" applyFont="1" applyFill="1"/>
    <xf numFmtId="0" fontId="21" fillId="7" borderId="0" xfId="9" applyFont="1" applyFill="1" applyAlignment="1">
      <alignment horizontal="left"/>
    </xf>
    <xf numFmtId="0" fontId="21" fillId="7" borderId="0" xfId="9" applyFont="1" applyFill="1" applyAlignment="1">
      <alignment horizontal="right"/>
    </xf>
    <xf numFmtId="2" fontId="24" fillId="0" borderId="0" xfId="9" applyNumberFormat="1" applyFont="1"/>
    <xf numFmtId="43" fontId="26" fillId="0" borderId="0" xfId="9" applyNumberFormat="1" applyFont="1"/>
    <xf numFmtId="2" fontId="44" fillId="0" borderId="0" xfId="9" applyNumberFormat="1" applyFont="1"/>
    <xf numFmtId="2" fontId="44" fillId="0" borderId="0" xfId="4" applyNumberFormat="1" applyFont="1"/>
    <xf numFmtId="170" fontId="44" fillId="0" borderId="0" xfId="9" applyNumberFormat="1" applyFont="1" applyAlignment="1">
      <alignment horizontal="right"/>
    </xf>
    <xf numFmtId="43" fontId="45" fillId="0" borderId="0" xfId="10" applyFont="1" applyAlignment="1">
      <alignment horizontal="right"/>
    </xf>
    <xf numFmtId="175" fontId="45" fillId="0" borderId="0" xfId="10" applyNumberFormat="1" applyFont="1" applyAlignment="1">
      <alignment horizontal="right"/>
    </xf>
    <xf numFmtId="0" fontId="46" fillId="0" borderId="0" xfId="0" applyFont="1"/>
    <xf numFmtId="0" fontId="47" fillId="0" borderId="0" xfId="12"/>
    <xf numFmtId="0" fontId="48" fillId="9" borderId="0" xfId="12" applyFont="1" applyFill="1"/>
    <xf numFmtId="3" fontId="47" fillId="0" borderId="0" xfId="12" applyNumberFormat="1"/>
    <xf numFmtId="0" fontId="49" fillId="0" borderId="0" xfId="12" applyFont="1"/>
    <xf numFmtId="0" fontId="9" fillId="5" borderId="0" xfId="12" applyFont="1" applyFill="1"/>
    <xf numFmtId="0" fontId="50" fillId="5" borderId="0" xfId="12" applyFont="1" applyFill="1"/>
    <xf numFmtId="0" fontId="49" fillId="5" borderId="0" xfId="12" applyFont="1" applyFill="1"/>
    <xf numFmtId="0" fontId="6" fillId="0" borderId="0" xfId="0" applyFont="1" applyAlignment="1">
      <alignment wrapText="1"/>
    </xf>
    <xf numFmtId="0" fontId="6" fillId="0" borderId="0" xfId="0" applyFont="1" applyAlignment="1">
      <alignment horizontal="left" vertical="top"/>
    </xf>
    <xf numFmtId="177" fontId="6" fillId="0" borderId="0" xfId="0" applyNumberFormat="1" applyFont="1" applyAlignment="1">
      <alignment horizontal="right" vertical="top" wrapText="1"/>
    </xf>
    <xf numFmtId="0" fontId="6" fillId="0" borderId="0" xfId="0" applyFont="1" applyAlignment="1">
      <alignment horizontal="right" vertical="top" wrapText="1"/>
    </xf>
    <xf numFmtId="0" fontId="5" fillId="0" borderId="0" xfId="0" applyFont="1" applyAlignment="1">
      <alignment horizontal="left" vertical="top"/>
    </xf>
    <xf numFmtId="168" fontId="51" fillId="0" borderId="0" xfId="0" applyNumberFormat="1" applyFont="1"/>
    <xf numFmtId="168" fontId="51" fillId="0" borderId="0" xfId="0" applyNumberFormat="1" applyFont="1" applyAlignment="1">
      <alignment horizontal="right"/>
    </xf>
    <xf numFmtId="0" fontId="51" fillId="0" borderId="0" xfId="0" applyFont="1" applyAlignment="1">
      <alignment vertical="justify" wrapText="1"/>
    </xf>
    <xf numFmtId="0" fontId="51" fillId="0" borderId="0" xfId="0" applyFont="1"/>
    <xf numFmtId="0" fontId="51" fillId="0" borderId="0" xfId="0" applyFont="1" applyAlignment="1">
      <alignment vertical="justify"/>
    </xf>
    <xf numFmtId="168" fontId="5" fillId="0" borderId="2" xfId="0" applyNumberFormat="1" applyFont="1" applyBorder="1" applyAlignment="1">
      <alignment horizontal="right"/>
    </xf>
    <xf numFmtId="0" fontId="5" fillId="0" borderId="2" xfId="0" applyFont="1" applyBorder="1" applyAlignment="1">
      <alignment vertical="justify" wrapText="1"/>
    </xf>
    <xf numFmtId="0" fontId="5" fillId="0" borderId="0" xfId="0" applyFont="1" applyAlignment="1">
      <alignment vertical="justify" wrapText="1"/>
    </xf>
    <xf numFmtId="0" fontId="8" fillId="0" borderId="0" xfId="0" applyFont="1" applyAlignment="1">
      <alignment vertical="justify" wrapText="1"/>
    </xf>
    <xf numFmtId="168" fontId="8" fillId="0" borderId="0" xfId="0" applyNumberFormat="1" applyFont="1"/>
    <xf numFmtId="168" fontId="7" fillId="0" borderId="0" xfId="0" applyNumberFormat="1" applyFont="1" applyAlignment="1">
      <alignment horizontal="right"/>
    </xf>
    <xf numFmtId="168" fontId="8" fillId="0" borderId="0" xfId="0" applyNumberFormat="1" applyFont="1" applyAlignment="1">
      <alignment horizontal="right"/>
    </xf>
    <xf numFmtId="0" fontId="8" fillId="0" borderId="0" xfId="0" applyFont="1"/>
    <xf numFmtId="0" fontId="5" fillId="0" borderId="0" xfId="0" applyFont="1" applyAlignment="1">
      <alignment wrapText="1"/>
    </xf>
    <xf numFmtId="168" fontId="51" fillId="0" borderId="0" xfId="0" applyNumberFormat="1" applyFont="1" applyAlignment="1">
      <alignment vertical="justify" wrapText="1"/>
    </xf>
    <xf numFmtId="0" fontId="6" fillId="0" borderId="0" xfId="0" applyFont="1" applyAlignment="1">
      <alignment horizontal="left" vertical="top" wrapText="1"/>
    </xf>
    <xf numFmtId="0" fontId="8" fillId="0" borderId="0" xfId="0" applyFont="1" applyAlignment="1">
      <alignment wrapText="1"/>
    </xf>
    <xf numFmtId="168" fontId="6" fillId="0" borderId="2" xfId="0" applyNumberFormat="1" applyFont="1" applyBorder="1" applyAlignment="1">
      <alignment horizontal="right"/>
    </xf>
    <xf numFmtId="168" fontId="6" fillId="0" borderId="0" xfId="0" applyNumberFormat="1" applyFont="1" applyAlignment="1">
      <alignment wrapText="1"/>
    </xf>
    <xf numFmtId="0" fontId="6" fillId="0" borderId="0" xfId="0" applyFont="1" applyAlignment="1">
      <alignment horizontal="left" vertical="justify" wrapText="1"/>
    </xf>
    <xf numFmtId="0" fontId="6" fillId="0" borderId="0" xfId="0" applyFont="1" applyAlignment="1">
      <alignment horizontal="left" wrapText="1"/>
    </xf>
    <xf numFmtId="168" fontId="6" fillId="0" borderId="27" xfId="0" applyNumberFormat="1" applyFont="1" applyBorder="1" applyAlignment="1">
      <alignment horizontal="center" wrapText="1"/>
    </xf>
    <xf numFmtId="0" fontId="6" fillId="0" borderId="9" xfId="0" applyFont="1" applyBorder="1"/>
    <xf numFmtId="0" fontId="6" fillId="0" borderId="28" xfId="0" applyFont="1" applyBorder="1"/>
    <xf numFmtId="0" fontId="52" fillId="0" borderId="0" xfId="0" applyFont="1"/>
    <xf numFmtId="0" fontId="52" fillId="0" borderId="0" xfId="0" applyFont="1" applyAlignment="1">
      <alignment wrapText="1"/>
    </xf>
    <xf numFmtId="4" fontId="53" fillId="0" borderId="1" xfId="0" applyNumberFormat="1" applyFont="1" applyBorder="1"/>
    <xf numFmtId="0" fontId="53" fillId="0" borderId="1" xfId="0" applyFont="1" applyBorder="1"/>
    <xf numFmtId="4" fontId="52" fillId="0" borderId="0" xfId="0" applyNumberFormat="1" applyFont="1"/>
    <xf numFmtId="4" fontId="52" fillId="0" borderId="2" xfId="0" applyNumberFormat="1" applyFont="1" applyBorder="1"/>
    <xf numFmtId="0" fontId="53" fillId="0" borderId="0" xfId="0" applyFont="1"/>
    <xf numFmtId="178" fontId="53" fillId="0" borderId="2" xfId="0" applyNumberFormat="1" applyFont="1" applyBorder="1"/>
    <xf numFmtId="2" fontId="52" fillId="0" borderId="0" xfId="0" applyNumberFormat="1" applyFont="1"/>
    <xf numFmtId="0" fontId="54" fillId="0" borderId="0" xfId="0" applyFont="1"/>
    <xf numFmtId="0" fontId="55" fillId="0" borderId="0" xfId="0" applyFont="1" applyAlignment="1">
      <alignment wrapText="1"/>
    </xf>
    <xf numFmtId="0" fontId="5" fillId="0" borderId="0" xfId="0" applyFont="1" applyAlignment="1">
      <alignment horizontal="right"/>
    </xf>
    <xf numFmtId="0" fontId="6" fillId="0" borderId="0" xfId="0" applyFont="1" applyAlignment="1">
      <alignment horizontal="left"/>
    </xf>
    <xf numFmtId="0" fontId="0" fillId="0" borderId="0" xfId="0" applyAlignment="1">
      <alignment horizontal="left" vertical="top"/>
    </xf>
    <xf numFmtId="0" fontId="9" fillId="0" borderId="0" xfId="0" applyFont="1" applyAlignment="1">
      <alignment horizontal="left" vertical="top"/>
    </xf>
    <xf numFmtId="3" fontId="0" fillId="0" borderId="0" xfId="0" applyNumberFormat="1" applyAlignment="1">
      <alignment horizontal="right" vertical="top" wrapText="1"/>
    </xf>
    <xf numFmtId="0" fontId="9" fillId="0" borderId="0" xfId="0" applyFont="1"/>
    <xf numFmtId="0" fontId="9" fillId="0" borderId="0" xfId="0" applyFont="1" applyAlignment="1">
      <alignment horizontal="center"/>
    </xf>
    <xf numFmtId="0" fontId="0" fillId="0" borderId="0" xfId="0" applyAlignment="1">
      <alignment horizontal="left" vertical="top" wrapText="1"/>
    </xf>
    <xf numFmtId="4" fontId="0" fillId="0" borderId="0" xfId="0" applyNumberFormat="1" applyAlignment="1">
      <alignment horizontal="right" vertical="top"/>
    </xf>
    <xf numFmtId="0" fontId="0" fillId="0" borderId="0" xfId="0" applyAlignment="1">
      <alignment horizontal="right" vertical="top"/>
    </xf>
    <xf numFmtId="0" fontId="56" fillId="0" borderId="0" xfId="0" applyFont="1" applyAlignment="1">
      <alignment horizontal="left" vertical="top"/>
    </xf>
    <xf numFmtId="14" fontId="0" fillId="0" borderId="0" xfId="0" applyNumberFormat="1" applyAlignment="1">
      <alignment horizontal="right" vertical="top"/>
    </xf>
    <xf numFmtId="0" fontId="57" fillId="10" borderId="29" xfId="0" applyFont="1" applyFill="1" applyBorder="1" applyAlignment="1">
      <alignment horizontal="right" vertical="top" wrapText="1"/>
    </xf>
    <xf numFmtId="0" fontId="57" fillId="10" borderId="29" xfId="0" applyFont="1" applyFill="1" applyBorder="1" applyAlignment="1">
      <alignment horizontal="left" vertical="top" wrapText="1"/>
    </xf>
    <xf numFmtId="0" fontId="58" fillId="0" borderId="0" xfId="0" applyFont="1" applyAlignment="1">
      <alignment horizontal="left"/>
    </xf>
    <xf numFmtId="0" fontId="56" fillId="0" borderId="0" xfId="0" applyFont="1"/>
    <xf numFmtId="0" fontId="9" fillId="0" borderId="0" xfId="0" applyFont="1" applyAlignment="1">
      <alignment horizontal="left" vertical="top" wrapText="1"/>
    </xf>
    <xf numFmtId="0" fontId="9" fillId="0" borderId="0" xfId="0" applyFont="1" applyAlignment="1">
      <alignment horizontal="right" vertical="top"/>
    </xf>
    <xf numFmtId="4" fontId="9" fillId="0" borderId="0" xfId="0" applyNumberFormat="1" applyFont="1" applyAlignment="1">
      <alignment horizontal="right" vertical="top"/>
    </xf>
    <xf numFmtId="0" fontId="9" fillId="0" borderId="30" xfId="0" applyFont="1" applyBorder="1" applyAlignment="1">
      <alignment horizontal="left" vertical="top" wrapText="1"/>
    </xf>
    <xf numFmtId="3" fontId="9" fillId="0" borderId="0" xfId="0" applyNumberFormat="1" applyFont="1" applyAlignment="1">
      <alignment horizontal="right" vertical="top" wrapText="1"/>
    </xf>
    <xf numFmtId="0" fontId="9" fillId="0" borderId="0" xfId="0" applyFont="1" applyAlignment="1">
      <alignment horizontal="right" vertical="top" wrapText="1"/>
    </xf>
    <xf numFmtId="3" fontId="56" fillId="0" borderId="0" xfId="0" applyNumberFormat="1" applyFont="1" applyAlignment="1">
      <alignment horizontal="right" vertical="top" wrapText="1"/>
    </xf>
    <xf numFmtId="14" fontId="9" fillId="0" borderId="0" xfId="0" applyNumberFormat="1" applyFont="1" applyAlignment="1">
      <alignment horizontal="right" vertical="top" wrapText="1"/>
    </xf>
    <xf numFmtId="179" fontId="56" fillId="0" borderId="0" xfId="0" applyNumberFormat="1" applyFont="1" applyAlignment="1">
      <alignment horizontal="left" vertical="top"/>
    </xf>
    <xf numFmtId="0" fontId="56" fillId="0" borderId="0" xfId="0" applyFont="1" applyAlignment="1">
      <alignment horizontal="right" vertical="top" wrapText="1"/>
    </xf>
    <xf numFmtId="0" fontId="0" fillId="0" borderId="0" xfId="0" applyAlignment="1">
      <alignment horizontal="right" vertical="top" wrapText="1"/>
    </xf>
    <xf numFmtId="0" fontId="0" fillId="0" borderId="30" xfId="0" applyBorder="1" applyAlignment="1">
      <alignment horizontal="left" vertical="top" wrapText="1"/>
    </xf>
    <xf numFmtId="0" fontId="0" fillId="0" borderId="0" xfId="0" applyAlignment="1">
      <alignment horizontal="center"/>
    </xf>
    <xf numFmtId="3" fontId="56" fillId="2" borderId="0" xfId="0" applyNumberFormat="1" applyFont="1" applyFill="1" applyAlignment="1">
      <alignment horizontal="right" vertical="top" wrapText="1"/>
    </xf>
    <xf numFmtId="14" fontId="0" fillId="0" borderId="0" xfId="0" applyNumberFormat="1" applyAlignment="1">
      <alignment horizontal="right" vertical="top" wrapText="1"/>
    </xf>
    <xf numFmtId="168" fontId="6" fillId="0" borderId="11" xfId="0" applyNumberFormat="1" applyFont="1" applyBorder="1"/>
    <xf numFmtId="164" fontId="6" fillId="0" borderId="11" xfId="0" applyNumberFormat="1" applyFont="1" applyBorder="1"/>
    <xf numFmtId="0" fontId="36" fillId="0" borderId="1" xfId="0" applyFont="1" applyBorder="1" applyAlignment="1">
      <alignment horizontal="center"/>
    </xf>
    <xf numFmtId="169" fontId="36" fillId="0" borderId="0" xfId="4" applyNumberFormat="1" applyFont="1" applyAlignment="1">
      <alignment horizontal="center" vertical="center" wrapText="1"/>
    </xf>
    <xf numFmtId="169" fontId="36" fillId="0" borderId="0" xfId="4" applyNumberFormat="1" applyFont="1" applyAlignment="1">
      <alignment horizontal="center" vertical="center"/>
    </xf>
    <xf numFmtId="0" fontId="13" fillId="0" borderId="0" xfId="0" applyFont="1" applyAlignment="1">
      <alignment horizontal="center" vertical="distributed"/>
    </xf>
    <xf numFmtId="0" fontId="36" fillId="0" borderId="0" xfId="0" applyFont="1" applyAlignment="1">
      <alignment horizontal="center" vertical="center" wrapText="1"/>
    </xf>
    <xf numFmtId="0" fontId="36" fillId="0" borderId="0" xfId="0" applyFont="1" applyAlignment="1">
      <alignment horizontal="center" vertical="center"/>
    </xf>
  </cellXfs>
  <cellStyles count="13">
    <cellStyle name="%" xfId="2" xr:uid="{77A2844F-69E6-46BA-AAFC-5BC1B92D63FD}"/>
    <cellStyle name="Comma 2" xfId="4" xr:uid="{D571ADC2-CC0C-41C4-8625-104D426AC634}"/>
    <cellStyle name="Comma 2 2" xfId="10" xr:uid="{4F7F58DB-C847-46BD-9701-96B55E46A460}"/>
    <cellStyle name="Comma 3" xfId="11" xr:uid="{E3F178E5-35FA-4B02-8239-E47B83693A7B}"/>
    <cellStyle name="Hyperlink" xfId="8" builtinId="8"/>
    <cellStyle name="Normal" xfId="0" builtinId="0"/>
    <cellStyle name="Normal 2" xfId="3" xr:uid="{4D09C96E-C30F-4492-982A-F751E680FAFA}"/>
    <cellStyle name="Normal 2 2" xfId="9" xr:uid="{4870B556-0E5B-47AD-BED4-ED958E70EDDC}"/>
    <cellStyle name="Normal 3" xfId="5" xr:uid="{C2C6C54B-4F60-4C98-84AD-BD31409F510C}"/>
    <cellStyle name="Normal 4" xfId="7" xr:uid="{C6460082-FFEA-4290-9F13-5ADE832A13BD}"/>
    <cellStyle name="Normal 5" xfId="12" xr:uid="{F89545AD-1DCD-4E91-8C57-B84F72BCE890}"/>
    <cellStyle name="Percent" xfId="1" builtinId="5"/>
    <cellStyle name="Percent 2" xfId="6" xr:uid="{1EA218DB-B063-4356-B22F-811AFC0EAA61}"/>
  </cellStyles>
  <dxfs count="2">
    <dxf>
      <font>
        <color rgb="FF9C0006"/>
      </font>
      <fill>
        <patternFill>
          <bgColor rgb="FFFFC7CE"/>
        </patternFill>
      </fill>
    </dxf>
    <dxf>
      <font>
        <color rgb="FF006100"/>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06084421346175E-2"/>
          <c:y val="5.1920482754304761E-2"/>
          <c:w val="0.92537013034701643"/>
          <c:h val="0.83719792659505343"/>
        </c:manualLayout>
      </c:layout>
      <c:stockChart>
        <c:ser>
          <c:idx val="0"/>
          <c:order val="0"/>
          <c:spPr>
            <a:ln w="19050" cap="rnd">
              <a:noFill/>
              <a:round/>
            </a:ln>
            <a:effectLst/>
          </c:spPr>
          <c:marker>
            <c:symbol val="none"/>
          </c:marker>
          <c:cat>
            <c:strRef>
              <c:f>'Football field'!$B$14:$B$16</c:f>
              <c:strCache>
                <c:ptCount val="3"/>
                <c:pt idx="0">
                  <c:v>Comps</c:v>
                </c:pt>
                <c:pt idx="1">
                  <c:v>PV of FCF</c:v>
                </c:pt>
                <c:pt idx="2">
                  <c:v>PV of ANOPAT</c:v>
                </c:pt>
              </c:strCache>
            </c:strRef>
          </c:cat>
          <c:val>
            <c:numRef>
              <c:f>'Football field'!$D$14:$D$16</c:f>
              <c:numCache>
                <c:formatCode>_(* #,##0.00_);_(* \(#,##0.00\);_(* "-"??_);_(@_)</c:formatCode>
                <c:ptCount val="3"/>
                <c:pt idx="0">
                  <c:v>98.519165177652198</c:v>
                </c:pt>
                <c:pt idx="1">
                  <c:v>56.260757338253448</c:v>
                </c:pt>
                <c:pt idx="2">
                  <c:v>62.379102761124962</c:v>
                </c:pt>
              </c:numCache>
            </c:numRef>
          </c:val>
          <c:smooth val="0"/>
          <c:extLst>
            <c:ext xmlns:c16="http://schemas.microsoft.com/office/drawing/2014/chart" uri="{C3380CC4-5D6E-409C-BE32-E72D297353CC}">
              <c16:uniqueId val="{00000000-F4F7-4EF5-8D40-13078DBD739E}"/>
            </c:ext>
          </c:extLst>
        </c:ser>
        <c:ser>
          <c:idx val="1"/>
          <c:order val="1"/>
          <c:spPr>
            <a:ln w="19050" cap="rnd">
              <a:noFill/>
              <a:round/>
            </a:ln>
            <a:effectLst/>
          </c:spPr>
          <c:marker>
            <c:symbol val="none"/>
          </c:marker>
          <c:dLbls>
            <c:numFmt formatCode="&quot;€&quot;#,##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field'!$B$14:$B$16</c:f>
              <c:strCache>
                <c:ptCount val="3"/>
                <c:pt idx="0">
                  <c:v>Comps</c:v>
                </c:pt>
                <c:pt idx="1">
                  <c:v>PV of FCF</c:v>
                </c:pt>
                <c:pt idx="2">
                  <c:v>PV of ANOPAT</c:v>
                </c:pt>
              </c:strCache>
            </c:strRef>
          </c:cat>
          <c:val>
            <c:numRef>
              <c:f>'Football field'!$E$14:$E$16</c:f>
              <c:numCache>
                <c:formatCode>_(* #,##0.00_);_(* \(#,##0.00\);_(* "-"??_);_(@_)</c:formatCode>
                <c:ptCount val="3"/>
                <c:pt idx="0">
                  <c:v>98.519165177652198</c:v>
                </c:pt>
                <c:pt idx="1">
                  <c:v>56.260757338253448</c:v>
                </c:pt>
                <c:pt idx="2">
                  <c:v>62.379102761124962</c:v>
                </c:pt>
              </c:numCache>
            </c:numRef>
          </c:val>
          <c:smooth val="0"/>
          <c:extLst>
            <c:ext xmlns:c16="http://schemas.microsoft.com/office/drawing/2014/chart" uri="{C3380CC4-5D6E-409C-BE32-E72D297353CC}">
              <c16:uniqueId val="{00000001-F4F7-4EF5-8D40-13078DBD739E}"/>
            </c:ext>
          </c:extLst>
        </c:ser>
        <c:ser>
          <c:idx val="2"/>
          <c:order val="2"/>
          <c:spPr>
            <a:ln w="19050" cap="rnd">
              <a:noFill/>
              <a:round/>
            </a:ln>
            <a:effectLst/>
          </c:spPr>
          <c:marker>
            <c:symbol val="none"/>
          </c:marker>
          <c:cat>
            <c:strRef>
              <c:f>'Football field'!$B$14:$B$16</c:f>
              <c:strCache>
                <c:ptCount val="3"/>
                <c:pt idx="0">
                  <c:v>Comps</c:v>
                </c:pt>
                <c:pt idx="1">
                  <c:v>PV of FCF</c:v>
                </c:pt>
                <c:pt idx="2">
                  <c:v>PV of ANOPAT</c:v>
                </c:pt>
              </c:strCache>
            </c:strRef>
          </c:cat>
          <c:val>
            <c:numRef>
              <c:f>'Football field'!$F$14:$F$16</c:f>
              <c:numCache>
                <c:formatCode>_(* #,##0.00_);_(* \(#,##0.00\);_(* "-"??_);_(@_)</c:formatCode>
                <c:ptCount val="3"/>
                <c:pt idx="0">
                  <c:v>105.62406274473057</c:v>
                </c:pt>
                <c:pt idx="1">
                  <c:v>68.763147857865334</c:v>
                </c:pt>
                <c:pt idx="2">
                  <c:v>76.241125596930516</c:v>
                </c:pt>
              </c:numCache>
            </c:numRef>
          </c:val>
          <c:smooth val="0"/>
          <c:extLst>
            <c:ext xmlns:c16="http://schemas.microsoft.com/office/drawing/2014/chart" uri="{C3380CC4-5D6E-409C-BE32-E72D297353CC}">
              <c16:uniqueId val="{00000002-F4F7-4EF5-8D40-13078DBD739E}"/>
            </c:ext>
          </c:extLst>
        </c:ser>
        <c:ser>
          <c:idx val="3"/>
          <c:order val="3"/>
          <c:spPr>
            <a:ln w="19050" cap="rnd">
              <a:noFill/>
              <a:round/>
            </a:ln>
            <a:effectLst/>
          </c:spPr>
          <c:marker>
            <c:symbol val="none"/>
          </c:marker>
          <c:dLbls>
            <c:numFmt formatCode="&quot;€&quot;#,##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field'!$B$14:$B$16</c:f>
              <c:strCache>
                <c:ptCount val="3"/>
                <c:pt idx="0">
                  <c:v>Comps</c:v>
                </c:pt>
                <c:pt idx="1">
                  <c:v>PV of FCF</c:v>
                </c:pt>
                <c:pt idx="2">
                  <c:v>PV of ANOPAT</c:v>
                </c:pt>
              </c:strCache>
            </c:strRef>
          </c:cat>
          <c:val>
            <c:numRef>
              <c:f>'Football field'!$G$14:$G$16</c:f>
              <c:numCache>
                <c:formatCode>_(* #,##0.00_);_(* \(#,##0.00\);_(* "-"??_);_(@_)</c:formatCode>
                <c:ptCount val="3"/>
                <c:pt idx="0">
                  <c:v>105.62406274473057</c:v>
                </c:pt>
                <c:pt idx="1">
                  <c:v>68.763147857865334</c:v>
                </c:pt>
                <c:pt idx="2">
                  <c:v>76.241125596930516</c:v>
                </c:pt>
              </c:numCache>
            </c:numRef>
          </c:val>
          <c:smooth val="0"/>
          <c:extLst>
            <c:ext xmlns:c16="http://schemas.microsoft.com/office/drawing/2014/chart" uri="{C3380CC4-5D6E-409C-BE32-E72D297353CC}">
              <c16:uniqueId val="{00000003-F4F7-4EF5-8D40-13078DBD739E}"/>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bg2"/>
              </a:solidFill>
              <a:ln w="9525" cap="flat" cmpd="sng" algn="ctr">
                <a:no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251334600"/>
        <c:axId val="251336952"/>
      </c:stockChart>
      <c:catAx>
        <c:axId val="251334600"/>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51336952"/>
        <c:crosses val="autoZero"/>
        <c:auto val="1"/>
        <c:lblAlgn val="ctr"/>
        <c:lblOffset val="100"/>
        <c:noMultiLvlLbl val="0"/>
      </c:catAx>
      <c:valAx>
        <c:axId val="251336952"/>
        <c:scaling>
          <c:orientation val="minMax"/>
          <c:min val="10"/>
        </c:scaling>
        <c:delete val="0"/>
        <c:axPos val="l"/>
        <c:numFmt formatCode="#,##0\ [$€-1007]" sourceLinked="0"/>
        <c:majorTickMark val="out"/>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5133460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latin typeface="Aptos Display" panose="020B00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17636</xdr:rowOff>
    </xdr:from>
    <xdr:to>
      <xdr:col>16</xdr:col>
      <xdr:colOff>141111</xdr:colOff>
      <xdr:row>40</xdr:row>
      <xdr:rowOff>59458</xdr:rowOff>
    </xdr:to>
    <xdr:pic>
      <xdr:nvPicPr>
        <xdr:cNvPr id="4" name="Picture 3">
          <a:extLst>
            <a:ext uri="{FF2B5EF4-FFF2-40B4-BE49-F238E27FC236}">
              <a16:creationId xmlns:a16="http://schemas.microsoft.com/office/drawing/2014/main" id="{8CEBCCBE-CE85-1ED5-B8A8-B853ACAF5AAD}"/>
            </a:ext>
          </a:extLst>
        </xdr:cNvPr>
        <xdr:cNvPicPr>
          <a:picLocks noChangeAspect="1"/>
        </xdr:cNvPicPr>
      </xdr:nvPicPr>
      <xdr:blipFill>
        <a:blip xmlns:r="http://schemas.openxmlformats.org/officeDocument/2006/relationships" r:embed="rId1"/>
        <a:stretch>
          <a:fillRect/>
        </a:stretch>
      </xdr:blipFill>
      <xdr:spPr>
        <a:xfrm>
          <a:off x="0" y="705555"/>
          <a:ext cx="10971389" cy="59155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662940</xdr:colOff>
      <xdr:row>21</xdr:row>
      <xdr:rowOff>154305</xdr:rowOff>
    </xdr:from>
    <xdr:to>
      <xdr:col>10</xdr:col>
      <xdr:colOff>123826</xdr:colOff>
      <xdr:row>38</xdr:row>
      <xdr:rowOff>85725</xdr:rowOff>
    </xdr:to>
    <xdr:graphicFrame macro="">
      <xdr:nvGraphicFramePr>
        <xdr:cNvPr id="9" name="Chart 1">
          <a:extLst>
            <a:ext uri="{FF2B5EF4-FFF2-40B4-BE49-F238E27FC236}">
              <a16:creationId xmlns:a16="http://schemas.microsoft.com/office/drawing/2014/main" id="{703649F6-0C6A-481B-A7B7-CAD166E32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460375</xdr:colOff>
      <xdr:row>28</xdr:row>
      <xdr:rowOff>140155</xdr:rowOff>
    </xdr:from>
    <xdr:to>
      <xdr:col>9</xdr:col>
      <xdr:colOff>698500</xdr:colOff>
      <xdr:row>28</xdr:row>
      <xdr:rowOff>168731</xdr:rowOff>
    </xdr:to>
    <xdr:cxnSp macro="">
      <xdr:nvCxnSpPr>
        <xdr:cNvPr id="24" name="Straight Connector 2">
          <a:extLst>
            <a:ext uri="{FF2B5EF4-FFF2-40B4-BE49-F238E27FC236}">
              <a16:creationId xmlns:a16="http://schemas.microsoft.com/office/drawing/2014/main" id="{6A352D0D-9C77-459F-910F-6BBED290CB4A}"/>
            </a:ext>
          </a:extLst>
        </xdr:cNvPr>
        <xdr:cNvCxnSpPr/>
      </xdr:nvCxnSpPr>
      <xdr:spPr bwMode="auto">
        <a:xfrm flipV="1">
          <a:off x="950232" y="5855155"/>
          <a:ext cx="6306911" cy="28576"/>
        </a:xfrm>
        <a:prstGeom prst="line">
          <a:avLst/>
        </a:prstGeom>
        <a:solidFill>
          <a:srgbClr xmlns:mc="http://schemas.openxmlformats.org/markup-compatibility/2006" xmlns:a14="http://schemas.microsoft.com/office/drawing/2010/main" val="FFFFFF" mc:Ignorable="a14" a14:legacySpreadsheetColorIndex="65"/>
        </a:solidFill>
        <a:ln w="38100" cap="flat" cmpd="sng" algn="ctr">
          <a:solidFill>
            <a:srgbClr val="FA621C"/>
          </a:solidFill>
          <a:prstDash val="sysDot"/>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3.xml><?xml version="1.0" encoding="utf-8"?>
<xdr:wsDr xmlns:xdr="http://schemas.openxmlformats.org/drawingml/2006/spreadsheetDrawing" xmlns:a="http://schemas.openxmlformats.org/drawingml/2006/main">
  <xdr:oneCellAnchor>
    <xdr:from>
      <xdr:col>3</xdr:col>
      <xdr:colOff>0</xdr:colOff>
      <xdr:row>118</xdr:row>
      <xdr:rowOff>0</xdr:rowOff>
    </xdr:from>
    <xdr:ext cx="11430" cy="11430"/>
    <xdr:pic>
      <xdr:nvPicPr>
        <xdr:cNvPr id="2" name="Picture 1" descr="ecblank">
          <a:extLst>
            <a:ext uri="{FF2B5EF4-FFF2-40B4-BE49-F238E27FC236}">
              <a16:creationId xmlns:a16="http://schemas.microsoft.com/office/drawing/2014/main" id="{A71461A5-E071-40EC-8C22-4265C4A439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7388" y="19107150"/>
          <a:ext cx="1143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19050</xdr:colOff>
      <xdr:row>118</xdr:row>
      <xdr:rowOff>0</xdr:rowOff>
    </xdr:from>
    <xdr:ext cx="7620" cy="11430"/>
    <xdr:pic>
      <xdr:nvPicPr>
        <xdr:cNvPr id="3" name="Picture 2" descr="ecblank">
          <a:extLst>
            <a:ext uri="{FF2B5EF4-FFF2-40B4-BE49-F238E27FC236}">
              <a16:creationId xmlns:a16="http://schemas.microsoft.com/office/drawing/2014/main" id="{35F15575-03D7-4898-957D-9BB34CF1F8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6438" y="19107150"/>
          <a:ext cx="762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38100</xdr:colOff>
      <xdr:row>118</xdr:row>
      <xdr:rowOff>0</xdr:rowOff>
    </xdr:from>
    <xdr:ext cx="11430" cy="11430"/>
    <xdr:pic>
      <xdr:nvPicPr>
        <xdr:cNvPr id="4" name="Picture 3" descr="ecblank">
          <a:extLst>
            <a:ext uri="{FF2B5EF4-FFF2-40B4-BE49-F238E27FC236}">
              <a16:creationId xmlns:a16="http://schemas.microsoft.com/office/drawing/2014/main" id="{94261AFF-EFD8-4B2E-883D-7279D60AFE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95488" y="19107150"/>
          <a:ext cx="1143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100</xdr:row>
      <xdr:rowOff>0</xdr:rowOff>
    </xdr:from>
    <xdr:ext cx="11430" cy="11430"/>
    <xdr:pic>
      <xdr:nvPicPr>
        <xdr:cNvPr id="2" name="Picture 1" descr="ecblank">
          <a:extLst>
            <a:ext uri="{FF2B5EF4-FFF2-40B4-BE49-F238E27FC236}">
              <a16:creationId xmlns:a16="http://schemas.microsoft.com/office/drawing/2014/main" id="{409B1D0B-4D2F-485B-AC44-42FD07F238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7388" y="16192500"/>
          <a:ext cx="1143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19050</xdr:colOff>
      <xdr:row>100</xdr:row>
      <xdr:rowOff>0</xdr:rowOff>
    </xdr:from>
    <xdr:ext cx="7620" cy="11430"/>
    <xdr:pic>
      <xdr:nvPicPr>
        <xdr:cNvPr id="3" name="Picture 2" descr="ecblank">
          <a:extLst>
            <a:ext uri="{FF2B5EF4-FFF2-40B4-BE49-F238E27FC236}">
              <a16:creationId xmlns:a16="http://schemas.microsoft.com/office/drawing/2014/main" id="{64FE0186-676A-4E66-8654-363690393D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6438" y="16192500"/>
          <a:ext cx="762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38100</xdr:colOff>
      <xdr:row>100</xdr:row>
      <xdr:rowOff>0</xdr:rowOff>
    </xdr:from>
    <xdr:ext cx="11430" cy="11430"/>
    <xdr:pic>
      <xdr:nvPicPr>
        <xdr:cNvPr id="4" name="Picture 3" descr="ecblank">
          <a:extLst>
            <a:ext uri="{FF2B5EF4-FFF2-40B4-BE49-F238E27FC236}">
              <a16:creationId xmlns:a16="http://schemas.microsoft.com/office/drawing/2014/main" id="{72765A09-5651-4E44-8660-25832AE40C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95488" y="16192500"/>
          <a:ext cx="1143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94</xdr:row>
      <xdr:rowOff>0</xdr:rowOff>
    </xdr:from>
    <xdr:ext cx="11430" cy="11430"/>
    <xdr:pic>
      <xdr:nvPicPr>
        <xdr:cNvPr id="2" name="Picture 1" descr="ecblank">
          <a:extLst>
            <a:ext uri="{FF2B5EF4-FFF2-40B4-BE49-F238E27FC236}">
              <a16:creationId xmlns:a16="http://schemas.microsoft.com/office/drawing/2014/main" id="{713F7E0C-A8F3-4EFC-B507-5950D6CDE3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7388" y="15220950"/>
          <a:ext cx="1143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19050</xdr:colOff>
      <xdr:row>94</xdr:row>
      <xdr:rowOff>0</xdr:rowOff>
    </xdr:from>
    <xdr:ext cx="7620" cy="11430"/>
    <xdr:pic>
      <xdr:nvPicPr>
        <xdr:cNvPr id="3" name="Picture 2" descr="ecblank">
          <a:extLst>
            <a:ext uri="{FF2B5EF4-FFF2-40B4-BE49-F238E27FC236}">
              <a16:creationId xmlns:a16="http://schemas.microsoft.com/office/drawing/2014/main" id="{739C7E14-66A3-41CA-893B-FD387C4489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6438" y="15220950"/>
          <a:ext cx="762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38100</xdr:colOff>
      <xdr:row>94</xdr:row>
      <xdr:rowOff>0</xdr:rowOff>
    </xdr:from>
    <xdr:ext cx="11430" cy="11430"/>
    <xdr:pic>
      <xdr:nvPicPr>
        <xdr:cNvPr id="4" name="Picture 3" descr="ecblank">
          <a:extLst>
            <a:ext uri="{FF2B5EF4-FFF2-40B4-BE49-F238E27FC236}">
              <a16:creationId xmlns:a16="http://schemas.microsoft.com/office/drawing/2014/main" id="{A4B7B44F-9C2E-487C-9865-9E8285B2FC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95488" y="15220950"/>
          <a:ext cx="1143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109</xdr:row>
      <xdr:rowOff>0</xdr:rowOff>
    </xdr:from>
    <xdr:ext cx="11430" cy="11430"/>
    <xdr:pic>
      <xdr:nvPicPr>
        <xdr:cNvPr id="2" name="Picture 1" descr="ecblank">
          <a:extLst>
            <a:ext uri="{FF2B5EF4-FFF2-40B4-BE49-F238E27FC236}">
              <a16:creationId xmlns:a16="http://schemas.microsoft.com/office/drawing/2014/main" id="{B4E072A3-96E0-457D-8656-0510B693D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7388" y="17649825"/>
          <a:ext cx="1143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19050</xdr:colOff>
      <xdr:row>109</xdr:row>
      <xdr:rowOff>0</xdr:rowOff>
    </xdr:from>
    <xdr:ext cx="7620" cy="11430"/>
    <xdr:pic>
      <xdr:nvPicPr>
        <xdr:cNvPr id="3" name="Picture 2" descr="ecblank">
          <a:extLst>
            <a:ext uri="{FF2B5EF4-FFF2-40B4-BE49-F238E27FC236}">
              <a16:creationId xmlns:a16="http://schemas.microsoft.com/office/drawing/2014/main" id="{D8DDCAAA-42FE-47EF-8CFD-7C3ED39AF6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6438" y="17649825"/>
          <a:ext cx="762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38100</xdr:colOff>
      <xdr:row>109</xdr:row>
      <xdr:rowOff>0</xdr:rowOff>
    </xdr:from>
    <xdr:ext cx="11430" cy="11430"/>
    <xdr:pic>
      <xdr:nvPicPr>
        <xdr:cNvPr id="4" name="Picture 3" descr="ecblank">
          <a:extLst>
            <a:ext uri="{FF2B5EF4-FFF2-40B4-BE49-F238E27FC236}">
              <a16:creationId xmlns:a16="http://schemas.microsoft.com/office/drawing/2014/main" id="{389C7A95-8A66-419C-BD66-3BC642860D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95488" y="17649825"/>
          <a:ext cx="1143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106</xdr:row>
      <xdr:rowOff>0</xdr:rowOff>
    </xdr:from>
    <xdr:ext cx="11430" cy="11430"/>
    <xdr:pic>
      <xdr:nvPicPr>
        <xdr:cNvPr id="2" name="Picture 1" descr="ecblank">
          <a:extLst>
            <a:ext uri="{FF2B5EF4-FFF2-40B4-BE49-F238E27FC236}">
              <a16:creationId xmlns:a16="http://schemas.microsoft.com/office/drawing/2014/main" id="{67989F1E-FE41-4F3E-AB69-258735C68C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7388" y="17164050"/>
          <a:ext cx="1143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19050</xdr:colOff>
      <xdr:row>106</xdr:row>
      <xdr:rowOff>0</xdr:rowOff>
    </xdr:from>
    <xdr:ext cx="7620" cy="11430"/>
    <xdr:pic>
      <xdr:nvPicPr>
        <xdr:cNvPr id="3" name="Picture 2" descr="ecblank">
          <a:extLst>
            <a:ext uri="{FF2B5EF4-FFF2-40B4-BE49-F238E27FC236}">
              <a16:creationId xmlns:a16="http://schemas.microsoft.com/office/drawing/2014/main" id="{336555FF-68B7-42C5-B9CE-798F324A93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6438" y="17164050"/>
          <a:ext cx="762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38100</xdr:colOff>
      <xdr:row>106</xdr:row>
      <xdr:rowOff>0</xdr:rowOff>
    </xdr:from>
    <xdr:ext cx="11430" cy="11430"/>
    <xdr:pic>
      <xdr:nvPicPr>
        <xdr:cNvPr id="4" name="Picture 3" descr="ecblank">
          <a:extLst>
            <a:ext uri="{FF2B5EF4-FFF2-40B4-BE49-F238E27FC236}">
              <a16:creationId xmlns:a16="http://schemas.microsoft.com/office/drawing/2014/main" id="{AF4BB598-0A2F-40E8-A73F-97924AA98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95488" y="17164050"/>
          <a:ext cx="1143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104</xdr:row>
      <xdr:rowOff>0</xdr:rowOff>
    </xdr:from>
    <xdr:ext cx="11430" cy="11430"/>
    <xdr:pic>
      <xdr:nvPicPr>
        <xdr:cNvPr id="2" name="Picture 1" descr="ecblank">
          <a:extLst>
            <a:ext uri="{FF2B5EF4-FFF2-40B4-BE49-F238E27FC236}">
              <a16:creationId xmlns:a16="http://schemas.microsoft.com/office/drawing/2014/main" id="{43620D87-3932-433C-94B9-8484A1488D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7388" y="16840200"/>
          <a:ext cx="1143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19050</xdr:colOff>
      <xdr:row>104</xdr:row>
      <xdr:rowOff>0</xdr:rowOff>
    </xdr:from>
    <xdr:ext cx="7620" cy="11430"/>
    <xdr:pic>
      <xdr:nvPicPr>
        <xdr:cNvPr id="3" name="Picture 2" descr="ecblank">
          <a:extLst>
            <a:ext uri="{FF2B5EF4-FFF2-40B4-BE49-F238E27FC236}">
              <a16:creationId xmlns:a16="http://schemas.microsoft.com/office/drawing/2014/main" id="{10985137-E767-4E8E-8882-7CCD71A2D2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6438" y="16840200"/>
          <a:ext cx="762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38100</xdr:colOff>
      <xdr:row>104</xdr:row>
      <xdr:rowOff>0</xdr:rowOff>
    </xdr:from>
    <xdr:ext cx="11430" cy="11430"/>
    <xdr:pic>
      <xdr:nvPicPr>
        <xdr:cNvPr id="4" name="Picture 3" descr="ecblank">
          <a:extLst>
            <a:ext uri="{FF2B5EF4-FFF2-40B4-BE49-F238E27FC236}">
              <a16:creationId xmlns:a16="http://schemas.microsoft.com/office/drawing/2014/main" id="{8767C209-B704-43B2-8590-9E622388CC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95488" y="16840200"/>
          <a:ext cx="11430" cy="1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2007 - 2010">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https://finance.yahoo.com/quote/BNTX/" TargetMode="External"/><Relationship Id="rId2" Type="http://schemas.openxmlformats.org/officeDocument/2006/relationships/hyperlink" Target="https://www.marketwatch.com/investing/bond/tmubmusd10y?countrycode=bx" TargetMode="External"/><Relationship Id="rId1" Type="http://schemas.openxmlformats.org/officeDocument/2006/relationships/hyperlink" Target="https://pages.stern.nyu.edu/~adamodar/New_Home_Page/datafile/ctryprem.html"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0.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1.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2.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A25F6-4A8A-49AF-ADC0-9D83E9034468}">
  <sheetPr>
    <tabColor theme="4" tint="-0.499984740745262"/>
  </sheetPr>
  <dimension ref="A1:B45"/>
  <sheetViews>
    <sheetView showGridLines="0" topLeftCell="A4" zoomScaleNormal="100" workbookViewId="0"/>
  </sheetViews>
  <sheetFormatPr defaultColWidth="9" defaultRowHeight="12.75" x14ac:dyDescent="0.35"/>
  <cols>
    <col min="1" max="1" width="5.46484375" style="460" customWidth="1"/>
    <col min="2" max="2" width="14.46484375" style="460" bestFit="1" customWidth="1"/>
    <col min="3" max="5" width="9" style="460"/>
    <col min="6" max="6" width="12.6640625" style="460" bestFit="1" customWidth="1"/>
    <col min="7" max="16384" width="9" style="460"/>
  </cols>
  <sheetData>
    <row r="1" spans="1:2" s="464" customFormat="1" ht="29.25" customHeight="1" x14ac:dyDescent="0.7">
      <c r="A1" s="466"/>
      <c r="B1" s="465"/>
    </row>
    <row r="2" spans="1:2" x14ac:dyDescent="0.35">
      <c r="A2" s="463"/>
    </row>
    <row r="3" spans="1:2" x14ac:dyDescent="0.35">
      <c r="B3" s="462"/>
    </row>
    <row r="4" spans="1:2" x14ac:dyDescent="0.35">
      <c r="B4" s="462"/>
    </row>
    <row r="5" spans="1:2" x14ac:dyDescent="0.35">
      <c r="B5" s="462"/>
    </row>
    <row r="6" spans="1:2" x14ac:dyDescent="0.35">
      <c r="B6" s="462"/>
    </row>
    <row r="7" spans="1:2" x14ac:dyDescent="0.35">
      <c r="B7" s="462"/>
    </row>
    <row r="8" spans="1:2" x14ac:dyDescent="0.35">
      <c r="B8" s="462"/>
    </row>
    <row r="9" spans="1:2" x14ac:dyDescent="0.35">
      <c r="B9" s="462"/>
    </row>
    <row r="10" spans="1:2" x14ac:dyDescent="0.35">
      <c r="B10" s="462"/>
    </row>
    <row r="11" spans="1:2" x14ac:dyDescent="0.35">
      <c r="B11" s="462"/>
    </row>
    <row r="12" spans="1:2" x14ac:dyDescent="0.35">
      <c r="B12" s="462"/>
    </row>
    <row r="45" spans="2:2" s="461" customFormat="1" x14ac:dyDescent="0.35">
      <c r="B45" s="461"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C766A-DF52-4D5E-BA11-81EB69FB7450}">
  <dimension ref="B1:P14"/>
  <sheetViews>
    <sheetView showGridLines="0" zoomScaleNormal="100" workbookViewId="0">
      <selection activeCell="B7" sqref="B7"/>
    </sheetView>
  </sheetViews>
  <sheetFormatPr defaultColWidth="11.33203125" defaultRowHeight="12.75" x14ac:dyDescent="0.35"/>
  <cols>
    <col min="1" max="1" width="3.6640625" customWidth="1"/>
    <col min="2" max="2" width="36.33203125" bestFit="1" customWidth="1"/>
    <col min="3" max="12" width="7.6640625" customWidth="1"/>
    <col min="15" max="15" width="31.1328125" bestFit="1" customWidth="1"/>
    <col min="16" max="16" width="25" bestFit="1" customWidth="1"/>
  </cols>
  <sheetData>
    <row r="1" spans="2:16" ht="13.15" x14ac:dyDescent="0.4">
      <c r="B1" s="114"/>
      <c r="C1" s="98"/>
      <c r="D1" s="98"/>
      <c r="E1" s="98"/>
      <c r="F1" s="98"/>
      <c r="G1" s="98"/>
      <c r="H1" s="98"/>
      <c r="I1" s="98"/>
      <c r="J1" s="98"/>
      <c r="K1" s="98"/>
      <c r="L1" s="98"/>
    </row>
    <row r="2" spans="2:16" ht="13.15" x14ac:dyDescent="0.4">
      <c r="B2" s="98"/>
      <c r="C2" s="304" t="s">
        <v>1</v>
      </c>
      <c r="D2" s="304"/>
      <c r="E2" s="304" t="s">
        <v>2</v>
      </c>
      <c r="F2" s="304"/>
      <c r="G2" s="304" t="s">
        <v>3</v>
      </c>
      <c r="H2" s="304"/>
      <c r="I2" s="304" t="s">
        <v>4</v>
      </c>
      <c r="J2" s="304"/>
      <c r="K2" s="304" t="s">
        <v>5</v>
      </c>
      <c r="L2" s="304"/>
      <c r="M2" s="304" t="s">
        <v>6</v>
      </c>
      <c r="N2" s="304"/>
    </row>
    <row r="3" spans="2:16" ht="14.25" x14ac:dyDescent="0.45">
      <c r="B3" s="388" t="s">
        <v>7</v>
      </c>
      <c r="C3" s="381">
        <v>2020</v>
      </c>
      <c r="D3" s="381">
        <f>C3+3</f>
        <v>2023</v>
      </c>
      <c r="E3" s="381">
        <v>2020</v>
      </c>
      <c r="F3" s="381">
        <f>E3+3</f>
        <v>2023</v>
      </c>
      <c r="G3" s="381">
        <v>2020</v>
      </c>
      <c r="H3" s="381">
        <f>G3+3</f>
        <v>2023</v>
      </c>
      <c r="I3" s="381">
        <v>2020</v>
      </c>
      <c r="J3" s="381">
        <f>I3+3</f>
        <v>2023</v>
      </c>
      <c r="K3" s="381">
        <v>2020</v>
      </c>
      <c r="L3" s="381">
        <f>K3+3</f>
        <v>2023</v>
      </c>
      <c r="M3" s="381">
        <v>2020</v>
      </c>
      <c r="N3" s="381">
        <f>M3+3</f>
        <v>2023</v>
      </c>
      <c r="O3" s="382"/>
      <c r="P3" s="382"/>
    </row>
    <row r="4" spans="2:16" ht="13.15" x14ac:dyDescent="0.4">
      <c r="B4" s="98" t="s">
        <v>959</v>
      </c>
      <c r="C4" s="343">
        <f>'BionTech Ratios'!H40</f>
        <v>0.62342944723279548</v>
      </c>
      <c r="D4" s="343">
        <f>'BionTech Ratios'!K40</f>
        <v>0.79022247684522107</v>
      </c>
      <c r="E4" s="343">
        <f>'Astra Zeneca Ratios'!H40</f>
        <v>0.21842537125997186</v>
      </c>
      <c r="F4" s="343">
        <f>'Astra Zeneca Ratios'!K40</f>
        <v>0.14906813612182171</v>
      </c>
      <c r="G4" s="343">
        <f>'Moderna Ratios'!H40</f>
        <v>0.9576808651215224</v>
      </c>
      <c r="H4" s="343">
        <f>'Moderna Ratios'!K40</f>
        <v>0.69335495944411385</v>
      </c>
      <c r="I4" s="343">
        <f>'Sanofi Ratios'!H40</f>
        <v>0.15729014061366156</v>
      </c>
      <c r="J4" s="343">
        <f>'Sanofi Ratios'!K40</f>
        <v>0.14776534659326349</v>
      </c>
      <c r="K4" s="343">
        <f>'GSK Ratios'!H40</f>
        <v>0.2287242914461769</v>
      </c>
      <c r="L4" s="343">
        <f>'GSK Ratios'!K40</f>
        <v>0.33536586476345748</v>
      </c>
      <c r="M4" s="343">
        <f>'Takeda Ratios'!H40</f>
        <v>0.15609811270848387</v>
      </c>
      <c r="N4" s="343">
        <f>'Takeda Ratios'!K40</f>
        <v>0.19112821825796145</v>
      </c>
      <c r="O4" s="98"/>
      <c r="P4" s="98"/>
    </row>
    <row r="5" spans="2:16" ht="13.15" x14ac:dyDescent="0.4">
      <c r="B5" s="98" t="s">
        <v>9</v>
      </c>
      <c r="C5" s="343">
        <f>'BionTech Ratios'!H38</f>
        <v>0.16295011284400579</v>
      </c>
      <c r="D5" s="343">
        <f>'BionTech Ratios'!K38</f>
        <v>0.17511696744008404</v>
      </c>
      <c r="E5" s="343">
        <f>'Astra Zeneca Ratios'!H38</f>
        <v>6.3550354991571342E-2</v>
      </c>
      <c r="F5" s="343">
        <f>'Astra Zeneca Ratios'!K38</f>
        <v>5.2849078464984323E-2</v>
      </c>
      <c r="G5" s="343">
        <f>'Moderna Ratios'!H38</f>
        <v>0.14020210406942013</v>
      </c>
      <c r="H5" s="343">
        <f>'Moderna Ratios'!K38</f>
        <v>0.26347133352433705</v>
      </c>
      <c r="I5" s="343">
        <f>'Sanofi Ratios'!H38</f>
        <v>4.358040643721367E-2</v>
      </c>
      <c r="J5" s="343">
        <f>'Sanofi Ratios'!K38</f>
        <v>3.6345359638605287E-2</v>
      </c>
      <c r="K5" s="343">
        <f>'GSK Ratios'!H38</f>
        <v>5.2812282645511466E-2</v>
      </c>
      <c r="L5" s="343">
        <f>'GSK Ratios'!K38</f>
        <v>3.9171095071236645E-2</v>
      </c>
      <c r="M5" s="343">
        <f>'Takeda Ratios'!H38</f>
        <v>1.8164494761028285E-2</v>
      </c>
      <c r="N5" s="343">
        <f>'Takeda Ratios'!K38</f>
        <v>1.2150902785924388E-2</v>
      </c>
      <c r="O5" s="98"/>
      <c r="P5" s="98"/>
    </row>
    <row r="6" spans="2:16" ht="13.15" x14ac:dyDescent="0.4">
      <c r="B6" s="98" t="s">
        <v>960</v>
      </c>
      <c r="C6" s="293">
        <f>'BionTech Ratios'!H39</f>
        <v>6.1368475452196387</v>
      </c>
      <c r="D6" s="293">
        <f>'BionTech Ratios'!K39</f>
        <v>5.710468920392584</v>
      </c>
      <c r="E6" s="293">
        <f>'Astra Zeneca Ratios'!H39</f>
        <v>15.735553328264329</v>
      </c>
      <c r="F6" s="293">
        <f>'Astra Zeneca Ratios'!K39</f>
        <v>18.921805810910399</v>
      </c>
      <c r="G6" s="293">
        <f>'Moderna Ratios'!H39</f>
        <v>7.1325605748745167</v>
      </c>
      <c r="H6" s="293">
        <f>'Moderna Ratios'!K39</f>
        <v>3.7954793283331876</v>
      </c>
      <c r="I6" s="293">
        <f>'Sanofi Ratios'!H39</f>
        <v>22.946091644204852</v>
      </c>
      <c r="J6" s="293">
        <f>'Sanofi Ratios'!K39</f>
        <v>27.513828723758746</v>
      </c>
      <c r="K6" s="293">
        <f>'GSK Ratios'!H39</f>
        <v>18.934989171216788</v>
      </c>
      <c r="L6" s="293">
        <f>'GSK Ratios'!K39</f>
        <v>25.529028437458734</v>
      </c>
      <c r="M6" s="293">
        <f>'Takeda Ratios'!H39</f>
        <v>55.052453324795387</v>
      </c>
      <c r="N6" s="293">
        <f>'Takeda Ratios'!K39</f>
        <v>82.298411699779251</v>
      </c>
      <c r="O6" s="98"/>
      <c r="P6" s="98"/>
    </row>
    <row r="7" spans="2:16" ht="13.15" x14ac:dyDescent="0.4">
      <c r="O7" s="98"/>
      <c r="P7" s="98"/>
    </row>
    <row r="8" spans="2:16" ht="13.15" x14ac:dyDescent="0.4">
      <c r="O8" s="98"/>
      <c r="P8" s="98"/>
    </row>
    <row r="9" spans="2:16" ht="13.15" x14ac:dyDescent="0.4">
      <c r="O9" s="98"/>
      <c r="P9" s="98"/>
    </row>
    <row r="10" spans="2:16" ht="13.15" x14ac:dyDescent="0.4">
      <c r="O10" s="98"/>
      <c r="P10" s="98"/>
    </row>
    <row r="11" spans="2:16" ht="13.15" x14ac:dyDescent="0.4">
      <c r="O11" s="98"/>
      <c r="P11" s="98"/>
    </row>
    <row r="12" spans="2:16" ht="13.15" x14ac:dyDescent="0.4">
      <c r="O12" s="98"/>
      <c r="P12" s="98"/>
    </row>
    <row r="13" spans="2:16" ht="13.15" x14ac:dyDescent="0.4">
      <c r="O13" s="98"/>
      <c r="P13" s="98"/>
    </row>
    <row r="14" spans="2:16" ht="13.15" x14ac:dyDescent="0.4">
      <c r="O14" s="98"/>
      <c r="P14" s="98"/>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F297-2AD6-EC4F-A143-0978F8C7B401}">
  <dimension ref="A2:AS38"/>
  <sheetViews>
    <sheetView showGridLines="0" topLeftCell="A2" zoomScaleNormal="100" workbookViewId="0">
      <selection activeCell="K25" sqref="K25"/>
    </sheetView>
  </sheetViews>
  <sheetFormatPr defaultColWidth="11.33203125" defaultRowHeight="13.15" outlineLevelRow="1" outlineLevelCol="2" x14ac:dyDescent="0.4"/>
  <cols>
    <col min="1" max="1" width="3.6640625" style="98" customWidth="1"/>
    <col min="2" max="2" width="26" style="98" bestFit="1" customWidth="1"/>
    <col min="3" max="3" width="11.33203125" style="98" customWidth="1" outlineLevel="2"/>
    <col min="4" max="4" width="12.6640625" style="98" customWidth="1" outlineLevel="1"/>
    <col min="5" max="6" width="12.6640625" style="98" customWidth="1" outlineLevel="2"/>
    <col min="7" max="7" width="12.6640625" style="98" customWidth="1" outlineLevel="1"/>
    <col min="8" max="8" width="12.6640625" style="98" customWidth="1" outlineLevel="2"/>
    <col min="9" max="9" width="12.6640625" style="98" customWidth="1" outlineLevel="1"/>
    <col min="10" max="11" width="12.6640625" style="98" customWidth="1" outlineLevel="2"/>
    <col min="12" max="12" width="12.6640625" style="98" customWidth="1" outlineLevel="1"/>
    <col min="13" max="13" width="12.6640625" style="98" customWidth="1" outlineLevel="2"/>
    <col min="14" max="14" width="12.6640625" style="98" customWidth="1" outlineLevel="1"/>
    <col min="15" max="16" width="12.6640625" style="98" customWidth="1" outlineLevel="2"/>
    <col min="17" max="17" width="12.6640625" style="98" customWidth="1" outlineLevel="1"/>
    <col min="18" max="18" width="12.6640625" style="98" customWidth="1" outlineLevel="2"/>
    <col min="19" max="19" width="12.6640625" style="98" customWidth="1" outlineLevel="1"/>
    <col min="20" max="21" width="12.6640625" style="98" customWidth="1" outlineLevel="2"/>
    <col min="22" max="22" width="12.6640625" style="98" customWidth="1" outlineLevel="1"/>
    <col min="23" max="23" width="12.6640625" style="98" customWidth="1" outlineLevel="2"/>
    <col min="24" max="24" width="12.6640625" style="98" customWidth="1" outlineLevel="1"/>
    <col min="25" max="26" width="12.6640625" style="98" customWidth="1" outlineLevel="2"/>
    <col min="27" max="27" width="12.6640625" style="98" customWidth="1" outlineLevel="1"/>
    <col min="28" max="28" width="12.6640625" style="98" customWidth="1" outlineLevel="2"/>
    <col min="29" max="29" width="12.6640625" style="98" customWidth="1" outlineLevel="1"/>
    <col min="30" max="31" width="12.6640625" style="98" customWidth="1" outlineLevel="2"/>
    <col min="32" max="32" width="12.6640625" style="98" customWidth="1" outlineLevel="1"/>
    <col min="33" max="33" width="11.33203125" style="98" customWidth="1" outlineLevel="1"/>
    <col min="34" max="34" width="11.796875" style="98" customWidth="1"/>
    <col min="35" max="35" width="11.6640625" style="98" customWidth="1"/>
    <col min="36" max="36" width="11.796875" style="98" customWidth="1"/>
    <col min="37" max="37" width="11.6640625" style="98" customWidth="1"/>
    <col min="38" max="38" width="11.796875" style="98" customWidth="1"/>
    <col min="39" max="39" width="11.6640625" style="98" customWidth="1"/>
    <col min="40" max="40" width="11.796875" style="98" customWidth="1"/>
    <col min="41" max="41" width="11.6640625" style="98" customWidth="1"/>
    <col min="42" max="42" width="11.796875" style="98" customWidth="1"/>
    <col min="43" max="43" width="11.6640625" style="98" customWidth="1"/>
    <col min="44" max="16384" width="11.33203125" style="98"/>
  </cols>
  <sheetData>
    <row r="2" spans="1:45" s="114" customFormat="1" x14ac:dyDescent="0.4">
      <c r="C2" s="304" t="s">
        <v>1</v>
      </c>
      <c r="D2" s="447"/>
      <c r="E2" s="304"/>
      <c r="F2" s="304"/>
      <c r="G2" s="304"/>
      <c r="H2" s="304" t="s">
        <v>2</v>
      </c>
      <c r="I2" s="304"/>
      <c r="J2" s="304"/>
      <c r="K2" s="304"/>
      <c r="L2" s="304"/>
      <c r="M2" s="304" t="s">
        <v>3</v>
      </c>
      <c r="N2" s="304"/>
      <c r="O2" s="304"/>
      <c r="P2" s="304"/>
      <c r="Q2" s="304"/>
      <c r="R2" s="304" t="s">
        <v>4</v>
      </c>
      <c r="S2" s="304"/>
      <c r="T2" s="304"/>
      <c r="U2" s="304"/>
      <c r="V2" s="304"/>
      <c r="W2" s="304" t="s">
        <v>5</v>
      </c>
      <c r="X2" s="304"/>
      <c r="Y2" s="304"/>
      <c r="Z2" s="304"/>
      <c r="AA2" s="304"/>
      <c r="AB2" s="304" t="s">
        <v>6</v>
      </c>
      <c r="AD2" s="304"/>
      <c r="AE2" s="304"/>
      <c r="AF2" s="304"/>
      <c r="AH2" s="335" t="s">
        <v>11</v>
      </c>
      <c r="AI2" s="335" t="s">
        <v>1</v>
      </c>
      <c r="AJ2" s="335" t="s">
        <v>11</v>
      </c>
      <c r="AK2" s="335" t="s">
        <v>1</v>
      </c>
      <c r="AL2" s="335" t="s">
        <v>11</v>
      </c>
      <c r="AM2" s="335" t="s">
        <v>1</v>
      </c>
      <c r="AN2" s="335" t="s">
        <v>11</v>
      </c>
      <c r="AO2" s="335" t="s">
        <v>1</v>
      </c>
      <c r="AP2" s="335" t="s">
        <v>11</v>
      </c>
      <c r="AQ2" s="335" t="s">
        <v>1</v>
      </c>
      <c r="AS2" s="459" t="s">
        <v>12</v>
      </c>
    </row>
    <row r="3" spans="1:45" s="114" customFormat="1" ht="14.25" x14ac:dyDescent="0.45">
      <c r="B3" s="387" t="s">
        <v>13</v>
      </c>
      <c r="C3" s="381">
        <v>2019</v>
      </c>
      <c r="D3" s="381">
        <v>2020</v>
      </c>
      <c r="E3" s="381">
        <v>2021</v>
      </c>
      <c r="F3" s="381">
        <v>2022</v>
      </c>
      <c r="G3" s="381">
        <v>2023</v>
      </c>
      <c r="H3" s="381">
        <v>2019</v>
      </c>
      <c r="I3" s="381">
        <v>2020</v>
      </c>
      <c r="J3" s="381">
        <v>2021</v>
      </c>
      <c r="K3" s="381">
        <v>2022</v>
      </c>
      <c r="L3" s="381">
        <v>2023</v>
      </c>
      <c r="M3" s="381">
        <v>2019</v>
      </c>
      <c r="N3" s="381">
        <v>2020</v>
      </c>
      <c r="O3" s="381">
        <v>2021</v>
      </c>
      <c r="P3" s="381">
        <v>2022</v>
      </c>
      <c r="Q3" s="381">
        <v>2023</v>
      </c>
      <c r="R3" s="381">
        <v>2019</v>
      </c>
      <c r="S3" s="381">
        <v>2020</v>
      </c>
      <c r="T3" s="381">
        <v>2021</v>
      </c>
      <c r="U3" s="381">
        <v>2022</v>
      </c>
      <c r="V3" s="381">
        <v>2023</v>
      </c>
      <c r="W3" s="381">
        <v>2019</v>
      </c>
      <c r="X3" s="381">
        <v>2020</v>
      </c>
      <c r="Y3" s="381">
        <v>2021</v>
      </c>
      <c r="Z3" s="381">
        <v>2022</v>
      </c>
      <c r="AA3" s="381">
        <v>2023</v>
      </c>
      <c r="AB3" s="381">
        <v>2019</v>
      </c>
      <c r="AC3" s="381">
        <v>2020</v>
      </c>
      <c r="AD3" s="381">
        <v>2021</v>
      </c>
      <c r="AE3" s="381">
        <v>2022</v>
      </c>
      <c r="AF3" s="381">
        <v>2023</v>
      </c>
      <c r="AH3" s="383">
        <v>2019</v>
      </c>
      <c r="AI3" s="384">
        <f>AH3</f>
        <v>2019</v>
      </c>
      <c r="AJ3" s="385">
        <v>2020</v>
      </c>
      <c r="AK3" s="384">
        <f>AJ3</f>
        <v>2020</v>
      </c>
      <c r="AL3" s="385">
        <v>2021</v>
      </c>
      <c r="AM3" s="384">
        <f>AL3</f>
        <v>2021</v>
      </c>
      <c r="AN3" s="385">
        <v>2022</v>
      </c>
      <c r="AO3" s="384">
        <f>AN3</f>
        <v>2022</v>
      </c>
      <c r="AP3" s="385">
        <v>2023</v>
      </c>
      <c r="AQ3" s="386">
        <f>AP3</f>
        <v>2023</v>
      </c>
    </row>
    <row r="4" spans="1:45" s="114" customFormat="1" ht="3" customHeight="1" outlineLevel="1" x14ac:dyDescent="0.45">
      <c r="C4" s="336"/>
      <c r="D4" s="336"/>
      <c r="E4" s="336"/>
      <c r="F4" s="336"/>
      <c r="G4" s="336"/>
      <c r="H4" s="336"/>
      <c r="I4" s="336"/>
      <c r="J4" s="336"/>
      <c r="K4" s="336"/>
      <c r="L4" s="336"/>
      <c r="M4" s="336"/>
      <c r="N4" s="336"/>
      <c r="O4" s="336"/>
      <c r="P4" s="336"/>
      <c r="Q4" s="336"/>
      <c r="R4" s="336"/>
      <c r="S4" s="336"/>
      <c r="T4" s="336"/>
      <c r="U4" s="336"/>
      <c r="V4" s="336"/>
      <c r="W4" s="336"/>
      <c r="X4" s="336"/>
      <c r="Y4" s="336"/>
      <c r="Z4" s="336"/>
      <c r="AA4" s="336"/>
      <c r="AB4" s="336"/>
      <c r="AC4" s="336"/>
      <c r="AD4" s="336"/>
      <c r="AE4" s="336"/>
      <c r="AF4" s="336"/>
      <c r="AH4" s="337"/>
      <c r="AI4" s="338"/>
      <c r="AJ4" s="336"/>
      <c r="AK4" s="338"/>
      <c r="AL4" s="336"/>
      <c r="AM4" s="338"/>
      <c r="AN4" s="336"/>
      <c r="AO4" s="338"/>
      <c r="AP4" s="336"/>
      <c r="AQ4" s="338"/>
    </row>
    <row r="5" spans="1:45" s="114" customFormat="1" ht="14.25" outlineLevel="1" x14ac:dyDescent="0.45">
      <c r="A5" s="114" t="s">
        <v>14</v>
      </c>
      <c r="B5" s="382" t="s">
        <v>15</v>
      </c>
      <c r="C5" s="339"/>
      <c r="G5" s="340"/>
      <c r="L5" s="340"/>
      <c r="M5" s="339"/>
      <c r="Q5" s="340"/>
      <c r="V5" s="340"/>
      <c r="AA5" s="340"/>
      <c r="AB5" s="339"/>
      <c r="AF5" s="340"/>
      <c r="AH5" s="339"/>
      <c r="AI5" s="340"/>
      <c r="AK5" s="340"/>
      <c r="AM5" s="340"/>
      <c r="AO5" s="340"/>
      <c r="AQ5" s="340"/>
    </row>
    <row r="6" spans="1:45" ht="14.25" outlineLevel="1" x14ac:dyDescent="0.4">
      <c r="B6" s="341" t="s">
        <v>16</v>
      </c>
      <c r="C6" s="342">
        <f>+'BionTech Ratios'!G8</f>
        <v>-1.6500920810313076</v>
      </c>
      <c r="D6" s="343">
        <f>+'BionTech Ratios'!H8</f>
        <v>3.1515654157163744E-2</v>
      </c>
      <c r="E6" s="343">
        <f>+'BionTech Ratios'!I8</f>
        <v>0.54237565013938149</v>
      </c>
      <c r="F6" s="343">
        <f>+'BionTech Ratios'!J8</f>
        <v>0.54500710547294717</v>
      </c>
      <c r="G6" s="344">
        <f>+'BionTech Ratios'!K8</f>
        <v>0.24359780047132756</v>
      </c>
      <c r="H6" s="342">
        <f>+'Astra Zeneca Ratios'!G8</f>
        <v>5.0319815192079037E-2</v>
      </c>
      <c r="I6" s="343">
        <f>+'Astra Zeneca Ratios'!H8</f>
        <v>0.11811994072108972</v>
      </c>
      <c r="J6" s="343">
        <f>+'Astra Zeneca Ratios'!I8</f>
        <v>3.073472791101563E-3</v>
      </c>
      <c r="K6" s="343">
        <f>+'Astra Zeneca Ratios'!J8</f>
        <v>7.4248582454083722E-2</v>
      </c>
      <c r="L6" s="344">
        <f>+'Astra Zeneca Ratios'!K8</f>
        <v>0.13012158440668298</v>
      </c>
      <c r="M6" s="342">
        <f>+'Moderna Ratios'!G8</f>
        <v>-8.56669776119403</v>
      </c>
      <c r="N6" s="343">
        <f>+'Moderna Ratios'!H8</f>
        <v>-0.9302605574612115</v>
      </c>
      <c r="O6" s="343">
        <f>+'Moderna Ratios'!I8</f>
        <v>0.66060313030278117</v>
      </c>
      <c r="P6" s="343">
        <f>+'Moderna Ratios'!J8</f>
        <v>0.43409645114420198</v>
      </c>
      <c r="Q6" s="344">
        <f>+'Moderna Ratios'!K8</f>
        <v>-0.68837626796706064</v>
      </c>
      <c r="R6" s="342">
        <f>+'Sanofi Ratios'!G8</f>
        <v>7.6692088969200919E-2</v>
      </c>
      <c r="S6" s="343">
        <f>+'Sanofi Ratios'!H8</f>
        <v>0.32995263453664803</v>
      </c>
      <c r="T6" s="343">
        <f>+'Sanofi Ratios'!I8</f>
        <v>0.16028079132099554</v>
      </c>
      <c r="U6" s="343">
        <f>+'Sanofi Ratios'!J8</f>
        <v>0.20055081381500595</v>
      </c>
      <c r="V6" s="344">
        <f>+'Sanofi Ratios'!K8</f>
        <v>0.12401177357756209</v>
      </c>
      <c r="W6" s="342">
        <f>+'GSK Ratios'!G8</f>
        <v>0.15607038134748399</v>
      </c>
      <c r="X6" s="343">
        <f>+'GSK Ratios'!H8</f>
        <v>0.20953439190008524</v>
      </c>
      <c r="Y6" s="343">
        <f>+'GSK Ratios'!I8</f>
        <v>0.14237123728591758</v>
      </c>
      <c r="Z6" s="343">
        <f>+'GSK Ratios'!J8</f>
        <v>0.16781473429473517</v>
      </c>
      <c r="AA6" s="344">
        <f>+'GSK Ratios'!K8</f>
        <v>0.17501982349554709</v>
      </c>
      <c r="AB6" s="343">
        <f>+'Takeda Ratios'!G8</f>
        <v>4.1569724608347758E-3</v>
      </c>
      <c r="AC6" s="343">
        <f>+'Takeda Ratios'!H8</f>
        <v>5.6447463089352973E-2</v>
      </c>
      <c r="AD6" s="343">
        <f>+'Takeda Ratios'!I8</f>
        <v>0.12656836189685891</v>
      </c>
      <c r="AE6" s="343">
        <f>+'Takeda Ratios'!J8</f>
        <v>6.9595524396475233E-2</v>
      </c>
      <c r="AF6" s="344">
        <f>+'Takeda Ratios'!K8</f>
        <v>4.2774069265714573E-2</v>
      </c>
      <c r="AH6" s="389">
        <f>AVERAGE(H6,R6,W6,AB6)</f>
        <v>7.1809814492399676E-2</v>
      </c>
      <c r="AI6" s="390">
        <f>C6</f>
        <v>-1.6500920810313076</v>
      </c>
      <c r="AJ6" s="391">
        <f>AVERAGE(I6,S6,X6,AC6)</f>
        <v>0.17851360756179399</v>
      </c>
      <c r="AK6" s="390">
        <f>D6</f>
        <v>3.1515654157163744E-2</v>
      </c>
      <c r="AL6" s="391">
        <f>AVERAGE(J6,T6,Y6,AD6)</f>
        <v>0.10807346582371841</v>
      </c>
      <c r="AM6" s="390">
        <f>E6</f>
        <v>0.54237565013938149</v>
      </c>
      <c r="AN6" s="391">
        <f>AVERAGE(K6,U6,Z6,AE6)</f>
        <v>0.12805241374007501</v>
      </c>
      <c r="AO6" s="390">
        <f>F6</f>
        <v>0.54500710547294717</v>
      </c>
      <c r="AP6" s="391">
        <f>AVERAGE(L6,V6,AA6,AF6)</f>
        <v>0.1179818126863767</v>
      </c>
      <c r="AQ6" s="390">
        <f>G6</f>
        <v>0.24359780047132756</v>
      </c>
    </row>
    <row r="7" spans="1:45" ht="14.25" outlineLevel="1" x14ac:dyDescent="0.4">
      <c r="B7" s="341" t="s">
        <v>17</v>
      </c>
      <c r="C7" s="345">
        <f>+'BionTech Ratios'!G9</f>
        <v>0.14972773954542606</v>
      </c>
      <c r="D7" s="348">
        <f>+'BionTech Ratios'!H9</f>
        <v>0.30953900637529697</v>
      </c>
      <c r="E7" s="346">
        <f>+'BionTech Ratios'!I9</f>
        <v>2.0911655481723912</v>
      </c>
      <c r="F7" s="346">
        <f>+'BionTech Ratios'!J9</f>
        <v>0.88522854827038666</v>
      </c>
      <c r="G7" s="347">
        <f>+'BionTech Ratios'!K9</f>
        <v>0.16501963902224026</v>
      </c>
      <c r="H7" s="345">
        <f>+'Astra Zeneca Ratios'!G9</f>
        <v>0.40464257345038918</v>
      </c>
      <c r="I7" s="346">
        <f>+'Astra Zeneca Ratios'!H9</f>
        <v>0.42742084307269279</v>
      </c>
      <c r="J7" s="346">
        <f>+'Astra Zeneca Ratios'!I9</f>
        <v>0.43007934528509101</v>
      </c>
      <c r="K7" s="346">
        <f>+'Astra Zeneca Ratios'!J9</f>
        <v>0.46130156809550199</v>
      </c>
      <c r="L7" s="347">
        <f>+'Astra Zeneca Ratios'!K9</f>
        <v>0.46620345636340227</v>
      </c>
      <c r="M7" s="345">
        <f>+'Moderna Ratios'!G9</f>
        <v>3.4248391571573077E-2</v>
      </c>
      <c r="N7" s="348">
        <f>+'Moderna Ratios'!H9</f>
        <v>0.18999300813990624</v>
      </c>
      <c r="O7" s="348">
        <f>+'Moderna Ratios'!I9</f>
        <v>1.1286351114037858</v>
      </c>
      <c r="P7" s="348">
        <f>+'Moderna Ratios'!J9</f>
        <v>0.79871251815582722</v>
      </c>
      <c r="Q7" s="347">
        <f>+'Moderna Ratios'!K9</f>
        <v>0.30996762732773098</v>
      </c>
      <c r="R7" s="345">
        <f>+'Sanofi Ratios'!G9</f>
        <v>0.33593408261098562</v>
      </c>
      <c r="S7" s="348">
        <f>+'Sanofi Ratios'!H9</f>
        <v>0.32917993507837723</v>
      </c>
      <c r="T7" s="348">
        <f>+'Sanofi Ratios'!I9</f>
        <v>0.33389444077475444</v>
      </c>
      <c r="U7" s="348">
        <f>+'Sanofi Ratios'!J9</f>
        <v>0.32639574998785248</v>
      </c>
      <c r="V7" s="347">
        <f>+'Sanofi Ratios'!K9</f>
        <v>0.32473359506449806</v>
      </c>
      <c r="W7" s="345">
        <f>+'GSK Ratios'!G9</f>
        <v>0.48508676916885402</v>
      </c>
      <c r="X7" s="348">
        <f>+'GSK Ratios'!H9</f>
        <v>0.29814702057447756</v>
      </c>
      <c r="Y7" s="348">
        <f>+'GSK Ratios'!I9</f>
        <v>0.31238222914174435</v>
      </c>
      <c r="Z7" s="348">
        <f>+'GSK Ratios'!J9</f>
        <v>0.42471307263822533</v>
      </c>
      <c r="AA7" s="347">
        <f>+'GSK Ratios'!K9</f>
        <v>0.51358951833847344</v>
      </c>
      <c r="AB7" s="348">
        <f>+'Takeda Ratios'!G9</f>
        <v>0.3473249411193316</v>
      </c>
      <c r="AC7" s="348">
        <f>+'Takeda Ratios'!H9</f>
        <v>0.25739257379129132</v>
      </c>
      <c r="AD7" s="348">
        <f>+'Takeda Ratios'!I9</f>
        <v>0.27480825832021144</v>
      </c>
      <c r="AE7" s="348">
        <f>+'Takeda Ratios'!J9</f>
        <v>0.29688703321099846</v>
      </c>
      <c r="AF7" s="347">
        <f>+'Takeda Ratios'!K9</f>
        <v>0.29389344369339915</v>
      </c>
      <c r="AH7" s="392">
        <f t="shared" ref="AH7:AH37" si="0">AVERAGE(H7,R7,W7,AB7)</f>
        <v>0.39324709158739007</v>
      </c>
      <c r="AI7" s="393">
        <f>C7</f>
        <v>0.14972773954542606</v>
      </c>
      <c r="AJ7" s="394">
        <f t="shared" ref="AJ7:AJ32" si="1">AVERAGE(I7,S7,X7,AC7)</f>
        <v>0.32803509312920975</v>
      </c>
      <c r="AK7" s="393">
        <f>D7</f>
        <v>0.30953900637529697</v>
      </c>
      <c r="AL7" s="394">
        <f t="shared" ref="AL7:AL37" si="2">AVERAGE(J7,T7,Y7,AD7)</f>
        <v>0.33779106838045031</v>
      </c>
      <c r="AM7" s="393">
        <f>E7</f>
        <v>2.0911655481723912</v>
      </c>
      <c r="AN7" s="394">
        <f t="shared" ref="AN7:AN37" si="3">AVERAGE(K7,U7,Z7,AE7)</f>
        <v>0.37732435598314457</v>
      </c>
      <c r="AO7" s="393">
        <f>F7</f>
        <v>0.88522854827038666</v>
      </c>
      <c r="AP7" s="394">
        <f t="shared" ref="AP7:AP36" si="4">AVERAGE(L7,V7,AA7,AF7)</f>
        <v>0.3996050033649432</v>
      </c>
      <c r="AQ7" s="393">
        <f>G7</f>
        <v>0.16501963902224026</v>
      </c>
    </row>
    <row r="8" spans="1:45" ht="14.25" outlineLevel="1" x14ac:dyDescent="0.4">
      <c r="B8" s="349" t="s">
        <v>18</v>
      </c>
      <c r="C8" s="350">
        <f>+'BionTech Ratios'!G10</f>
        <v>-0.24706455733462571</v>
      </c>
      <c r="D8" s="351">
        <f>+'BionTech Ratios'!H10</f>
        <v>9.7553242730759621E-3</v>
      </c>
      <c r="E8" s="351">
        <f>+'BionTech Ratios'!I10</f>
        <v>1.1341972737390769</v>
      </c>
      <c r="F8" s="351">
        <f>+'BionTech Ratios'!J10</f>
        <v>0.48245584877486253</v>
      </c>
      <c r="G8" s="352">
        <f>+'BionTech Ratios'!K10</f>
        <v>4.019842110039018E-2</v>
      </c>
      <c r="H8" s="350">
        <f>+'Astra Zeneca Ratios'!G10</f>
        <v>2.0361539514870852E-2</v>
      </c>
      <c r="I8" s="351">
        <f>+'Astra Zeneca Ratios'!H10</f>
        <v>5.0486924646704665E-2</v>
      </c>
      <c r="J8" s="351">
        <f>+'Astra Zeneca Ratios'!I10</f>
        <v>1.3218371657485015E-3</v>
      </c>
      <c r="K8" s="351">
        <f>+'Astra Zeneca Ratios'!J10</f>
        <v>3.4250987514936999E-2</v>
      </c>
      <c r="L8" s="352">
        <f>+'Astra Zeneca Ratios'!K10</f>
        <v>6.0663132397877795E-2</v>
      </c>
      <c r="M8" s="350">
        <f>+'Moderna Ratios'!G10</f>
        <v>-0.29339561940069159</v>
      </c>
      <c r="N8" s="351">
        <f>+'Moderna Ratios'!H10</f>
        <v>-0.17674300166596169</v>
      </c>
      <c r="O8" s="351">
        <f>+'Moderna Ratios'!I10</f>
        <v>0.74557988756296911</v>
      </c>
      <c r="P8" s="351">
        <f>+'Moderna Ratios'!J10</f>
        <v>0.34671826961589358</v>
      </c>
      <c r="Q8" s="352">
        <f>+'Moderna Ratios'!K10</f>
        <v>-0.21337435849046812</v>
      </c>
      <c r="R8" s="350">
        <f>+'Sanofi Ratios'!G10</f>
        <v>2.57634865513886E-2</v>
      </c>
      <c r="S8" s="351">
        <f>+'Sanofi Ratios'!H10</f>
        <v>0.10861378681571332</v>
      </c>
      <c r="T8" s="351">
        <f>+'Sanofi Ratios'!I10</f>
        <v>5.3516865185058923E-2</v>
      </c>
      <c r="U8" s="351">
        <f>+'Sanofi Ratios'!J10</f>
        <v>6.5458933285823029E-2</v>
      </c>
      <c r="V8" s="352">
        <f>+'Sanofi Ratios'!K10</f>
        <v>4.0270789064166264E-2</v>
      </c>
      <c r="W8" s="350">
        <f>+'GSK Ratios'!G10</f>
        <v>7.5707677050801989E-2</v>
      </c>
      <c r="X8" s="351">
        <f>+'GSK Ratios'!H10</f>
        <v>6.2472054652895362E-2</v>
      </c>
      <c r="Y8" s="351">
        <f>+'GSK Ratios'!I10</f>
        <v>4.4474244469043162E-2</v>
      </c>
      <c r="Z8" s="351">
        <f>+'GSK Ratios'!J10</f>
        <v>7.1273111436284342E-2</v>
      </c>
      <c r="AA8" s="352">
        <f>+'GSK Ratios'!K10</f>
        <v>8.9888346848762665E-2</v>
      </c>
      <c r="AB8" s="351">
        <f>+'Takeda Ratios'!G10</f>
        <v>1.4438202151941216E-3</v>
      </c>
      <c r="AC8" s="351">
        <f>+'Takeda Ratios'!H10</f>
        <v>1.4529157808557479E-2</v>
      </c>
      <c r="AD8" s="351">
        <f>+'Takeda Ratios'!I10</f>
        <v>3.4782031091318014E-2</v>
      </c>
      <c r="AE8" s="351">
        <f>+'Takeda Ratios'!J10</f>
        <v>2.0662008762833195E-2</v>
      </c>
      <c r="AF8" s="352">
        <f>+'Takeda Ratios'!K10</f>
        <v>1.2571018517280841E-2</v>
      </c>
      <c r="AH8" s="395">
        <f t="shared" si="0"/>
        <v>3.0819130833063892E-2</v>
      </c>
      <c r="AI8" s="396">
        <f>C8</f>
        <v>-0.24706455733462571</v>
      </c>
      <c r="AJ8" s="397">
        <f t="shared" si="1"/>
        <v>5.9025480980967708E-2</v>
      </c>
      <c r="AK8" s="396">
        <f>D8</f>
        <v>9.7553242730759621E-3</v>
      </c>
      <c r="AL8" s="397">
        <f t="shared" si="2"/>
        <v>3.3523744477792147E-2</v>
      </c>
      <c r="AM8" s="396">
        <f>E8</f>
        <v>1.1341972737390769</v>
      </c>
      <c r="AN8" s="397">
        <f t="shared" si="3"/>
        <v>4.791126024996939E-2</v>
      </c>
      <c r="AO8" s="396">
        <f>F8</f>
        <v>0.48245584877486253</v>
      </c>
      <c r="AP8" s="397">
        <f t="shared" si="4"/>
        <v>5.0848321707021894E-2</v>
      </c>
      <c r="AQ8" s="396">
        <f>G8</f>
        <v>4.019842110039018E-2</v>
      </c>
    </row>
    <row r="9" spans="1:45" ht="14.25" outlineLevel="1" x14ac:dyDescent="0.4">
      <c r="B9" s="341" t="s">
        <v>19</v>
      </c>
      <c r="C9" s="353">
        <f>+'BionTech Ratios'!G11</f>
        <v>1.9074927809891489</v>
      </c>
      <c r="D9" s="293">
        <f>+'BionTech Ratios'!H11</f>
        <v>1.6706483488912187</v>
      </c>
      <c r="E9" s="293">
        <f>+'BionTech Ratios'!I11</f>
        <v>1.3681655421959218</v>
      </c>
      <c r="F9" s="293">
        <f>+'BionTech Ratios'!J11</f>
        <v>1.2241238462188533</v>
      </c>
      <c r="G9" s="354">
        <f>+'BionTech Ratios'!K11</f>
        <v>1.1484783444784934</v>
      </c>
      <c r="H9" s="353">
        <f>+'Astra Zeneca Ratios'!G11</f>
        <v>4.2601847951407787</v>
      </c>
      <c r="I9" s="293">
        <f>+'Astra Zeneca Ratios'!H11</f>
        <v>4.23581339561348</v>
      </c>
      <c r="J9" s="293">
        <f>+'Astra Zeneca Ratios'!I11</f>
        <v>3.1100648490754899</v>
      </c>
      <c r="K9" s="293">
        <f>+'Astra Zeneca Ratios'!J11</f>
        <v>2.6426498149457172</v>
      </c>
      <c r="L9" s="354">
        <f>+'Astra Zeneca Ratios'!K11</f>
        <v>2.5925687602722696</v>
      </c>
      <c r="M9" s="353">
        <f>+'Moderna Ratios'!G11</f>
        <v>1.3132881902938969</v>
      </c>
      <c r="N9" s="293">
        <f>+'Moderna Ratios'!H11</f>
        <v>2.3608835812987263</v>
      </c>
      <c r="O9" s="293">
        <f>+'Moderna Ratios'!I11</f>
        <v>1.9055021582353584</v>
      </c>
      <c r="P9" s="293">
        <f>+'Moderna Ratios'!J11</f>
        <v>1.5128630231509324</v>
      </c>
      <c r="Q9" s="354">
        <f>+'Moderna Ratios'!K11</f>
        <v>1.3430568567072023</v>
      </c>
      <c r="R9" s="353">
        <f>+'Sanofi Ratios'!G11</f>
        <v>1.8943728068321144</v>
      </c>
      <c r="S9" s="293">
        <f>+'Sanofi Ratios'!H11</f>
        <v>1.8536846230466517</v>
      </c>
      <c r="T9" s="293">
        <f>+'Sanofi Ratios'!I11</f>
        <v>1.7738862892435159</v>
      </c>
      <c r="U9" s="293">
        <f>+'Sanofi Ratios'!J11</f>
        <v>1.7128510295943349</v>
      </c>
      <c r="V9" s="354">
        <f>+'Sanofi Ratios'!K11</f>
        <v>1.6934952008294037</v>
      </c>
      <c r="W9" s="353">
        <f>+'GSK Ratios'!G11</f>
        <v>6.1621251178732956</v>
      </c>
      <c r="X9" s="293">
        <f>+'GSK Ratios'!H11</f>
        <v>4.0950430561526741</v>
      </c>
      <c r="Y9" s="293">
        <f>+'GSK Ratios'!I11</f>
        <v>3.782346217594442</v>
      </c>
      <c r="Z9" s="293">
        <f>+'GSK Ratios'!J11</f>
        <v>4.4028177264340354</v>
      </c>
      <c r="AA9" s="354">
        <f>+'GSK Ratios'!K11</f>
        <v>5.19789342317471</v>
      </c>
      <c r="AB9" s="293">
        <f>+'Takeda Ratios'!G11</f>
        <v>2.7161262466442651</v>
      </c>
      <c r="AC9" s="293">
        <f>+'Takeda Ratios'!H11</f>
        <v>2.6608409959099055</v>
      </c>
      <c r="AD9" s="293">
        <f>+'Takeda Ratios'!I11</f>
        <v>2.5080938318528627</v>
      </c>
      <c r="AE9" s="293">
        <f>+'Takeda Ratios'!J11</f>
        <v>2.2804707910455067</v>
      </c>
      <c r="AF9" s="354">
        <f>+'Takeda Ratios'!K11</f>
        <v>2.1481835929452</v>
      </c>
      <c r="AH9" s="398">
        <f t="shared" si="0"/>
        <v>3.7582022416226133</v>
      </c>
      <c r="AI9" s="399">
        <f>C9</f>
        <v>1.9074927809891489</v>
      </c>
      <c r="AJ9" s="400">
        <f t="shared" si="1"/>
        <v>3.211345517680678</v>
      </c>
      <c r="AK9" s="399">
        <f>D9</f>
        <v>1.6706483488912187</v>
      </c>
      <c r="AL9" s="400">
        <f t="shared" si="2"/>
        <v>2.7935977969415777</v>
      </c>
      <c r="AM9" s="399">
        <f>E9</f>
        <v>1.3681655421959218</v>
      </c>
      <c r="AN9" s="400">
        <f t="shared" si="3"/>
        <v>2.7596973405048981</v>
      </c>
      <c r="AO9" s="399">
        <f>F9</f>
        <v>1.2241238462188533</v>
      </c>
      <c r="AP9" s="400">
        <f t="shared" si="4"/>
        <v>2.9080352443053958</v>
      </c>
      <c r="AQ9" s="399">
        <f>G9</f>
        <v>1.1484783444784934</v>
      </c>
    </row>
    <row r="10" spans="1:45" ht="14.65" outlineLevel="1" thickBot="1" x14ac:dyDescent="0.45">
      <c r="B10" s="355" t="s">
        <v>20</v>
      </c>
      <c r="C10" s="356">
        <f>+'BionTech Ratios'!G12</f>
        <v>-0.47127385955407819</v>
      </c>
      <c r="D10" s="357">
        <f>+'BionTech Ratios'!H12</f>
        <v>1.6297716389712783E-2</v>
      </c>
      <c r="E10" s="357">
        <f>+'BionTech Ratios'!I12</f>
        <v>1.5517696279823605</v>
      </c>
      <c r="F10" s="357">
        <f>+'BionTech Ratios'!J12</f>
        <v>0.59058570923306619</v>
      </c>
      <c r="G10" s="358">
        <f>+'BionTech Ratios'!K12</f>
        <v>4.6167016116025451E-2</v>
      </c>
      <c r="H10" s="356">
        <f>+'Astra Zeneca Ratios'!G12</f>
        <v>8.6743921046910949E-2</v>
      </c>
      <c r="I10" s="357">
        <f>+'Astra Zeneca Ratios'!H12</f>
        <v>0.21385319172183997</v>
      </c>
      <c r="J10" s="357">
        <f>+'Astra Zeneca Ratios'!I12</f>
        <v>4.1109993053959869E-3</v>
      </c>
      <c r="K10" s="357">
        <f>+'Astra Zeneca Ratios'!J12</f>
        <v>9.0513365818056329E-2</v>
      </c>
      <c r="L10" s="358">
        <f>+'Astra Zeneca Ratios'!K12</f>
        <v>0.15727334195499859</v>
      </c>
      <c r="M10" s="356">
        <f>+'Moderna Ratios'!G12</f>
        <v>-0.38531300204289121</v>
      </c>
      <c r="N10" s="357">
        <f>+'Moderna Ratios'!H12</f>
        <v>-0.4172696507426224</v>
      </c>
      <c r="O10" s="357">
        <f>+'Moderna Ratios'!I12</f>
        <v>1.4207040848881134</v>
      </c>
      <c r="P10" s="357">
        <f>+'Moderna Ratios'!J12</f>
        <v>0.52453724955276082</v>
      </c>
      <c r="Q10" s="358">
        <f>+'Moderna Ratios'!K12</f>
        <v>-0.28657389521612386</v>
      </c>
      <c r="R10" s="356">
        <f>+'Sanofi Ratios'!G12</f>
        <v>4.8805648332135451E-2</v>
      </c>
      <c r="S10" s="357">
        <f>+'Sanofi Ratios'!H12</f>
        <v>0.20133570647115492</v>
      </c>
      <c r="T10" s="357">
        <f>+'Sanofi Ratios'!I12</f>
        <v>9.493283339506968E-2</v>
      </c>
      <c r="U10" s="357">
        <f>+'Sanofi Ratios'!J12</f>
        <v>0.11212140127476886</v>
      </c>
      <c r="V10" s="358">
        <f>+'Sanofi Ratios'!K12</f>
        <v>6.8198388013778796E-2</v>
      </c>
      <c r="W10" s="356">
        <f>+'GSK Ratios'!G12</f>
        <v>0.46652017837058662</v>
      </c>
      <c r="X10" s="357">
        <f>+'GSK Ratios'!H12</f>
        <v>0.25582575360992948</v>
      </c>
      <c r="Y10" s="357">
        <f>+'GSK Ratios'!I12</f>
        <v>0.16821699034785592</v>
      </c>
      <c r="Z10" s="357">
        <f>+'GSK Ratios'!J12</f>
        <v>0.31380251844978108</v>
      </c>
      <c r="AA10" s="358">
        <f>+'GSK Ratios'!K12</f>
        <v>0.46723004690523062</v>
      </c>
      <c r="AB10" s="357">
        <f>+'Takeda Ratios'!G12</f>
        <v>3.9215979819243246E-3</v>
      </c>
      <c r="AC10" s="357">
        <f>+'Takeda Ratios'!H12</f>
        <v>3.8659778733054262E-2</v>
      </c>
      <c r="AD10" s="357">
        <f>+'Takeda Ratios'!I12</f>
        <v>8.7236597639449201E-2</v>
      </c>
      <c r="AE10" s="357">
        <f>+'Takeda Ratios'!J12</f>
        <v>4.7119107467967408E-2</v>
      </c>
      <c r="AF10" s="358">
        <f>+'Takeda Ratios'!K12</f>
        <v>2.7004855725433E-2</v>
      </c>
      <c r="AH10" s="401">
        <f t="shared" si="0"/>
        <v>0.15149783643288936</v>
      </c>
      <c r="AI10" s="402">
        <f>C10</f>
        <v>-0.47127385955407819</v>
      </c>
      <c r="AJ10" s="403">
        <f t="shared" si="1"/>
        <v>0.17741860763399464</v>
      </c>
      <c r="AK10" s="402">
        <f>D10</f>
        <v>1.6297716389712783E-2</v>
      </c>
      <c r="AL10" s="403">
        <f t="shared" si="2"/>
        <v>8.8624355171942698E-2</v>
      </c>
      <c r="AM10" s="402">
        <f>E10</f>
        <v>1.5517696279823605</v>
      </c>
      <c r="AN10" s="403">
        <f t="shared" si="3"/>
        <v>0.14088909825264342</v>
      </c>
      <c r="AO10" s="402">
        <f>F10</f>
        <v>0.59058570923306619</v>
      </c>
      <c r="AP10" s="403">
        <f t="shared" si="4"/>
        <v>0.17992665814986025</v>
      </c>
      <c r="AQ10" s="402">
        <f>G10</f>
        <v>4.6167016116025451E-2</v>
      </c>
    </row>
    <row r="11" spans="1:45" ht="13.5" outlineLevel="1" thickTop="1" x14ac:dyDescent="0.4">
      <c r="C11" s="359"/>
      <c r="G11" s="360"/>
      <c r="H11" s="359"/>
      <c r="L11" s="360"/>
      <c r="M11" s="359"/>
      <c r="Q11" s="360"/>
      <c r="R11" s="359"/>
      <c r="V11" s="360"/>
      <c r="W11" s="359"/>
      <c r="AA11" s="360"/>
      <c r="AF11" s="360"/>
      <c r="AH11" s="404"/>
      <c r="AI11" s="405"/>
      <c r="AJ11" s="104"/>
      <c r="AK11" s="405"/>
      <c r="AL11" s="104"/>
      <c r="AM11" s="405"/>
      <c r="AN11" s="104"/>
      <c r="AO11" s="405"/>
      <c r="AP11" s="104"/>
      <c r="AQ11" s="405"/>
    </row>
    <row r="12" spans="1:45" s="114" customFormat="1" ht="14.25" outlineLevel="1" x14ac:dyDescent="0.4">
      <c r="B12" s="361" t="s">
        <v>21</v>
      </c>
      <c r="C12" s="339"/>
      <c r="G12" s="340"/>
      <c r="H12" s="339"/>
      <c r="L12" s="340"/>
      <c r="M12" s="339"/>
      <c r="Q12" s="340"/>
      <c r="R12" s="339"/>
      <c r="V12" s="340"/>
      <c r="W12" s="339"/>
      <c r="AA12" s="340"/>
      <c r="AF12" s="340"/>
      <c r="AH12" s="406"/>
      <c r="AI12" s="407"/>
      <c r="AJ12" s="335"/>
      <c r="AK12" s="407"/>
      <c r="AL12" s="335"/>
      <c r="AM12" s="407"/>
      <c r="AN12" s="335"/>
      <c r="AO12" s="407"/>
      <c r="AP12" s="335"/>
      <c r="AQ12" s="407"/>
    </row>
    <row r="13" spans="1:45" ht="14.25" outlineLevel="1" x14ac:dyDescent="0.4">
      <c r="B13" s="341" t="s">
        <v>22</v>
      </c>
      <c r="C13" s="342">
        <f>+'BionTech Ratios'!G16</f>
        <v>-1.6560865561694289</v>
      </c>
      <c r="D13" s="343">
        <f>+'BionTech Ratios'!H16</f>
        <v>7.2266224341696189E-2</v>
      </c>
      <c r="E13" s="343">
        <f>+'BionTech Ratios'!I16</f>
        <v>0.54625377436540612</v>
      </c>
      <c r="F13" s="343">
        <f>+'BionTech Ratios'!J16</f>
        <v>0.53943052233891364</v>
      </c>
      <c r="G13" s="344">
        <f>+'BionTech Ratios'!K16</f>
        <v>0.2033603037444357</v>
      </c>
      <c r="H13" s="342">
        <f>+'Astra Zeneca Ratios'!G16</f>
        <v>5.0319815192079037E-2</v>
      </c>
      <c r="I13" s="343">
        <f>+'Astra Zeneca Ratios'!H16</f>
        <v>0.11811994072108972</v>
      </c>
      <c r="J13" s="343">
        <f>+'Astra Zeneca Ratios'!I16</f>
        <v>3.073472791101563E-3</v>
      </c>
      <c r="K13" s="343">
        <f>+'Astra Zeneca Ratios'!J16</f>
        <v>7.4248582454083722E-2</v>
      </c>
      <c r="L13" s="344">
        <f>+'Astra Zeneca Ratios'!K16</f>
        <v>0.13012158440668298</v>
      </c>
      <c r="M13" s="342">
        <f>+'Moderna Ratios'!G16</f>
        <v>-8.56669776119403</v>
      </c>
      <c r="N13" s="343">
        <f>+'Moderna Ratios'!H16</f>
        <v>-0.9302605574612115</v>
      </c>
      <c r="O13" s="343">
        <f>+'Moderna Ratios'!I16</f>
        <v>0.66060313030278117</v>
      </c>
      <c r="P13" s="343">
        <f>+'Moderna Ratios'!J16</f>
        <v>0.43409645114420198</v>
      </c>
      <c r="Q13" s="344">
        <f>+'Moderna Ratios'!K16</f>
        <v>-0.68837626796706064</v>
      </c>
      <c r="R13" s="342">
        <f>+'Sanofi Ratios'!G16</f>
        <v>7.6692088969200919E-2</v>
      </c>
      <c r="S13" s="343">
        <f>+'Sanofi Ratios'!H16</f>
        <v>0.32995263453664803</v>
      </c>
      <c r="T13" s="343">
        <f>+'Sanofi Ratios'!I16</f>
        <v>0.16028079132099554</v>
      </c>
      <c r="U13" s="343">
        <f>+'Sanofi Ratios'!J16</f>
        <v>0.20055081381500595</v>
      </c>
      <c r="V13" s="344">
        <f>+'Sanofi Ratios'!K16</f>
        <v>0.12401177357756209</v>
      </c>
      <c r="W13" s="342">
        <f>+'GSK Ratios'!G16</f>
        <v>0.15680007297700957</v>
      </c>
      <c r="X13" s="343">
        <f>+'GSK Ratios'!H16</f>
        <v>0.2110458478993274</v>
      </c>
      <c r="Y13" s="343">
        <f>+'GSK Ratios'!I16</f>
        <v>0.14366132440853244</v>
      </c>
      <c r="Z13" s="343">
        <f>+'GSK Ratios'!J16</f>
        <v>0.16863215373661447</v>
      </c>
      <c r="AA13" s="344">
        <f>+'GSK Ratios'!K16</f>
        <v>0.17613364486991628</v>
      </c>
      <c r="AB13" s="343">
        <f>+'Takeda Ratios'!G16</f>
        <v>5.2042531458680727E-3</v>
      </c>
      <c r="AC13" s="343">
        <f>+'Takeda Ratios'!H16</f>
        <v>5.827923932736221E-2</v>
      </c>
      <c r="AD13" s="343">
        <f>+'Takeda Ratios'!I16</f>
        <v>0.12752955935981389</v>
      </c>
      <c r="AE13" s="343">
        <f>+'Takeda Ratios'!J16</f>
        <v>7.0306445814991708E-2</v>
      </c>
      <c r="AF13" s="344">
        <f>+'Takeda Ratios'!K16</f>
        <v>4.382804377084841E-2</v>
      </c>
      <c r="AH13" s="389">
        <f t="shared" si="0"/>
        <v>7.2254057571039407E-2</v>
      </c>
      <c r="AI13" s="390">
        <f>C13</f>
        <v>-1.6560865561694289</v>
      </c>
      <c r="AJ13" s="391">
        <f t="shared" si="1"/>
        <v>0.17934941562110684</v>
      </c>
      <c r="AK13" s="390">
        <f>D13</f>
        <v>7.2266224341696189E-2</v>
      </c>
      <c r="AL13" s="391">
        <f t="shared" si="2"/>
        <v>0.10863628697011085</v>
      </c>
      <c r="AM13" s="390">
        <f>E13</f>
        <v>0.54625377436540612</v>
      </c>
      <c r="AN13" s="391">
        <f t="shared" si="3"/>
        <v>0.12843449895517395</v>
      </c>
      <c r="AO13" s="390">
        <f>F13</f>
        <v>0.53943052233891364</v>
      </c>
      <c r="AP13" s="391">
        <f t="shared" si="4"/>
        <v>0.11852376165625245</v>
      </c>
      <c r="AQ13" s="390">
        <f>G13</f>
        <v>0.2033603037444357</v>
      </c>
    </row>
    <row r="14" spans="1:45" ht="14.25" outlineLevel="1" x14ac:dyDescent="0.4">
      <c r="B14" s="341" t="s">
        <v>23</v>
      </c>
      <c r="C14" s="353">
        <f>+'BionTech Ratios'!G17</f>
        <v>-2.5810975011957802</v>
      </c>
      <c r="D14" s="293">
        <f>+'BionTech Ratios'!H17</f>
        <v>2.0104251988853665</v>
      </c>
      <c r="E14" s="293">
        <f>+'BionTech Ratios'!I17</f>
        <v>3.2012382072985068</v>
      </c>
      <c r="F14" s="293">
        <f>+'BionTech Ratios'!J17</f>
        <v>1.8605481010518825</v>
      </c>
      <c r="G14" s="354">
        <f>+'BionTech Ratios'!K17</f>
        <v>0.50939764628675932</v>
      </c>
      <c r="H14" s="353">
        <f>+'Astra Zeneca Ratios'!G17</f>
        <v>0.76102786302847092</v>
      </c>
      <c r="I14" s="293">
        <f>+'Astra Zeneca Ratios'!H17</f>
        <v>0.82850142508729452</v>
      </c>
      <c r="J14" s="293">
        <f>+'Astra Zeneca Ratios'!I17</f>
        <v>0.71431684953183361</v>
      </c>
      <c r="K14" s="293">
        <f>+'Astra Zeneca Ratios'!J17</f>
        <v>0.69730987923201859</v>
      </c>
      <c r="L14" s="354">
        <f>+'Astra Zeneca Ratios'!K17</f>
        <v>0.71170839176417577</v>
      </c>
      <c r="M14" s="353">
        <f>+'Moderna Ratios'!G17</f>
        <v>-1.6970080734525872</v>
      </c>
      <c r="N14" s="293">
        <f>+'Moderna Ratios'!H17</f>
        <v>-0.73307655975585184</v>
      </c>
      <c r="O14" s="293">
        <f>+'Moderna Ratios'!I17</f>
        <v>-9.2139920885885349</v>
      </c>
      <c r="P14" s="293">
        <f>+'Moderna Ratios'!J17</f>
        <v>25.812795481951504</v>
      </c>
      <c r="Q14" s="354">
        <f>+'Moderna Ratios'!K17</f>
        <v>2.669739219709129</v>
      </c>
      <c r="R14" s="353">
        <f>+'Sanofi Ratios'!G17</f>
        <v>0.49359446055612166</v>
      </c>
      <c r="S14" s="293">
        <f>+'Sanofi Ratios'!H17</f>
        <v>0.4916844293571222</v>
      </c>
      <c r="T14" s="293">
        <f>+'Sanofi Ratios'!I17</f>
        <v>0.49004523302010466</v>
      </c>
      <c r="U14" s="293">
        <f>+'Sanofi Ratios'!J17</f>
        <v>0.47768000926820581</v>
      </c>
      <c r="V14" s="354">
        <f>+'Sanofi Ratios'!K17</f>
        <v>0.48197206522315789</v>
      </c>
      <c r="W14" s="353">
        <f>+'GSK Ratios'!G17</f>
        <v>0.89187874827041114</v>
      </c>
      <c r="X14" s="293">
        <f>+'GSK Ratios'!H17</f>
        <v>0.5372183916137464</v>
      </c>
      <c r="Y14" s="293">
        <f>+'GSK Ratios'!I17</f>
        <v>0.58446900709363458</v>
      </c>
      <c r="Z14" s="293">
        <f>+'GSK Ratios'!J17</f>
        <v>0.82239206450607161</v>
      </c>
      <c r="AA14" s="354">
        <f>+'GSK Ratios'!K17</f>
        <v>1.0333967360894623</v>
      </c>
      <c r="AB14" s="293">
        <f>+'Takeda Ratios'!G17</f>
        <v>0.46154454495413505</v>
      </c>
      <c r="AC14" s="293">
        <f>+'Takeda Ratios'!H17</f>
        <v>0.33692916350141339</v>
      </c>
      <c r="AD14" s="293">
        <f>+'Takeda Ratios'!I17</f>
        <v>0.36690055000972782</v>
      </c>
      <c r="AE14" s="293">
        <f>+'Takeda Ratios'!J17</f>
        <v>0.3949316444281547</v>
      </c>
      <c r="AF14" s="354">
        <f>+'Takeda Ratios'!K17</f>
        <v>0.36392834889041403</v>
      </c>
      <c r="AH14" s="398">
        <f t="shared" si="0"/>
        <v>0.65201140420228465</v>
      </c>
      <c r="AI14" s="399">
        <f>C14</f>
        <v>-2.5810975011957802</v>
      </c>
      <c r="AJ14" s="400">
        <f t="shared" si="1"/>
        <v>0.54858335238989409</v>
      </c>
      <c r="AK14" s="399">
        <f>D14</f>
        <v>2.0104251988853665</v>
      </c>
      <c r="AL14" s="400">
        <f t="shared" si="2"/>
        <v>0.53893290991382514</v>
      </c>
      <c r="AM14" s="399">
        <f>E14</f>
        <v>3.2012382072985068</v>
      </c>
      <c r="AN14" s="400">
        <f t="shared" si="3"/>
        <v>0.59807839935861262</v>
      </c>
      <c r="AO14" s="399">
        <f>F14</f>
        <v>1.8605481010518825</v>
      </c>
      <c r="AP14" s="400">
        <f t="shared" si="4"/>
        <v>0.64775138549180244</v>
      </c>
      <c r="AQ14" s="399">
        <f>G14</f>
        <v>0.50939764628675932</v>
      </c>
    </row>
    <row r="15" spans="1:45" ht="28.9" outlineLevel="1" thickBot="1" x14ac:dyDescent="0.45">
      <c r="B15" s="355" t="s">
        <v>24</v>
      </c>
      <c r="C15" s="356">
        <f>+'BionTech Ratios'!G18</f>
        <v>4.2745208718928378</v>
      </c>
      <c r="D15" s="357">
        <f>+'BionTech Ratios'!H18</f>
        <v>0.14528583844484907</v>
      </c>
      <c r="E15" s="357">
        <f>+'BionTech Ratios'!I18</f>
        <v>1.7486884533795557</v>
      </c>
      <c r="F15" s="357">
        <f>+'BionTech Ratios'!J18</f>
        <v>1.0036364339870909</v>
      </c>
      <c r="G15" s="358">
        <f>+'BionTech Ratios'!K18</f>
        <v>0.10359126007557599</v>
      </c>
      <c r="H15" s="356">
        <f>+'Astra Zeneca Ratios'!G18</f>
        <v>3.8294781423615497E-2</v>
      </c>
      <c r="I15" s="357">
        <f>+'Astra Zeneca Ratios'!H18</f>
        <v>9.7862539218649583E-2</v>
      </c>
      <c r="J15" s="357">
        <f>+'Astra Zeneca Ratios'!I18</f>
        <v>2.1954334012614799E-3</v>
      </c>
      <c r="K15" s="357">
        <f>+'Astra Zeneca Ratios'!J18</f>
        <v>5.1774270064205694E-2</v>
      </c>
      <c r="L15" s="358">
        <f>+'Astra Zeneca Ratios'!K18</f>
        <v>9.2608623571886789E-2</v>
      </c>
      <c r="M15" s="356">
        <f>+'Moderna Ratios'!G18</f>
        <v>14.537755263574473</v>
      </c>
      <c r="N15" s="357">
        <f>+'Moderna Ratios'!H18</f>
        <v>0.68195220914022581</v>
      </c>
      <c r="O15" s="357">
        <f>+'Moderna Ratios'!I18</f>
        <v>-6.0867920163066467</v>
      </c>
      <c r="P15" s="357">
        <f>+'Moderna Ratios'!J18</f>
        <v>11.205242912826238</v>
      </c>
      <c r="Q15" s="358">
        <f>+'Moderna Ratios'!K18</f>
        <v>-1.8377851205086628</v>
      </c>
      <c r="R15" s="356">
        <f>+'Sanofi Ratios'!G18</f>
        <v>3.7854790283674819E-2</v>
      </c>
      <c r="S15" s="357">
        <f>+'Sanofi Ratios'!H18</f>
        <v>0.16223257282703088</v>
      </c>
      <c r="T15" s="357">
        <f>+'Sanofi Ratios'!I18</f>
        <v>7.8544837731544026E-2</v>
      </c>
      <c r="U15" s="357">
        <f>+'Sanofi Ratios'!J18</f>
        <v>9.5799114601898258E-2</v>
      </c>
      <c r="V15" s="358">
        <f>+'Sanofi Ratios'!K18</f>
        <v>5.977021062316424E-2</v>
      </c>
      <c r="W15" s="356">
        <f>+'GSK Ratios'!G18</f>
        <v>0.13984665281544442</v>
      </c>
      <c r="X15" s="357">
        <f>+'GSK Ratios'!H18</f>
        <v>0.11337771096523602</v>
      </c>
      <c r="Y15" s="357">
        <f>+'GSK Ratios'!I18</f>
        <v>8.3965591634811487E-2</v>
      </c>
      <c r="Z15" s="357">
        <f>+'GSK Ratios'!J18</f>
        <v>0.13868174505355962</v>
      </c>
      <c r="AA15" s="358">
        <f>+'GSK Ratios'!K18</f>
        <v>0.18201593372411196</v>
      </c>
      <c r="AB15" s="357">
        <f>+'Takeda Ratios'!G18</f>
        <v>2.4019946500358053E-3</v>
      </c>
      <c r="AC15" s="357">
        <f>+'Takeda Ratios'!H18</f>
        <v>1.9635975356066822E-2</v>
      </c>
      <c r="AD15" s="357">
        <f>+'Takeda Ratios'!I18</f>
        <v>4.6790665471613951E-2</v>
      </c>
      <c r="AE15" s="357">
        <f>+'Takeda Ratios'!J18</f>
        <v>2.776624025961363E-2</v>
      </c>
      <c r="AF15" s="358">
        <f>+'Takeda Ratios'!K18</f>
        <v>1.5950267604621659E-2</v>
      </c>
      <c r="AH15" s="401">
        <f t="shared" si="0"/>
        <v>5.4599554793192631E-2</v>
      </c>
      <c r="AI15" s="402" t="str">
        <f>TEXT(C15, "0%") &amp; "**"</f>
        <v>427%**</v>
      </c>
      <c r="AJ15" s="403">
        <f t="shared" si="1"/>
        <v>9.8277199591745829E-2</v>
      </c>
      <c r="AK15" s="402">
        <f>D15</f>
        <v>0.14528583844484907</v>
      </c>
      <c r="AL15" s="403">
        <f t="shared" si="2"/>
        <v>5.2874132059807739E-2</v>
      </c>
      <c r="AM15" s="402">
        <f>E15</f>
        <v>1.7486884533795557</v>
      </c>
      <c r="AN15" s="403">
        <f t="shared" si="3"/>
        <v>7.8505342494819302E-2</v>
      </c>
      <c r="AO15" s="402">
        <f>F15</f>
        <v>1.0036364339870909</v>
      </c>
      <c r="AP15" s="403">
        <f>AVERAGE(L15,V15,AA15,AF15)</f>
        <v>8.7586258880946163E-2</v>
      </c>
      <c r="AQ15" s="402">
        <f>G15</f>
        <v>0.10359126007557599</v>
      </c>
    </row>
    <row r="16" spans="1:45" ht="13.5" outlineLevel="1" thickTop="1" x14ac:dyDescent="0.4">
      <c r="C16" s="359"/>
      <c r="G16" s="360"/>
      <c r="H16" s="359"/>
      <c r="L16" s="360"/>
      <c r="M16" s="359"/>
      <c r="Q16" s="360"/>
      <c r="R16" s="359"/>
      <c r="V16" s="360"/>
      <c r="W16" s="359"/>
      <c r="AA16" s="360"/>
      <c r="AF16" s="360"/>
      <c r="AH16" s="404"/>
      <c r="AI16" s="405"/>
      <c r="AJ16" s="104"/>
      <c r="AK16" s="405"/>
      <c r="AL16" s="104"/>
      <c r="AM16" s="405"/>
      <c r="AN16" s="104"/>
      <c r="AO16" s="405"/>
      <c r="AP16" s="104"/>
      <c r="AQ16" s="405"/>
    </row>
    <row r="17" spans="2:43" s="114" customFormat="1" outlineLevel="1" x14ac:dyDescent="0.4">
      <c r="B17" s="114" t="s">
        <v>25</v>
      </c>
      <c r="C17" s="339"/>
      <c r="G17" s="340"/>
      <c r="H17" s="339"/>
      <c r="L17" s="340"/>
      <c r="M17" s="339"/>
      <c r="Q17" s="340"/>
      <c r="R17" s="339"/>
      <c r="V17" s="340"/>
      <c r="W17" s="339"/>
      <c r="AA17" s="340"/>
      <c r="AF17" s="340"/>
      <c r="AH17" s="406"/>
      <c r="AI17" s="407"/>
      <c r="AJ17" s="335"/>
      <c r="AK17" s="407"/>
      <c r="AL17" s="335"/>
      <c r="AM17" s="407"/>
      <c r="AN17" s="335"/>
      <c r="AO17" s="407"/>
      <c r="AP17" s="335"/>
      <c r="AQ17" s="407"/>
    </row>
    <row r="18" spans="2:43" s="426" customFormat="1" ht="14.25" outlineLevel="1" x14ac:dyDescent="0.4">
      <c r="B18" s="341" t="s">
        <v>26</v>
      </c>
      <c r="C18" s="422">
        <f>+'BionTech Ratios'!G44</f>
        <v>0.83977900552486195</v>
      </c>
      <c r="D18" s="425">
        <f>+'BionTech Ratios'!H44</f>
        <v>0.87704748082106576</v>
      </c>
      <c r="E18" s="423">
        <f>+'BionTech Ratios'!I44</f>
        <v>0.84657501040749972</v>
      </c>
      <c r="F18" s="423">
        <f>+'BionTech Ratios'!J44</f>
        <v>0.82698462213903623</v>
      </c>
      <c r="G18" s="424">
        <f>+'BionTech Ratios'!K44</f>
        <v>0.84294317884262893</v>
      </c>
      <c r="H18" s="422">
        <f>+'Astra Zeneca Ratios'!G44</f>
        <v>0.80118109269276305</v>
      </c>
      <c r="I18" s="423">
        <f>+'Astra Zeneca Ratios'!H44</f>
        <v>0.80290790305373594</v>
      </c>
      <c r="J18" s="423">
        <f>+'Astra Zeneca Ratios'!I44</f>
        <v>0.67915654694249872</v>
      </c>
      <c r="K18" s="423">
        <f>+'Astra Zeneca Ratios'!J44</f>
        <v>0.80516785803292612</v>
      </c>
      <c r="L18" s="424">
        <f>+'Astra Zeneca Ratios'!K44</f>
        <v>0.82449630531059093</v>
      </c>
      <c r="M18" s="422">
        <f>+'Moderna Ratios'!G44</f>
        <v>-7.2666791044776122</v>
      </c>
      <c r="N18" s="425">
        <f>+'Moderna Ratios'!H44</f>
        <v>-0.71606449194702515</v>
      </c>
      <c r="O18" s="425">
        <f>+'Moderna Ratios'!I44</f>
        <v>0.75052786620968281</v>
      </c>
      <c r="P18" s="425">
        <f>+'Moderna Ratios'!J44</f>
        <v>0.54778590369728541</v>
      </c>
      <c r="Q18" s="424">
        <f>+'Moderna Ratios'!K44</f>
        <v>-0.39281546515217181</v>
      </c>
      <c r="R18" s="422">
        <f>+'Sanofi Ratios'!G44</f>
        <v>0.68175174722967768</v>
      </c>
      <c r="S18" s="425">
        <f>+'Sanofi Ratios'!H44</f>
        <v>0.67604163879151169</v>
      </c>
      <c r="T18" s="425">
        <f>+'Sanofi Ratios'!I44</f>
        <v>0.68727504786215698</v>
      </c>
      <c r="U18" s="425">
        <f>+'Sanofi Ratios'!J44</f>
        <v>0.70551310043668125</v>
      </c>
      <c r="V18" s="424">
        <f>+'Sanofi Ratios'!K44</f>
        <v>0.69303558831399448</v>
      </c>
      <c r="W18" s="422">
        <f>+'GSK Ratios'!G44</f>
        <v>0.68027493376390669</v>
      </c>
      <c r="X18" s="425">
        <f>+'GSK Ratios'!H44</f>
        <v>0.69939229255845126</v>
      </c>
      <c r="Y18" s="425">
        <f>+'GSK Ratios'!I44</f>
        <v>0.67472466163068812</v>
      </c>
      <c r="Z18" s="425">
        <f>+'GSK Ratios'!J44</f>
        <v>0.67920475644504064</v>
      </c>
      <c r="AA18" s="424">
        <f>+'GSK Ratios'!K44</f>
        <v>0.72342389195670898</v>
      </c>
      <c r="AB18" s="425">
        <f>+'Takeda Ratios'!G44</f>
        <v>0.72106006510646425</v>
      </c>
      <c r="AC18" s="425">
        <f>+'Takeda Ratios'!H44</f>
        <v>0.63973568229965383</v>
      </c>
      <c r="AD18" s="425">
        <f>+'Takeda Ratios'!I44</f>
        <v>0.69065873699944969</v>
      </c>
      <c r="AE18" s="425">
        <f>+'Takeda Ratios'!J44</f>
        <v>0.6781099510158537</v>
      </c>
      <c r="AF18" s="424">
        <f>+'Takeda Ratios'!K44</f>
        <v>0.67761089422978471</v>
      </c>
      <c r="AH18" s="427">
        <f t="shared" si="0"/>
        <v>0.721066959698203</v>
      </c>
      <c r="AI18" s="428">
        <f>C18</f>
        <v>0.83977900552486195</v>
      </c>
      <c r="AJ18" s="429">
        <f t="shared" si="1"/>
        <v>0.70451937917583818</v>
      </c>
      <c r="AK18" s="428">
        <f>D18</f>
        <v>0.87704748082106576</v>
      </c>
      <c r="AL18" s="429">
        <f t="shared" si="2"/>
        <v>0.68295374835869849</v>
      </c>
      <c r="AM18" s="428">
        <f>E18</f>
        <v>0.84657501040749972</v>
      </c>
      <c r="AN18" s="429">
        <f t="shared" si="3"/>
        <v>0.71699891648262548</v>
      </c>
      <c r="AO18" s="428">
        <f>F18</f>
        <v>0.82698462213903623</v>
      </c>
      <c r="AP18" s="429">
        <f t="shared" si="4"/>
        <v>0.72964166995276969</v>
      </c>
      <c r="AQ18" s="428">
        <f>G18</f>
        <v>0.84294317884262893</v>
      </c>
    </row>
    <row r="19" spans="2:43" s="426" customFormat="1" ht="14.25" outlineLevel="1" x14ac:dyDescent="0.4">
      <c r="B19" s="341" t="s">
        <v>27</v>
      </c>
      <c r="C19" s="422">
        <f>+'BionTech Ratios'!G45</f>
        <v>-1.9456721915285453</v>
      </c>
      <c r="D19" s="425">
        <f>+'BionTech Ratios'!H45</f>
        <v>-0.24777109682770054</v>
      </c>
      <c r="E19" s="423">
        <f>+'BionTech Ratios'!I45</f>
        <v>0.80500297733536397</v>
      </c>
      <c r="F19" s="423">
        <f>+'BionTech Ratios'!J45</f>
        <v>0.74230240430718752</v>
      </c>
      <c r="G19" s="424">
        <f>+'BionTech Ratios'!K45</f>
        <v>0.26881382560879813</v>
      </c>
      <c r="H19" s="422">
        <f>+'Astra Zeneca Ratios'!G45</f>
        <v>-1.5830153069939706E-2</v>
      </c>
      <c r="I19" s="423">
        <f>+'Astra Zeneca Ratios'!H45</f>
        <v>6.8339722348234072E-2</v>
      </c>
      <c r="J19" s="423">
        <f>+'Astra Zeneca Ratios'!I45</f>
        <v>-9.4288654460876309E-2</v>
      </c>
      <c r="K19" s="423">
        <f>+'Astra Zeneca Ratios'!J45</f>
        <v>-3.9683440520547217E-2</v>
      </c>
      <c r="L19" s="424">
        <f>+'Astra Zeneca Ratios'!K45</f>
        <v>7.1314751473485691E-2</v>
      </c>
      <c r="M19" s="422">
        <f>+'Moderna Ratios'!G45</f>
        <v>-10.10524253731343</v>
      </c>
      <c r="N19" s="425">
        <f>+'Moderna Ratios'!H45</f>
        <v>-1.1927205197519364</v>
      </c>
      <c r="O19" s="425">
        <f>+'Moderna Ratios'!I45</f>
        <v>0.69896916255296981</v>
      </c>
      <c r="P19" s="425">
        <f>+'Moderna Ratios'!J45</f>
        <v>0.46723081592567672</v>
      </c>
      <c r="Q19" s="424">
        <f>+'Moderna Ratios'!K45</f>
        <v>-0.59768452182178322</v>
      </c>
      <c r="R19" s="422">
        <f>+'Sanofi Ratios'!G45</f>
        <v>-1.1161010868698112E-3</v>
      </c>
      <c r="S19" s="425">
        <f>+'Sanofi Ratios'!H45</f>
        <v>0.30533329765313488</v>
      </c>
      <c r="T19" s="425">
        <f>+'Sanofi Ratios'!I45</f>
        <v>0.13268666241225269</v>
      </c>
      <c r="U19" s="425">
        <f>+'Sanofi Ratios'!J45</f>
        <v>0.18214073044859075</v>
      </c>
      <c r="V19" s="424">
        <f>+'Sanofi Ratios'!K45</f>
        <v>8.4093507504439405E-2</v>
      </c>
      <c r="W19" s="422">
        <f>+'GSK Ratios'!G45</f>
        <v>0.14113883003054875</v>
      </c>
      <c r="X19" s="425">
        <f>+'GSK Ratios'!H45</f>
        <v>0.16276586858453834</v>
      </c>
      <c r="Y19" s="425">
        <f>+'GSK Ratios'!I45</f>
        <v>9.0662440936770033E-2</v>
      </c>
      <c r="Z19" s="425">
        <f>+'GSK Ratios'!J45</f>
        <v>0.1535943178101544</v>
      </c>
      <c r="AA19" s="424">
        <f>+'GSK Ratios'!K45</f>
        <v>0.15441181847083257</v>
      </c>
      <c r="AB19" s="425">
        <f>+'Takeda Ratios'!G45</f>
        <v>-1.2205699817970268E-2</v>
      </c>
      <c r="AC19" s="425">
        <f>+'Takeda Ratios'!H45</f>
        <v>6.455472312994906E-2</v>
      </c>
      <c r="AD19" s="425">
        <f>+'Takeda Ratios'!I45</f>
        <v>0.13957242380738591</v>
      </c>
      <c r="AE19" s="425">
        <f>+'Takeda Ratios'!J45</f>
        <v>5.4394058785448E-2</v>
      </c>
      <c r="AF19" s="424">
        <f>+'Takeda Ratios'!K45</f>
        <v>6.2961157218220015E-2</v>
      </c>
      <c r="AH19" s="427">
        <f t="shared" si="0"/>
        <v>2.7996719013942239E-2</v>
      </c>
      <c r="AI19" s="428">
        <f>C19</f>
        <v>-1.9456721915285453</v>
      </c>
      <c r="AJ19" s="429">
        <f t="shared" si="1"/>
        <v>0.15024840292896408</v>
      </c>
      <c r="AK19" s="428">
        <f>D19</f>
        <v>-0.24777109682770054</v>
      </c>
      <c r="AL19" s="429">
        <f t="shared" si="2"/>
        <v>6.715821817388308E-2</v>
      </c>
      <c r="AM19" s="428">
        <f>E19</f>
        <v>0.80500297733536397</v>
      </c>
      <c r="AN19" s="429">
        <f t="shared" si="3"/>
        <v>8.7611416630911487E-2</v>
      </c>
      <c r="AO19" s="428">
        <f>F19</f>
        <v>0.74230240430718752</v>
      </c>
      <c r="AP19" s="429">
        <f t="shared" si="4"/>
        <v>9.3195308666744414E-2</v>
      </c>
      <c r="AQ19" s="428">
        <f>G19</f>
        <v>0.26881382560879813</v>
      </c>
    </row>
    <row r="20" spans="2:43" outlineLevel="1" x14ac:dyDescent="0.4">
      <c r="C20" s="359"/>
      <c r="G20" s="360"/>
      <c r="H20" s="359"/>
      <c r="L20" s="360"/>
      <c r="M20" s="359"/>
      <c r="Q20" s="360"/>
      <c r="R20" s="359"/>
      <c r="V20" s="360"/>
      <c r="W20" s="359"/>
      <c r="AA20" s="360"/>
      <c r="AF20" s="360"/>
      <c r="AH20" s="404"/>
      <c r="AI20" s="405"/>
      <c r="AJ20" s="104"/>
      <c r="AK20" s="405"/>
      <c r="AL20" s="104"/>
      <c r="AM20" s="405"/>
      <c r="AN20" s="104"/>
      <c r="AO20" s="405"/>
      <c r="AP20" s="104"/>
      <c r="AQ20" s="405"/>
    </row>
    <row r="21" spans="2:43" ht="14.25" x14ac:dyDescent="0.4">
      <c r="B21" s="361" t="s">
        <v>28</v>
      </c>
      <c r="C21" s="359"/>
      <c r="G21" s="360"/>
      <c r="H21" s="359"/>
      <c r="L21" s="360"/>
      <c r="M21" s="359"/>
      <c r="Q21" s="360"/>
      <c r="R21" s="359"/>
      <c r="V21" s="360"/>
      <c r="W21" s="359"/>
      <c r="AA21" s="360"/>
      <c r="AF21" s="360"/>
      <c r="AH21" s="404"/>
      <c r="AI21" s="405"/>
      <c r="AJ21" s="104"/>
      <c r="AK21" s="405"/>
      <c r="AL21" s="104"/>
      <c r="AM21" s="405"/>
      <c r="AN21" s="104"/>
      <c r="AO21" s="405"/>
      <c r="AP21" s="104"/>
      <c r="AQ21" s="405"/>
    </row>
    <row r="22" spans="2:43" ht="14.25" x14ac:dyDescent="0.4">
      <c r="B22" s="341" t="s">
        <v>29</v>
      </c>
      <c r="C22" s="365">
        <f>+'BionTech Ratios'!G55</f>
        <v>0.82264002302786077</v>
      </c>
      <c r="D22" s="366">
        <f>+'BionTech Ratios'!H55</f>
        <v>2.0304718121003154</v>
      </c>
      <c r="E22" s="366">
        <f>+'BionTech Ratios'!I55</f>
        <v>44.039684381527046</v>
      </c>
      <c r="F22" s="366">
        <f>+'BionTech Ratios'!J55</f>
        <v>25.411920140927769</v>
      </c>
      <c r="G22" s="367">
        <f>+'BionTech Ratios'!K55</f>
        <v>4.0571549984064594</v>
      </c>
      <c r="H22" s="365">
        <f>+'Astra Zeneca Ratios'!G54</f>
        <v>2.8826183585574556</v>
      </c>
      <c r="I22" s="366">
        <f>+'Astra Zeneca Ratios'!H54</f>
        <v>2.9046862806269189</v>
      </c>
      <c r="J22" s="366">
        <f>+'Astra Zeneca Ratios'!I54</f>
        <v>3.5606724069399154</v>
      </c>
      <c r="K22" s="366">
        <f>+'Astra Zeneca Ratios'!J54</f>
        <v>4.329575341636386</v>
      </c>
      <c r="L22" s="367">
        <f>+'Astra Zeneca Ratios'!K54</f>
        <v>4.210390748034186</v>
      </c>
      <c r="M22" s="365">
        <f>+'Moderna Ratios'!G54</f>
        <v>0.24270031265777217</v>
      </c>
      <c r="N22" s="366">
        <f>+'Moderna Ratios'!H54</f>
        <v>2.4587200159182028</v>
      </c>
      <c r="O22" s="366">
        <f>+'Moderna Ratios'!I54</f>
        <v>20.393090779766972</v>
      </c>
      <c r="P22" s="366">
        <f>+'Moderna Ratios'!J54</f>
        <v>11.390819180154741</v>
      </c>
      <c r="Q22" s="367">
        <f>+'Moderna Ratios'!K54</f>
        <v>2.8748262373883802</v>
      </c>
      <c r="R22" s="365">
        <f>+'Sanofi Ratios'!G54</f>
        <v>3.4977924431844585</v>
      </c>
      <c r="S22" s="366">
        <f>+'Sanofi Ratios'!H54</f>
        <v>3.3081621813031159</v>
      </c>
      <c r="T22" s="366">
        <f>+'Sanofi Ratios'!I54</f>
        <v>3.3024236037934669</v>
      </c>
      <c r="U22" s="366">
        <f>+'Sanofi Ratios'!J54</f>
        <v>3.2112182296231375</v>
      </c>
      <c r="V22" s="367">
        <f>+'Sanofi Ratios'!K54</f>
        <v>3.3061766125140744</v>
      </c>
      <c r="W22" s="365">
        <f>+'GSK Ratios'!G54</f>
        <v>2.6853840840019734</v>
      </c>
      <c r="X22" s="366">
        <f>+'GSK Ratios'!H54</f>
        <v>1.9642622812747241</v>
      </c>
      <c r="Y22" s="366">
        <f>+'GSK Ratios'!I54</f>
        <v>2.0507631676713403</v>
      </c>
      <c r="Z22" s="366">
        <f>+'GSK Ratios'!J54</f>
        <v>2.566874838614166</v>
      </c>
      <c r="AA22" s="367">
        <f>+'GSK Ratios'!K54</f>
        <v>2.7436193717788857</v>
      </c>
      <c r="AB22" s="366">
        <f>+'Takeda Ratios'!G54</f>
        <v>2.9056942670694386</v>
      </c>
      <c r="AC22" s="366">
        <f>+'Takeda Ratios'!H54</f>
        <v>1.9850566738579392</v>
      </c>
      <c r="AD22" s="366">
        <f>+'Takeda Ratios'!I54</f>
        <v>1.9424457955760448</v>
      </c>
      <c r="AE22" s="366">
        <f>+'Takeda Ratios'!J54</f>
        <v>2.0477972468452097</v>
      </c>
      <c r="AF22" s="367">
        <f>+'Takeda Ratios'!K54</f>
        <v>1.9583968380229306</v>
      </c>
      <c r="AH22" s="410">
        <f t="shared" si="0"/>
        <v>2.9928722882033316</v>
      </c>
      <c r="AI22" s="411">
        <f>C22</f>
        <v>0.82264002302786077</v>
      </c>
      <c r="AJ22" s="412">
        <f t="shared" si="1"/>
        <v>2.5405418542656744</v>
      </c>
      <c r="AK22" s="411">
        <f>D22</f>
        <v>2.0304718121003154</v>
      </c>
      <c r="AL22" s="412">
        <f t="shared" si="2"/>
        <v>2.7140762434951919</v>
      </c>
      <c r="AM22" s="411">
        <f>E22</f>
        <v>44.039684381527046</v>
      </c>
      <c r="AN22" s="412">
        <f t="shared" si="3"/>
        <v>3.0388664141797248</v>
      </c>
      <c r="AO22" s="411">
        <f>F22</f>
        <v>25.411920140927769</v>
      </c>
      <c r="AP22" s="412">
        <f t="shared" si="4"/>
        <v>3.0546458925875193</v>
      </c>
      <c r="AQ22" s="411">
        <f>G22</f>
        <v>4.0571549984064594</v>
      </c>
    </row>
    <row r="23" spans="2:43" ht="14.25" x14ac:dyDescent="0.4">
      <c r="B23" s="341"/>
      <c r="C23" s="365"/>
      <c r="D23" s="366"/>
      <c r="E23" s="366"/>
      <c r="F23" s="366"/>
      <c r="G23" s="367"/>
      <c r="H23" s="365"/>
      <c r="I23" s="366"/>
      <c r="J23" s="366"/>
      <c r="K23" s="366"/>
      <c r="L23" s="367"/>
      <c r="M23" s="365"/>
      <c r="N23" s="366"/>
      <c r="O23" s="366"/>
      <c r="P23" s="366"/>
      <c r="Q23" s="367"/>
      <c r="R23" s="365"/>
      <c r="S23" s="366"/>
      <c r="T23" s="366"/>
      <c r="U23" s="366"/>
      <c r="V23" s="367"/>
      <c r="W23" s="365"/>
      <c r="X23" s="366"/>
      <c r="Y23" s="366"/>
      <c r="Z23" s="366"/>
      <c r="AA23" s="367"/>
      <c r="AB23" s="366"/>
      <c r="AC23" s="366"/>
      <c r="AD23" s="366"/>
      <c r="AE23" s="366"/>
      <c r="AF23" s="367"/>
      <c r="AH23" s="410"/>
      <c r="AI23" s="411"/>
      <c r="AJ23" s="412"/>
      <c r="AK23" s="411"/>
      <c r="AL23" s="412"/>
      <c r="AM23" s="411"/>
      <c r="AN23" s="412"/>
      <c r="AO23" s="411"/>
      <c r="AP23" s="412"/>
      <c r="AQ23" s="411"/>
    </row>
    <row r="24" spans="2:43" ht="14.25" x14ac:dyDescent="0.4">
      <c r="B24" s="341" t="s">
        <v>30</v>
      </c>
      <c r="C24" s="365">
        <f>+'BionTech Ratios'!G57</f>
        <v>51.134254143646402</v>
      </c>
      <c r="D24" s="366">
        <f>+'BionTech Ratios'!H57</f>
        <v>66.21260626166287</v>
      </c>
      <c r="E24" s="366">
        <f>+'BionTech Ratios'!I57</f>
        <v>119.01415946924388</v>
      </c>
      <c r="F24" s="366">
        <f>+'BionTech Ratios'!J57</f>
        <v>203.04980763231782</v>
      </c>
      <c r="G24" s="367">
        <f>+'BionTech Ratios'!K57</f>
        <v>438.39591516103684</v>
      </c>
      <c r="H24" s="365">
        <f>+'Astra Zeneca Ratios'!G56</f>
        <v>48.013336425033977</v>
      </c>
      <c r="I24" s="366">
        <f>+'Astra Zeneca Ratios'!H56</f>
        <v>48.618670235383057</v>
      </c>
      <c r="J24" s="366">
        <f>+'Astra Zeneca Ratios'!I56</f>
        <v>47.850050416832538</v>
      </c>
      <c r="K24" s="366">
        <f>+'Astra Zeneca Ratios'!J56</f>
        <v>51.41380537500752</v>
      </c>
      <c r="L24" s="367">
        <f>+'Astra Zeneca Ratios'!K56</f>
        <v>60.981837157992224</v>
      </c>
      <c r="M24" s="365">
        <f>+'Moderna Ratios'!G56</f>
        <v>52.979104477611934</v>
      </c>
      <c r="N24" s="366">
        <f>+'Moderna Ratios'!H56</f>
        <v>291.83068876218175</v>
      </c>
      <c r="O24" s="366">
        <f>+'Moderna Ratios'!I56</f>
        <v>45.25930161602929</v>
      </c>
      <c r="P24" s="366">
        <f>+'Moderna Ratios'!J56</f>
        <v>40.48275012286377</v>
      </c>
      <c r="Q24" s="367">
        <f>+'Moderna Ratios'!K56</f>
        <v>60.723783900282065</v>
      </c>
      <c r="R24" s="365">
        <f>+'Sanofi Ratios'!G56</f>
        <v>72.6916637878345</v>
      </c>
      <c r="S24" s="366">
        <f>+'Sanofi Ratios'!H56</f>
        <v>74.31400358585995</v>
      </c>
      <c r="T24" s="366">
        <f>+'Sanofi Ratios'!I56</f>
        <v>69.192597319719212</v>
      </c>
      <c r="U24" s="366">
        <f>+'Sanofi Ratios'!J56</f>
        <v>71.421198888447805</v>
      </c>
      <c r="V24" s="367">
        <f>+'Sanofi Ratios'!K56</f>
        <v>73.810114573451074</v>
      </c>
      <c r="W24" s="365">
        <f>+'GSK Ratios'!G56</f>
        <v>57.375159767115825</v>
      </c>
      <c r="X24" s="366">
        <f>+'GSK Ratios'!H56</f>
        <v>83.399532163324423</v>
      </c>
      <c r="Y24" s="366">
        <f>+'GSK Ratios'!I56</f>
        <v>85.600901018797231</v>
      </c>
      <c r="Z24" s="366">
        <f>+'GSK Ratios'!J56</f>
        <v>71.252592407256543</v>
      </c>
      <c r="AA24" s="367">
        <f>+'GSK Ratios'!K56</f>
        <v>66.965374024406302</v>
      </c>
      <c r="AB24" s="366">
        <f>+'Takeda Ratios'!G56</f>
        <v>73.178706768849068</v>
      </c>
      <c r="AC24" s="366">
        <f>+'Takeda Ratios'!H56</f>
        <v>89.046082625731373</v>
      </c>
      <c r="AD24" s="366">
        <f>+'Takeda Ratios'!I56</f>
        <v>79.111858193433619</v>
      </c>
      <c r="AE24" s="366">
        <f>+'Takeda Ratios'!J56</f>
        <v>65.931628205744602</v>
      </c>
      <c r="AF24" s="367">
        <f>+'Takeda Ratios'!K56</f>
        <v>62.950563848005537</v>
      </c>
      <c r="AH24" s="410">
        <f t="shared" si="0"/>
        <v>62.814716687208346</v>
      </c>
      <c r="AI24" s="411">
        <f>C24</f>
        <v>51.134254143646402</v>
      </c>
      <c r="AJ24" s="412">
        <f t="shared" si="1"/>
        <v>73.844572152574699</v>
      </c>
      <c r="AK24" s="411">
        <f>D24</f>
        <v>66.21260626166287</v>
      </c>
      <c r="AL24" s="412">
        <f t="shared" si="2"/>
        <v>70.438851737195648</v>
      </c>
      <c r="AM24" s="411">
        <f>E24</f>
        <v>119.01415946924388</v>
      </c>
      <c r="AN24" s="412">
        <f t="shared" si="3"/>
        <v>65.004806219114116</v>
      </c>
      <c r="AO24" s="411">
        <f>F24</f>
        <v>203.04980763231782</v>
      </c>
      <c r="AP24" s="412">
        <f t="shared" si="4"/>
        <v>66.176972400963777</v>
      </c>
      <c r="AQ24" s="411">
        <f>G24</f>
        <v>438.39591516103684</v>
      </c>
    </row>
    <row r="25" spans="2:43" ht="14.25" x14ac:dyDescent="0.4">
      <c r="B25" s="341" t="s">
        <v>31</v>
      </c>
      <c r="C25" s="365">
        <f>+'BionTech Ratios'!G59</f>
        <v>181.148275862069</v>
      </c>
      <c r="D25" s="366">
        <f>+'BionTech Ratios'!H59</f>
        <v>230.15109612141651</v>
      </c>
      <c r="E25" s="366">
        <f>+'BionTech Ratios'!I59</f>
        <v>35.029366306027818</v>
      </c>
      <c r="F25" s="366">
        <f>+'BionTech Ratios'!J59</f>
        <v>56.620367278798</v>
      </c>
      <c r="G25" s="367">
        <f>+'BionTech Ratios'!K59</f>
        <v>239.26975658552851</v>
      </c>
      <c r="H25" s="365">
        <f>+'Astra Zeneca Ratios'!G58</f>
        <v>223.1631893919068</v>
      </c>
      <c r="I25" s="366">
        <f>+'Astra Zeneca Ratios'!H58</f>
        <v>239.98693448793171</v>
      </c>
      <c r="J25" s="366">
        <f>+'Astra Zeneca Ratios'!I58</f>
        <v>198.30319458164163</v>
      </c>
      <c r="K25" s="366">
        <f>+'Astra Zeneca Ratios'!J58</f>
        <v>269.23669302009296</v>
      </c>
      <c r="L25" s="367">
        <f>+'Astra Zeneca Ratios'!K58</f>
        <v>225.21954431352108</v>
      </c>
      <c r="M25" s="368" t="str">
        <f>+IFERROR('Moderna Ratios'!G58,"N/A")</f>
        <v>N/A</v>
      </c>
      <c r="N25" s="366">
        <f>+'Moderna Ratios'!H58</f>
        <v>5.7220320248600558</v>
      </c>
      <c r="O25" s="366">
        <f>+'Moderna Ratios'!I58</f>
        <v>71.934790823267278</v>
      </c>
      <c r="P25" s="366">
        <f>+'Moderna Ratios'!J58</f>
        <v>56.742440057816545</v>
      </c>
      <c r="Q25" s="367">
        <f>+'Moderna Ratios'!K58</f>
        <v>26.02963401965323</v>
      </c>
      <c r="R25" s="365">
        <f>+'Sanofi Ratios'!G58</f>
        <v>232.53006012024048</v>
      </c>
      <c r="S25" s="366">
        <f>+'Sanofi Ratios'!H58</f>
        <v>243.04311911448869</v>
      </c>
      <c r="T25" s="366">
        <f>+'Sanofi Ratios'!I58</f>
        <v>250.75993796424783</v>
      </c>
      <c r="U25" s="366">
        <f>+'Sanofi Ratios'!J58</f>
        <v>268.05122588255119</v>
      </c>
      <c r="V25" s="367">
        <f>+'Sanofi Ratios'!K58</f>
        <v>265.68507805689831</v>
      </c>
      <c r="W25" s="365">
        <f>+'GSK Ratios'!G58</f>
        <v>191.82484421021067</v>
      </c>
      <c r="X25" s="366">
        <f>+'GSK Ratios'!H58</f>
        <v>299.59727100093124</v>
      </c>
      <c r="Y25" s="366">
        <f>+'GSK Ratios'!I58</f>
        <v>261.50697667451152</v>
      </c>
      <c r="Z25" s="366">
        <f>+'GSK Ratios'!J58</f>
        <v>206.94158381397816</v>
      </c>
      <c r="AA25" s="367">
        <f>+'GSK Ratios'!K58</f>
        <v>226.50694362582652</v>
      </c>
      <c r="AB25" s="366">
        <f>+'Takeda Ratios'!G58</f>
        <v>203.08272533010958</v>
      </c>
      <c r="AC25" s="366">
        <f>+'Takeda Ratios'!H58</f>
        <v>236.29755018043505</v>
      </c>
      <c r="AD25" s="366">
        <f>+'Takeda Ratios'!I58</f>
        <v>262.69105141044429</v>
      </c>
      <c r="AE25" s="366">
        <f>+'Takeda Ratios'!J58</f>
        <v>249.6184229779434</v>
      </c>
      <c r="AF25" s="367">
        <f>+'Takeda Ratios'!K58</f>
        <v>286.05073248987895</v>
      </c>
      <c r="AH25" s="410">
        <f t="shared" si="0"/>
        <v>212.6502047631169</v>
      </c>
      <c r="AI25" s="411">
        <f>C25</f>
        <v>181.148275862069</v>
      </c>
      <c r="AJ25" s="412">
        <f t="shared" si="1"/>
        <v>254.73121869594667</v>
      </c>
      <c r="AK25" s="411">
        <f>D25</f>
        <v>230.15109612141651</v>
      </c>
      <c r="AL25" s="412">
        <f t="shared" si="2"/>
        <v>243.31529015771133</v>
      </c>
      <c r="AM25" s="411">
        <f>E25</f>
        <v>35.029366306027818</v>
      </c>
      <c r="AN25" s="412">
        <f t="shared" si="3"/>
        <v>248.46198142364142</v>
      </c>
      <c r="AO25" s="411">
        <f>F25</f>
        <v>56.620367278798</v>
      </c>
      <c r="AP25" s="412">
        <f t="shared" si="4"/>
        <v>250.86557462153121</v>
      </c>
      <c r="AQ25" s="411">
        <f>G25</f>
        <v>239.26975658552851</v>
      </c>
    </row>
    <row r="26" spans="2:43" ht="14.25" x14ac:dyDescent="0.4">
      <c r="B26" s="341" t="s">
        <v>32</v>
      </c>
      <c r="C26" s="365">
        <f>+'BionTech Ratios'!G61</f>
        <v>643.64482758620682</v>
      </c>
      <c r="D26" s="366">
        <f>+'BionTech Ratios'!H61</f>
        <v>372.74266441821248</v>
      </c>
      <c r="E26" s="366">
        <f>+'BionTech Ratios'!I61</f>
        <v>16.21638330757342</v>
      </c>
      <c r="F26" s="366">
        <f>+'BionTech Ratios'!J61</f>
        <v>21.882470784641068</v>
      </c>
      <c r="G26" s="367">
        <f>+'BionTech Ratios'!K61</f>
        <v>167.48582860953653</v>
      </c>
      <c r="H26" s="365">
        <f>+'Astra Zeneca Ratios'!G60</f>
        <v>128.13801438136622</v>
      </c>
      <c r="I26" s="366">
        <f>+'Astra Zeneca Ratios'!H60</f>
        <v>136.98978164817132</v>
      </c>
      <c r="J26" s="366">
        <f>+'Astra Zeneca Ratios'!I60</f>
        <v>78.061438625181381</v>
      </c>
      <c r="K26" s="366">
        <f>+'Astra Zeneca Ratios'!J60</f>
        <v>106.62031480564602</v>
      </c>
      <c r="L26" s="367">
        <f>+'Astra Zeneca Ratios'!K60</f>
        <v>129.30565787445826</v>
      </c>
      <c r="M26" s="365">
        <f>+'Moderna Ratios'!G60</f>
        <v>13.640130536635565</v>
      </c>
      <c r="N26" s="366">
        <f>+'Moderna Ratios'!H60</f>
        <v>3.1322775311371198</v>
      </c>
      <c r="O26" s="366">
        <f>+'Moderna Ratios'!I60</f>
        <v>12.94135724955575</v>
      </c>
      <c r="P26" s="366">
        <f>+'Moderna Ratios'!J60</f>
        <v>15.665962985926463</v>
      </c>
      <c r="Q26" s="367">
        <f>+'Moderna Ratios'!K60</f>
        <v>18.897724021317376</v>
      </c>
      <c r="R26" s="365">
        <f>+'Sanofi Ratios'!G60</f>
        <v>155.62124248496994</v>
      </c>
      <c r="S26" s="366">
        <f>+'Sanofi Ratios'!H60</f>
        <v>157.72674706756982</v>
      </c>
      <c r="T26" s="366">
        <f>+'Sanofi Ratios'!I60</f>
        <v>168.59848175659127</v>
      </c>
      <c r="U26" s="366">
        <f>+'Sanofi Ratios'!J60</f>
        <v>197.04608644367678</v>
      </c>
      <c r="V26" s="367">
        <f>+'Sanofi Ratios'!K60</f>
        <v>201.71011966082889</v>
      </c>
      <c r="W26" s="365">
        <f>+'GSK Ratios'!G60</f>
        <v>130.88676316010807</v>
      </c>
      <c r="X26" s="366">
        <f>+'GSK Ratios'!H60</f>
        <v>213.12799275614174</v>
      </c>
      <c r="Y26" s="366">
        <f>+'GSK Ratios'!I60</f>
        <v>197.65539010366703</v>
      </c>
      <c r="Z26" s="366">
        <f>+'GSK Ratios'!J60</f>
        <v>159.16613602342801</v>
      </c>
      <c r="AA26" s="367">
        <f>+'GSK Ratios'!K60</f>
        <v>161.27504310120938</v>
      </c>
      <c r="AB26" s="366">
        <f>+'Takeda Ratios'!G60</f>
        <v>107.95344837861077</v>
      </c>
      <c r="AC26" s="366">
        <f>+'Takeda Ratios'!H60</f>
        <v>96.005125134041435</v>
      </c>
      <c r="AD26" s="366">
        <f>+'Takeda Ratios'!I60</f>
        <v>114.90616997257493</v>
      </c>
      <c r="AE26" s="366">
        <f>+'Takeda Ratios'!J60</f>
        <v>105.23813204128501</v>
      </c>
      <c r="AF26" s="367">
        <f>+'Takeda Ratios'!K60</f>
        <v>117.94975262143436</v>
      </c>
      <c r="AH26" s="410">
        <f t="shared" si="0"/>
        <v>130.64986710126377</v>
      </c>
      <c r="AI26" s="411">
        <f>C26</f>
        <v>643.64482758620682</v>
      </c>
      <c r="AJ26" s="412">
        <f t="shared" si="1"/>
        <v>150.96241165148106</v>
      </c>
      <c r="AK26" s="411">
        <f>D26</f>
        <v>372.74266441821248</v>
      </c>
      <c r="AL26" s="412">
        <f t="shared" si="2"/>
        <v>139.80537011450366</v>
      </c>
      <c r="AM26" s="411">
        <f>E26</f>
        <v>16.21638330757342</v>
      </c>
      <c r="AN26" s="412">
        <f>AVERAGE(K26,U26,Z26,AE26)</f>
        <v>142.01766732850896</v>
      </c>
      <c r="AO26" s="411">
        <f>F26</f>
        <v>21.882470784641068</v>
      </c>
      <c r="AP26" s="412">
        <f t="shared" si="4"/>
        <v>152.56014331448273</v>
      </c>
      <c r="AQ26" s="411">
        <f>G26</f>
        <v>167.48582860953653</v>
      </c>
    </row>
    <row r="27" spans="2:43" ht="14.65" thickBot="1" x14ac:dyDescent="0.45">
      <c r="B27" s="355" t="s">
        <v>33</v>
      </c>
      <c r="C27" s="369">
        <f>+'BionTech Ratios'!G62</f>
        <v>-411.36229758049143</v>
      </c>
      <c r="D27" s="370">
        <f>+'BionTech Ratios'!H62</f>
        <v>-76.3789620351331</v>
      </c>
      <c r="E27" s="370">
        <f>+'BionTech Ratios'!I62</f>
        <v>137.82714246769828</v>
      </c>
      <c r="F27" s="370">
        <f>+'BionTech Ratios'!J62</f>
        <v>237.78770412647478</v>
      </c>
      <c r="G27" s="371">
        <f>+'BionTech Ratios'!K62</f>
        <v>510.1798431370288</v>
      </c>
      <c r="H27" s="369">
        <f>+'Astra Zeneca Ratios'!G61</f>
        <v>143.03851143557458</v>
      </c>
      <c r="I27" s="370">
        <f>+'Astra Zeneca Ratios'!H61</f>
        <v>151.61582307514342</v>
      </c>
      <c r="J27" s="370">
        <f>+'Astra Zeneca Ratios'!I61</f>
        <v>168.0918063732928</v>
      </c>
      <c r="K27" s="370">
        <f>+'Astra Zeneca Ratios'!J61</f>
        <v>214.03018358945448</v>
      </c>
      <c r="L27" s="371">
        <f>+'Astra Zeneca Ratios'!K61</f>
        <v>156.89572359705502</v>
      </c>
      <c r="M27" s="372" t="str">
        <f>+IFERROR('Moderna Ratios'!G61,"N/A")</f>
        <v>N/A</v>
      </c>
      <c r="N27" s="370">
        <f>+'Moderna Ratios'!H61</f>
        <v>294.42044325590473</v>
      </c>
      <c r="O27" s="370">
        <f>+'Moderna Ratios'!I61</f>
        <v>104.25273518974082</v>
      </c>
      <c r="P27" s="370">
        <f>+'Moderna Ratios'!J61</f>
        <v>81.559227194753845</v>
      </c>
      <c r="Q27" s="371">
        <f>+'Moderna Ratios'!K61</f>
        <v>67.855693898617915</v>
      </c>
      <c r="R27" s="369">
        <f>+'Sanofi Ratios'!G61</f>
        <v>149.60048142310504</v>
      </c>
      <c r="S27" s="370">
        <f>+'Sanofi Ratios'!H61</f>
        <v>159.63037563277885</v>
      </c>
      <c r="T27" s="370">
        <f>+'Sanofi Ratios'!I61</f>
        <v>151.35405352737578</v>
      </c>
      <c r="U27" s="370">
        <f>+'Sanofi Ratios'!J61</f>
        <v>142.42633832732221</v>
      </c>
      <c r="V27" s="371">
        <f>+'Sanofi Ratios'!K61</f>
        <v>137.78507296952048</v>
      </c>
      <c r="W27" s="369">
        <f>+'GSK Ratios'!G61</f>
        <v>118.31324081721843</v>
      </c>
      <c r="X27" s="370">
        <f>+'GSK Ratios'!H61</f>
        <v>169.86881040811392</v>
      </c>
      <c r="Y27" s="370">
        <f>+'GSK Ratios'!I61</f>
        <v>149.45248758964172</v>
      </c>
      <c r="Z27" s="370">
        <f>+'GSK Ratios'!J61</f>
        <v>119.02804019780666</v>
      </c>
      <c r="AA27" s="371">
        <f>+'GSK Ratios'!K61</f>
        <v>132.19727454902343</v>
      </c>
      <c r="AB27" s="370">
        <f>+'Takeda Ratios'!G61</f>
        <v>168.30798372034789</v>
      </c>
      <c r="AC27" s="370">
        <f>+'Takeda Ratios'!H61</f>
        <v>229.33850767212496</v>
      </c>
      <c r="AD27" s="370">
        <f>+'Takeda Ratios'!I61</f>
        <v>226.89673963130295</v>
      </c>
      <c r="AE27" s="370">
        <f>+'Takeda Ratios'!J61</f>
        <v>210.31191914240296</v>
      </c>
      <c r="AF27" s="371">
        <f>+'Takeda Ratios'!K61</f>
        <v>231.05154371645011</v>
      </c>
      <c r="AH27" s="413">
        <f t="shared" si="0"/>
        <v>144.81505434906148</v>
      </c>
      <c r="AI27" s="414">
        <f>C27</f>
        <v>-411.36229758049143</v>
      </c>
      <c r="AJ27" s="415">
        <f t="shared" si="1"/>
        <v>177.6133791970403</v>
      </c>
      <c r="AK27" s="414">
        <f>D27</f>
        <v>-76.3789620351331</v>
      </c>
      <c r="AL27" s="415">
        <f t="shared" si="2"/>
        <v>173.94877178040329</v>
      </c>
      <c r="AM27" s="414">
        <f>E27</f>
        <v>137.82714246769828</v>
      </c>
      <c r="AN27" s="415">
        <f t="shared" si="3"/>
        <v>171.44912031424658</v>
      </c>
      <c r="AO27" s="414">
        <f>F27</f>
        <v>237.78770412647478</v>
      </c>
      <c r="AP27" s="415">
        <f t="shared" si="4"/>
        <v>164.48240370801227</v>
      </c>
      <c r="AQ27" s="414">
        <f>G27</f>
        <v>510.1798431370288</v>
      </c>
    </row>
    <row r="28" spans="2:43" ht="13.5" thickTop="1" x14ac:dyDescent="0.4">
      <c r="C28" s="359"/>
      <c r="G28" s="360"/>
      <c r="H28" s="359"/>
      <c r="L28" s="360"/>
      <c r="M28" s="359"/>
      <c r="Q28" s="360"/>
      <c r="R28" s="359"/>
      <c r="V28" s="360"/>
      <c r="W28" s="359"/>
      <c r="AA28" s="360"/>
      <c r="AF28" s="360"/>
      <c r="AH28" s="404"/>
      <c r="AI28" s="405"/>
      <c r="AJ28" s="104"/>
      <c r="AK28" s="405"/>
      <c r="AL28" s="104"/>
      <c r="AM28" s="405"/>
      <c r="AN28" s="104"/>
      <c r="AO28" s="405"/>
      <c r="AP28" s="104"/>
      <c r="AQ28" s="405"/>
    </row>
    <row r="29" spans="2:43" s="114" customFormat="1" ht="14.25" x14ac:dyDescent="0.4">
      <c r="B29" s="361" t="s">
        <v>34</v>
      </c>
      <c r="C29" s="339"/>
      <c r="G29" s="340"/>
      <c r="H29" s="339"/>
      <c r="L29" s="340"/>
      <c r="M29" s="339"/>
      <c r="Q29" s="340"/>
      <c r="R29" s="339"/>
      <c r="V29" s="340"/>
      <c r="W29" s="339"/>
      <c r="AA29" s="340"/>
      <c r="AF29" s="340"/>
      <c r="AH29" s="406"/>
      <c r="AI29" s="407"/>
      <c r="AJ29" s="335"/>
      <c r="AK29" s="407"/>
      <c r="AL29" s="335"/>
      <c r="AM29" s="407"/>
      <c r="AN29" s="335"/>
      <c r="AO29" s="407"/>
      <c r="AP29" s="335"/>
      <c r="AQ29" s="407"/>
    </row>
    <row r="30" spans="2:43" ht="14.25" x14ac:dyDescent="0.4">
      <c r="B30" s="341" t="s">
        <v>35</v>
      </c>
      <c r="C30" s="353">
        <f>+'BionTech Ratios'!G74</f>
        <v>9.758288055627147E-2</v>
      </c>
      <c r="D30" s="293">
        <f>+'BionTech Ratios'!H74</f>
        <v>0.16850498474233519</v>
      </c>
      <c r="E30" s="293">
        <f>+'BionTech Ratios'!I74</f>
        <v>4.0827710979608758E-2</v>
      </c>
      <c r="F30" s="293">
        <f>+'BionTech Ratios'!J74</f>
        <v>1.6078599531132141E-2</v>
      </c>
      <c r="G30" s="354">
        <f>+'BionTech Ratios'!K74</f>
        <v>1.0701834919295806E-2</v>
      </c>
      <c r="H30" s="353">
        <f>+'Astra Zeneca Ratios'!G73</f>
        <v>1.6311231809594342</v>
      </c>
      <c r="I30" s="293">
        <f>+'Astra Zeneca Ratios'!H73</f>
        <v>1.6241799616464345</v>
      </c>
      <c r="J30" s="293">
        <f>+'Astra Zeneca Ratios'!I73</f>
        <v>1.1130267673446319</v>
      </c>
      <c r="K30" s="293">
        <f>+'Astra Zeneca Ratios'!J73</f>
        <v>0.89164404683428511</v>
      </c>
      <c r="L30" s="354">
        <f>+'Astra Zeneca Ratios'!K73</f>
        <v>0.8333424097214136</v>
      </c>
      <c r="M30" s="353">
        <f>+'Moderna Ratios'!G73</f>
        <v>6.3100117605743425E-2</v>
      </c>
      <c r="N30" s="293">
        <f>+'Moderna Ratios'!H73</f>
        <v>0.10026804717222652</v>
      </c>
      <c r="O30" s="293">
        <f>+'Moderna Ratios'!I73</f>
        <v>6.8760943606208824E-2</v>
      </c>
      <c r="P30" s="293">
        <f>+'Moderna Ratios'!J73</f>
        <v>6.3574341165264447E-2</v>
      </c>
      <c r="Q30" s="354">
        <f>+'Moderna Ratios'!K73</f>
        <v>7.3861216832820598E-2</v>
      </c>
      <c r="R30" s="353">
        <f>+'Sanofi Ratios'!G73</f>
        <v>0.4878535492326555</v>
      </c>
      <c r="S30" s="293">
        <f>+'Sanofi Ratios'!H73</f>
        <v>0.46116980454270834</v>
      </c>
      <c r="T30" s="293">
        <f>+'Sanofi Ratios'!I73</f>
        <v>0.39546275787516161</v>
      </c>
      <c r="U30" s="293">
        <f>+'Sanofi Ratios'!J73</f>
        <v>0.33716180132193113</v>
      </c>
      <c r="V30" s="354">
        <f>+'Sanofi Ratios'!K73</f>
        <v>0.29355539948496706</v>
      </c>
      <c r="W30" s="353">
        <f>+'GSK Ratios'!G73</f>
        <v>2.8183340874428415</v>
      </c>
      <c r="X30" s="293">
        <f>+'GSK Ratios'!H73</f>
        <v>1.6588458940353343</v>
      </c>
      <c r="Y30" s="293">
        <f>+'GSK Ratios'!I73</f>
        <v>1.3748710542391569</v>
      </c>
      <c r="Z30" s="293">
        <f>+'GSK Ratios'!J73</f>
        <v>1.6051354516857725</v>
      </c>
      <c r="AA30" s="354">
        <f>+'GSK Ratios'!K73</f>
        <v>1.914828171400268</v>
      </c>
      <c r="AB30" s="293">
        <f>+'Takeda Ratios'!G73</f>
        <v>1.235480986760833</v>
      </c>
      <c r="AC30" s="293">
        <f>+'Takeda Ratios'!H73</f>
        <v>1.1778721611765099</v>
      </c>
      <c r="AD30" s="293">
        <f>+'Takeda Ratios'!I73</f>
        <v>0.99990007423757377</v>
      </c>
      <c r="AE30" s="293">
        <f>+'Takeda Ratios'!J73</f>
        <v>0.82190953156915025</v>
      </c>
      <c r="AF30" s="354">
        <f>+'Takeda Ratios'!K73</f>
        <v>0.79493856028730014</v>
      </c>
      <c r="AH30" s="398">
        <f t="shared" si="0"/>
        <v>1.5431979510989411</v>
      </c>
      <c r="AI30" s="399">
        <f>C30</f>
        <v>9.758288055627147E-2</v>
      </c>
      <c r="AJ30" s="400">
        <f t="shared" si="1"/>
        <v>1.2305169553502469</v>
      </c>
      <c r="AK30" s="399">
        <f>D30</f>
        <v>0.16850498474233519</v>
      </c>
      <c r="AL30" s="400">
        <f t="shared" si="2"/>
        <v>0.97081516342413099</v>
      </c>
      <c r="AM30" s="399">
        <f>E30</f>
        <v>4.0827710979608758E-2</v>
      </c>
      <c r="AN30" s="400">
        <f t="shared" si="3"/>
        <v>0.91396270785278477</v>
      </c>
      <c r="AO30" s="399">
        <f>F30</f>
        <v>1.6078599531132141E-2</v>
      </c>
      <c r="AP30" s="400">
        <f t="shared" si="4"/>
        <v>0.95916613522348726</v>
      </c>
      <c r="AQ30" s="399">
        <f>G30</f>
        <v>1.0701834919295806E-2</v>
      </c>
    </row>
    <row r="31" spans="2:43" ht="14.25" x14ac:dyDescent="0.4">
      <c r="B31" s="341" t="s">
        <v>36</v>
      </c>
      <c r="C31" s="353">
        <f>+'BionTech Ratios'!G75</f>
        <v>8.8907072335908707E-2</v>
      </c>
      <c r="D31" s="293">
        <f>+'BionTech Ratios'!H75</f>
        <v>0.14420561909668869</v>
      </c>
      <c r="E31" s="293">
        <f>+'BionTech Ratios'!I75</f>
        <v>3.9226195218402135E-2</v>
      </c>
      <c r="F31" s="293">
        <f>+'BionTech Ratios'!J75</f>
        <v>1.5824169053999939E-2</v>
      </c>
      <c r="G31" s="354">
        <f>+'BionTech Ratios'!K75</f>
        <v>1.0588518343939035E-2</v>
      </c>
      <c r="H31" s="353">
        <f>+'Astra Zeneca Ratios'!G74</f>
        <v>0.61993417593039035</v>
      </c>
      <c r="I31" s="293">
        <f>+'Astra Zeneca Ratios'!H74</f>
        <v>0.61892857402485801</v>
      </c>
      <c r="J31" s="293">
        <f>+'Astra Zeneca Ratios'!I74</f>
        <v>0.52674522847778893</v>
      </c>
      <c r="K31" s="293">
        <f>+'Astra Zeneca Ratios'!J74</f>
        <v>0.47135931748178228</v>
      </c>
      <c r="L31" s="354">
        <f>+'Astra Zeneca Ratios'!K74</f>
        <v>0.45454815494506806</v>
      </c>
      <c r="M31" s="353">
        <f>+'Moderna Ratios'!G74</f>
        <v>5.9354821395236124E-2</v>
      </c>
      <c r="N31" s="293">
        <f>+'Moderna Ratios'!H74</f>
        <v>9.1130563529426403E-2</v>
      </c>
      <c r="O31" s="293">
        <f>+'Moderna Ratios'!I74</f>
        <v>6.4337066223804862E-2</v>
      </c>
      <c r="P31" s="293">
        <f>+'Moderna Ratios'!J74</f>
        <v>5.9774233642766961E-2</v>
      </c>
      <c r="Q31" s="354">
        <f>+'Moderna Ratios'!K74</f>
        <v>6.8780970645966957E-2</v>
      </c>
      <c r="R31" s="353">
        <f>+'Sanofi Ratios'!G74</f>
        <v>0.32789083944737757</v>
      </c>
      <c r="S31" s="293">
        <f>+'Sanofi Ratios'!H74</f>
        <v>0.31561684556370728</v>
      </c>
      <c r="T31" s="293">
        <f>+'Sanofi Ratios'!I74</f>
        <v>0.28339183947647839</v>
      </c>
      <c r="U31" s="293">
        <f>+'Sanofi Ratios'!J74</f>
        <v>0.2521473474553414</v>
      </c>
      <c r="V31" s="354">
        <f>+'Sanofi Ratios'!K74</f>
        <v>0.22693685914174763</v>
      </c>
      <c r="W31" s="353">
        <f>+'GSK Ratios'!G74</f>
        <v>0.73810568245229025</v>
      </c>
      <c r="X31" s="293">
        <f>+'GSK Ratios'!H74</f>
        <v>0.62389696889040136</v>
      </c>
      <c r="Y31" s="293">
        <f>+'GSK Ratios'!I74</f>
        <v>0.57892450698955</v>
      </c>
      <c r="Z31" s="293">
        <f>+'GSK Ratios'!J74</f>
        <v>0.61614280004024202</v>
      </c>
      <c r="AA31" s="354">
        <f>+'GSK Ratios'!K74</f>
        <v>0.65692660383489931</v>
      </c>
      <c r="AB31" s="293">
        <f>+'Takeda Ratios'!G74</f>
        <v>0.55266897552594263</v>
      </c>
      <c r="AC31" s="293">
        <f>+'Takeda Ratios'!H74</f>
        <v>0.54083622637437578</v>
      </c>
      <c r="AD31" s="293">
        <f>+'Takeda Ratios'!I74</f>
        <v>0.49997501731118632</v>
      </c>
      <c r="AE31" s="293">
        <f>+'Takeda Ratios'!J74</f>
        <v>0.45112532610840828</v>
      </c>
      <c r="AF31" s="354">
        <f>+'Takeda Ratios'!K74</f>
        <v>0.44287786661625972</v>
      </c>
      <c r="AH31" s="398">
        <f t="shared" si="0"/>
        <v>0.55964991833900024</v>
      </c>
      <c r="AI31" s="399">
        <f>C31</f>
        <v>8.8907072335908707E-2</v>
      </c>
      <c r="AJ31" s="400">
        <f t="shared" si="1"/>
        <v>0.52481965371333561</v>
      </c>
      <c r="AK31" s="399">
        <f>D31</f>
        <v>0.14420561909668869</v>
      </c>
      <c r="AL31" s="400">
        <f t="shared" si="2"/>
        <v>0.47225914806375091</v>
      </c>
      <c r="AM31" s="399">
        <f>E31</f>
        <v>3.9226195218402135E-2</v>
      </c>
      <c r="AN31" s="400">
        <f t="shared" si="3"/>
        <v>0.44769369777144347</v>
      </c>
      <c r="AO31" s="399">
        <f>F31</f>
        <v>1.5824169053999939E-2</v>
      </c>
      <c r="AP31" s="400">
        <f t="shared" si="4"/>
        <v>0.44532237113449369</v>
      </c>
      <c r="AQ31" s="399">
        <f>G31</f>
        <v>1.0588518343939035E-2</v>
      </c>
    </row>
    <row r="32" spans="2:43" ht="28.5" x14ac:dyDescent="0.4">
      <c r="B32" s="341" t="s">
        <v>37</v>
      </c>
      <c r="C32" s="353">
        <f>+'BionTech Ratios'!G76</f>
        <v>87.7</v>
      </c>
      <c r="D32" s="293">
        <f>+'BionTech Ratios'!H76</f>
        <v>0.24307692307692194</v>
      </c>
      <c r="E32" s="293">
        <f>+'BionTech Ratios'!I76</f>
        <v>-51.316289741068502</v>
      </c>
      <c r="F32" s="293">
        <f>+'BionTech Ratios'!J76</f>
        <v>-687.40211640211635</v>
      </c>
      <c r="G32" s="354">
        <f>+'BionTech Ratios'!K76</f>
        <v>-51.627615062761514</v>
      </c>
      <c r="H32" s="353">
        <f>+'Astra Zeneca Ratios'!G75</f>
        <v>-3.9846139494833559</v>
      </c>
      <c r="I32" s="293">
        <f>+'Astra Zeneca Ratios'!H75</f>
        <v>-7.3062339917382708</v>
      </c>
      <c r="J32" s="293">
        <f>+'Astra Zeneca Ratios'!I75</f>
        <v>-1.6585057474766245</v>
      </c>
      <c r="K32" s="293">
        <f>+'Astra Zeneca Ratios'!J75</f>
        <v>-4.7273693308695064</v>
      </c>
      <c r="L32" s="354">
        <f>+'Astra Zeneca Ratios'!K75</f>
        <v>-7.6595547844659713</v>
      </c>
      <c r="M32" s="373" t="str">
        <f>+IFERROR('Moderna Ratios'!G75,"N/A")</f>
        <v>N/A</v>
      </c>
      <c r="N32" s="293">
        <f>+'Moderna Ratios'!H75</f>
        <v>72.402576673127342</v>
      </c>
      <c r="O32" s="293">
        <f>+'Moderna Ratios'!I75</f>
        <v>-783.48390237118417</v>
      </c>
      <c r="P32" s="293">
        <f>+'Moderna Ratios'!J75</f>
        <v>-332.17391619544725</v>
      </c>
      <c r="Q32" s="354">
        <f>+'Moderna Ratios'!K75</f>
        <v>101.73629250248968</v>
      </c>
      <c r="R32" s="353">
        <f>+'Sanofi Ratios'!G75</f>
        <v>-7.5275735294117645</v>
      </c>
      <c r="S32" s="293">
        <f>+'Sanofi Ratios'!H75</f>
        <v>-32.799564270152509</v>
      </c>
      <c r="T32" s="293">
        <f>+'Sanofi Ratios'!I75</f>
        <v>-23.649171270718231</v>
      </c>
      <c r="U32" s="293">
        <f>+'Sanofi Ratios'!J75</f>
        <v>-26.855721393034827</v>
      </c>
      <c r="V32" s="354">
        <f>+'Sanofi Ratios'!K75</f>
        <v>-12.382003395585739</v>
      </c>
      <c r="W32" s="353">
        <f>+'GSK Ratios'!G75</f>
        <v>-9.0935000364992415</v>
      </c>
      <c r="X32" s="293">
        <f>+'GSK Ratios'!H75</f>
        <v>-8.1255920477639574</v>
      </c>
      <c r="Y32" s="293">
        <f>+'GSK Ratios'!I75</f>
        <v>-6.7230976087640695</v>
      </c>
      <c r="Z32" s="293">
        <f>+'GSK Ratios'!J75</f>
        <v>-8.8717922830565943</v>
      </c>
      <c r="AA32" s="354">
        <f>+'GSK Ratios'!K75</f>
        <v>-10.540842648323304</v>
      </c>
      <c r="AB32" s="293">
        <f>+'Takeda Ratios'!G75</f>
        <v>-1.8134131776167501</v>
      </c>
      <c r="AC32" s="293">
        <f>+'Takeda Ratios'!H75</f>
        <v>-2.5530347720876256</v>
      </c>
      <c r="AD32" s="293">
        <f>+'Takeda Ratios'!I75</f>
        <v>-6.2806326949384443</v>
      </c>
      <c r="AE32" s="293">
        <f>+'Takeda Ratios'!J75</f>
        <v>-4.5850220781507813</v>
      </c>
      <c r="AF32" s="354">
        <f>+'Takeda Ratios'!K75</f>
        <v>-2.8923007972309587</v>
      </c>
      <c r="AH32" s="398">
        <f t="shared" si="0"/>
        <v>-5.6047751732527775</v>
      </c>
      <c r="AI32" s="399">
        <f>C32</f>
        <v>87.7</v>
      </c>
      <c r="AJ32" s="400">
        <f t="shared" si="1"/>
        <v>-12.696106270435592</v>
      </c>
      <c r="AK32" s="399">
        <f>D32</f>
        <v>0.24307692307692194</v>
      </c>
      <c r="AL32" s="400">
        <f t="shared" si="2"/>
        <v>-9.5778518304743425</v>
      </c>
      <c r="AM32" s="399">
        <f>E32</f>
        <v>-51.316289741068502</v>
      </c>
      <c r="AN32" s="400">
        <f>AVERAGE(K32,U32,Z32,AE32)</f>
        <v>-11.259976271277926</v>
      </c>
      <c r="AO32" s="399">
        <f>F32</f>
        <v>-687.40211640211635</v>
      </c>
      <c r="AP32" s="400">
        <f t="shared" si="4"/>
        <v>-8.3686754064014934</v>
      </c>
      <c r="AQ32" s="399">
        <f>G32</f>
        <v>-51.627615062761514</v>
      </c>
    </row>
    <row r="33" spans="1:43" x14ac:dyDescent="0.4">
      <c r="C33" s="359"/>
      <c r="G33" s="360"/>
      <c r="H33" s="359"/>
      <c r="L33" s="360"/>
      <c r="M33" s="359"/>
      <c r="Q33" s="360"/>
      <c r="R33" s="359"/>
      <c r="V33" s="360"/>
      <c r="W33" s="359"/>
      <c r="AA33" s="360"/>
      <c r="AF33" s="360"/>
      <c r="AH33" s="404"/>
      <c r="AI33" s="405"/>
      <c r="AJ33" s="104"/>
      <c r="AK33" s="405"/>
      <c r="AL33" s="104"/>
      <c r="AM33" s="405"/>
      <c r="AN33" s="104"/>
      <c r="AO33" s="405"/>
      <c r="AP33" s="104"/>
      <c r="AQ33" s="405"/>
    </row>
    <row r="34" spans="1:43" s="114" customFormat="1" ht="14.25" x14ac:dyDescent="0.4">
      <c r="B34" s="361" t="s">
        <v>38</v>
      </c>
      <c r="C34" s="339"/>
      <c r="G34" s="340"/>
      <c r="H34" s="339"/>
      <c r="L34" s="340"/>
      <c r="M34" s="339"/>
      <c r="Q34" s="340"/>
      <c r="R34" s="339"/>
      <c r="V34" s="340"/>
      <c r="W34" s="339"/>
      <c r="AA34" s="340"/>
      <c r="AF34" s="340"/>
      <c r="AH34" s="406"/>
      <c r="AI34" s="407"/>
      <c r="AJ34" s="335"/>
      <c r="AK34" s="407"/>
      <c r="AL34" s="335"/>
      <c r="AM34" s="407"/>
      <c r="AN34" s="335"/>
      <c r="AO34" s="407"/>
      <c r="AP34" s="335"/>
      <c r="AQ34" s="407"/>
    </row>
    <row r="35" spans="1:43" ht="14.25" x14ac:dyDescent="0.4">
      <c r="B35" s="341" t="s">
        <v>39</v>
      </c>
      <c r="C35" s="362">
        <f>+'BionTech Ratios'!G83</f>
        <v>-0.47127385955407824</v>
      </c>
      <c r="D35" s="364">
        <f>+'BionTech Ratios'!H83</f>
        <v>1.6297716389712787E-2</v>
      </c>
      <c r="E35" s="115">
        <f>+'BionTech Ratios'!I83</f>
        <v>1.5517696279823605</v>
      </c>
      <c r="F35" s="115">
        <f>+'BionTech Ratios'!J83</f>
        <v>0.59058570923306608</v>
      </c>
      <c r="G35" s="363">
        <f>+'BionTech Ratios'!K83</f>
        <v>4.6167016116025458E-2</v>
      </c>
      <c r="H35" s="362">
        <f>+'Astra Zeneca Ratios'!G82</f>
        <v>8.6743921046910949E-2</v>
      </c>
      <c r="I35" s="115">
        <f>+'Astra Zeneca Ratios'!H82</f>
        <v>0.21385319172184</v>
      </c>
      <c r="J35" s="115">
        <f>+'Astra Zeneca Ratios'!I82</f>
        <v>4.1109993053959869E-3</v>
      </c>
      <c r="K35" s="115">
        <f>+'Astra Zeneca Ratios'!J82</f>
        <v>9.0513365818056329E-2</v>
      </c>
      <c r="L35" s="363">
        <f>+'Astra Zeneca Ratios'!K82</f>
        <v>0.15727334195499859</v>
      </c>
      <c r="M35" s="362">
        <f>+'Moderna Ratios'!G82</f>
        <v>-0.3853130020428911</v>
      </c>
      <c r="N35" s="364">
        <f>+'Moderna Ratios'!H82</f>
        <v>-0.4172696507426224</v>
      </c>
      <c r="O35" s="364">
        <f>+'Moderna Ratios'!I82</f>
        <v>1.4207040848881134</v>
      </c>
      <c r="P35" s="364">
        <f>+'Moderna Ratios'!J82</f>
        <v>0.52453724955276082</v>
      </c>
      <c r="Q35" s="363">
        <f>+'Moderna Ratios'!K82</f>
        <v>-0.28657389521612386</v>
      </c>
      <c r="R35" s="362">
        <f>+'Sanofi Ratios'!G82</f>
        <v>4.8805648332135458E-2</v>
      </c>
      <c r="S35" s="364">
        <f>+'Sanofi Ratios'!H82</f>
        <v>0.20133570647115495</v>
      </c>
      <c r="T35" s="364">
        <f>+'Sanofi Ratios'!I82</f>
        <v>9.4932833395069666E-2</v>
      </c>
      <c r="U35" s="364">
        <f>+'Sanofi Ratios'!J82</f>
        <v>0.11212140127476887</v>
      </c>
      <c r="V35" s="363">
        <f>+'Sanofi Ratios'!K82</f>
        <v>6.819838801377881E-2</v>
      </c>
      <c r="W35" s="362">
        <f>+'GSK Ratios'!G82</f>
        <v>0.46652017837058657</v>
      </c>
      <c r="X35" s="364">
        <f>+'GSK Ratios'!H82</f>
        <v>0.25582575360992948</v>
      </c>
      <c r="Y35" s="364">
        <f>+'GSK Ratios'!I82</f>
        <v>0.16821699034785595</v>
      </c>
      <c r="Z35" s="364">
        <f>+'GSK Ratios'!J82</f>
        <v>0.31380251844978113</v>
      </c>
      <c r="AA35" s="363">
        <f>+'GSK Ratios'!K82</f>
        <v>0.46723004690523068</v>
      </c>
      <c r="AB35" s="364">
        <f>+'Takeda Ratios'!G82</f>
        <v>3.9215979819243246E-3</v>
      </c>
      <c r="AC35" s="364">
        <f>+'Takeda Ratios'!H82</f>
        <v>3.8659778733054255E-2</v>
      </c>
      <c r="AD35" s="364">
        <f>+'Takeda Ratios'!I82</f>
        <v>8.7236597639449201E-2</v>
      </c>
      <c r="AE35" s="364">
        <f>+'Takeda Ratios'!J82</f>
        <v>4.7119107467967408E-2</v>
      </c>
      <c r="AF35" s="363">
        <f>+'Takeda Ratios'!K82</f>
        <v>2.7004855725432996E-2</v>
      </c>
      <c r="AH35" s="408">
        <f>AVERAGE(H35,R35,W35,AB35)</f>
        <v>0.15149783643288933</v>
      </c>
      <c r="AI35" s="409">
        <f>C35</f>
        <v>-0.47127385955407824</v>
      </c>
      <c r="AJ35" s="116">
        <f>AVERAGE(I35,S35,X35,AC35)</f>
        <v>0.1774186076339947</v>
      </c>
      <c r="AK35" s="409">
        <f>D35</f>
        <v>1.6297716389712787E-2</v>
      </c>
      <c r="AL35" s="116">
        <f t="shared" si="2"/>
        <v>8.8624355171942698E-2</v>
      </c>
      <c r="AM35" s="409">
        <f>E35</f>
        <v>1.5517696279823605</v>
      </c>
      <c r="AN35" s="116">
        <f t="shared" si="3"/>
        <v>0.14088909825264342</v>
      </c>
      <c r="AO35" s="409">
        <f>F35</f>
        <v>0.59058570923306608</v>
      </c>
      <c r="AP35" s="116">
        <f t="shared" si="4"/>
        <v>0.17992665814986025</v>
      </c>
      <c r="AQ35" s="409">
        <f>G35</f>
        <v>4.6167016116025458E-2</v>
      </c>
    </row>
    <row r="36" spans="1:43" ht="14.25" x14ac:dyDescent="0.4">
      <c r="B36" s="374" t="s">
        <v>40</v>
      </c>
      <c r="C36" s="375">
        <f>+'BionTech Ratios'!G84</f>
        <v>0</v>
      </c>
      <c r="D36" s="376">
        <f>+'BionTech Ratios'!H84</f>
        <v>0</v>
      </c>
      <c r="E36" s="376">
        <f>+'BionTech Ratios'!I84</f>
        <v>0</v>
      </c>
      <c r="F36" s="376">
        <f>+'BionTech Ratios'!J84</f>
        <v>5.133341812939881E-2</v>
      </c>
      <c r="G36" s="377">
        <f>+'BionTech Ratios'!K84</f>
        <v>0</v>
      </c>
      <c r="H36" s="375">
        <f>+'Astra Zeneca Ratios'!G83</f>
        <v>2.9274695539444116</v>
      </c>
      <c r="I36" s="376">
        <f>+'Astra Zeneca Ratios'!H83</f>
        <v>1.1361327948647002</v>
      </c>
      <c r="J36" s="376">
        <f>+'Astra Zeneca Ratios'!I83</f>
        <v>33.530400370046799</v>
      </c>
      <c r="K36" s="376">
        <f>+'Astra Zeneca Ratios'!J83</f>
        <v>1.362283962794772</v>
      </c>
      <c r="L36" s="377">
        <f>+'Astra Zeneca Ratios'!K83</f>
        <v>0.75339712913453061</v>
      </c>
      <c r="M36" s="375">
        <f>+'Moderna Ratios'!G83</f>
        <v>0</v>
      </c>
      <c r="N36" s="376">
        <f>+'Moderna Ratios'!H83</f>
        <v>0</v>
      </c>
      <c r="O36" s="376">
        <f>+'Moderna Ratios'!I83</f>
        <v>0</v>
      </c>
      <c r="P36" s="376">
        <f>+'Moderna Ratios'!J83</f>
        <v>0</v>
      </c>
      <c r="Q36" s="377">
        <f>+'Moderna Ratios'!K83</f>
        <v>0</v>
      </c>
      <c r="R36" s="375">
        <f>+'Sanofi Ratios'!G83</f>
        <v>1.3284823284823284</v>
      </c>
      <c r="S36" s="376">
        <f>+'Sanofi Ratios'!H83</f>
        <v>0.31930251419302513</v>
      </c>
      <c r="T36" s="376">
        <f>+'Sanofi Ratios'!I83</f>
        <v>0.63831820353559487</v>
      </c>
      <c r="U36" s="376">
        <f>+'Sanofi Ratios'!J83</f>
        <v>0.515650129902264</v>
      </c>
      <c r="V36" s="377">
        <f>+'Sanofi Ratios'!K83</f>
        <v>0.87367595135347198</v>
      </c>
      <c r="W36" s="375">
        <f>+'GSK Ratios'!G83</f>
        <v>0</v>
      </c>
      <c r="X36" s="376">
        <f>+'GSK Ratios'!H83</f>
        <v>0</v>
      </c>
      <c r="Y36" s="376">
        <f>+'GSK Ratios'!I83</f>
        <v>0</v>
      </c>
      <c r="Z36" s="376">
        <f>+'GSK Ratios'!J83</f>
        <v>0</v>
      </c>
      <c r="AA36" s="377">
        <f>+'GSK Ratios'!K83</f>
        <v>0</v>
      </c>
      <c r="AB36" s="376">
        <f>+'Takeda Ratios'!G83</f>
        <v>20.917646738786058</v>
      </c>
      <c r="AC36" s="376">
        <f>+'Takeda Ratios'!H83</f>
        <v>1.5671108156560332</v>
      </c>
      <c r="AD36" s="376">
        <f>+'Takeda Ratios'!I83</f>
        <v>0.64215133407773406</v>
      </c>
      <c r="AE36" s="376">
        <f>+'Takeda Ratios'!J83</f>
        <v>1.0186166887989103</v>
      </c>
      <c r="AF36" s="377">
        <f>+'Takeda Ratios'!K83</f>
        <v>1.6177063298113876</v>
      </c>
      <c r="AH36" s="416">
        <f>AVERAGE(H36,R36,W36,AB36)</f>
        <v>6.2933996553031992</v>
      </c>
      <c r="AI36" s="417">
        <f>C36</f>
        <v>0</v>
      </c>
      <c r="AJ36" s="418">
        <f>AVERAGE(I36,S36,X36,AC36)</f>
        <v>0.75563653117843965</v>
      </c>
      <c r="AK36" s="417">
        <f>D36</f>
        <v>0</v>
      </c>
      <c r="AL36" s="418">
        <f t="shared" si="2"/>
        <v>8.7027174769150317</v>
      </c>
      <c r="AM36" s="417">
        <f>E36</f>
        <v>0</v>
      </c>
      <c r="AN36" s="418">
        <f t="shared" si="3"/>
        <v>0.72413769537398665</v>
      </c>
      <c r="AO36" s="417">
        <f>F36</f>
        <v>5.133341812939881E-2</v>
      </c>
      <c r="AP36" s="418">
        <f t="shared" si="4"/>
        <v>0.81119485257484758</v>
      </c>
      <c r="AQ36" s="417">
        <f>G36</f>
        <v>0</v>
      </c>
    </row>
    <row r="37" spans="1:43" ht="14.65" thickBot="1" x14ac:dyDescent="0.45">
      <c r="A37" s="98" t="s">
        <v>14</v>
      </c>
      <c r="B37" s="355" t="s">
        <v>38</v>
      </c>
      <c r="C37" s="378">
        <f>+'BionTech Ratios'!G85</f>
        <v>-0.47127385955407824</v>
      </c>
      <c r="D37" s="379">
        <f>+'BionTech Ratios'!H85</f>
        <v>1.6297716389712787E-2</v>
      </c>
      <c r="E37" s="379">
        <f>+'BionTech Ratios'!I85</f>
        <v>1.5517696279823605</v>
      </c>
      <c r="F37" s="379">
        <f>+'BionTech Ratios'!J85</f>
        <v>0.56026892607975753</v>
      </c>
      <c r="G37" s="380">
        <f>+'BionTech Ratios'!K85</f>
        <v>4.6167016116025458E-2</v>
      </c>
      <c r="H37" s="378">
        <f>+'Astra Zeneca Ratios'!G84</f>
        <v>-0.16719626680767871</v>
      </c>
      <c r="I37" s="379">
        <f>+'Astra Zeneca Ratios'!H84</f>
        <v>-2.9112432679830647E-2</v>
      </c>
      <c r="J37" s="379">
        <f>+'Astra Zeneca Ratios'!I84</f>
        <v>-0.13373245332551575</v>
      </c>
      <c r="K37" s="379">
        <f>+'Astra Zeneca Ratios'!J84</f>
        <v>-3.2791540854458311E-2</v>
      </c>
      <c r="L37" s="380">
        <f>+'Astra Zeneca Ratios'!K84</f>
        <v>3.8784057636709328E-2</v>
      </c>
      <c r="M37" s="378" cm="1">
        <f t="array" ref="M37">IFERROR(+'Moderna Ratios'!G84,_xleta.N/A)</f>
        <v>-0.3853130020428911</v>
      </c>
      <c r="N37" s="379">
        <f>+'Moderna Ratios'!H84</f>
        <v>-0.4172696507426224</v>
      </c>
      <c r="O37" s="379">
        <f>+'Moderna Ratios'!I84</f>
        <v>1.4207040848881134</v>
      </c>
      <c r="P37" s="379">
        <f>+'Moderna Ratios'!J84</f>
        <v>0.52453724955276082</v>
      </c>
      <c r="Q37" s="380">
        <f>+'Moderna Ratios'!K84</f>
        <v>-0.28657389521612386</v>
      </c>
      <c r="R37" s="378">
        <f>+'Sanofi Ratios'!G84</f>
        <v>-1.6031793007229522E-2</v>
      </c>
      <c r="S37" s="379">
        <f>+'Sanofi Ratios'!H84</f>
        <v>0.13704870919808626</v>
      </c>
      <c r="T37" s="379">
        <f>+'Sanofi Ratios'!I84</f>
        <v>3.4335477725784866E-2</v>
      </c>
      <c r="U37" s="379">
        <f>+'Sanofi Ratios'!J84</f>
        <v>5.4305986142610431E-2</v>
      </c>
      <c r="V37" s="380">
        <f>+'Sanofi Ratios'!K84</f>
        <v>8.6150964850673882E-3</v>
      </c>
      <c r="W37" s="378">
        <f>+'GSK Ratios'!G84</f>
        <v>0.46652017837058657</v>
      </c>
      <c r="X37" s="379">
        <f>+'GSK Ratios'!H84</f>
        <v>0.25582575360992948</v>
      </c>
      <c r="Y37" s="379">
        <f>+'GSK Ratios'!I84</f>
        <v>0.16821699034785595</v>
      </c>
      <c r="Z37" s="379">
        <f>+'GSK Ratios'!J84</f>
        <v>0.31380251844978113</v>
      </c>
      <c r="AA37" s="380">
        <f>+'GSK Ratios'!K84</f>
        <v>0.46723004690523068</v>
      </c>
      <c r="AB37" s="379">
        <f>+'Takeda Ratios'!G84</f>
        <v>-7.8109003255505002E-2</v>
      </c>
      <c r="AC37" s="379">
        <f>+'Takeda Ratios'!H84</f>
        <v>-2.1924378650384165E-2</v>
      </c>
      <c r="AD37" s="379">
        <f>+'Takeda Ratios'!I84</f>
        <v>3.1217500084874391E-2</v>
      </c>
      <c r="AE37" s="379">
        <f>+'Takeda Ratios'!J84</f>
        <v>-8.7720176021356038E-4</v>
      </c>
      <c r="AF37" s="380">
        <f>+'Takeda Ratios'!K84</f>
        <v>-1.6681070317243255E-2</v>
      </c>
      <c r="AH37" s="419">
        <f t="shared" si="0"/>
        <v>5.1295778825043339E-2</v>
      </c>
      <c r="AI37" s="420">
        <f>C37</f>
        <v>-0.47127385955407824</v>
      </c>
      <c r="AJ37" s="421">
        <f>AVERAGE(I37,S37,X37,AC37)</f>
        <v>8.5459412869450233E-2</v>
      </c>
      <c r="AK37" s="420">
        <f>D37</f>
        <v>1.6297716389712787E-2</v>
      </c>
      <c r="AL37" s="421">
        <f t="shared" si="2"/>
        <v>2.5009378708249864E-2</v>
      </c>
      <c r="AM37" s="420">
        <f>E37</f>
        <v>1.5517696279823605</v>
      </c>
      <c r="AN37" s="421">
        <f t="shared" si="3"/>
        <v>8.3609940494429921E-2</v>
      </c>
      <c r="AO37" s="420">
        <f>F37</f>
        <v>0.56026892607975753</v>
      </c>
      <c r="AP37" s="421">
        <f>AVERAGE(L37,V37,AA37,AF37)</f>
        <v>0.12448703267744103</v>
      </c>
      <c r="AQ37" s="420">
        <f>G37</f>
        <v>4.6167016116025458E-2</v>
      </c>
    </row>
    <row r="38" spans="1:43" ht="13.5" thickTop="1" x14ac:dyDescent="0.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72A37-8CFA-4D8D-A6B9-49C426315E48}">
  <dimension ref="B2:Q21"/>
  <sheetViews>
    <sheetView showGridLines="0" zoomScaleNormal="100" workbookViewId="0">
      <selection activeCell="N32" sqref="N32"/>
    </sheetView>
  </sheetViews>
  <sheetFormatPr defaultColWidth="9.1328125" defaultRowHeight="14.25" x14ac:dyDescent="0.45"/>
  <cols>
    <col min="1" max="1" width="3.6640625" style="322" customWidth="1"/>
    <col min="2" max="7" width="11" style="322" customWidth="1"/>
    <col min="8" max="12" width="12.33203125" style="322" customWidth="1"/>
    <col min="13" max="15" width="11" style="322" customWidth="1"/>
    <col min="16" max="16" width="16" style="322" bestFit="1" customWidth="1"/>
    <col min="17" max="17" width="7.796875" style="322" bestFit="1" customWidth="1"/>
    <col min="18" max="21" width="11" style="322" customWidth="1"/>
    <col min="22" max="16384" width="9.1328125" style="322"/>
  </cols>
  <sheetData>
    <row r="2" spans="2:17" x14ac:dyDescent="0.45">
      <c r="B2" s="323" t="s">
        <v>41</v>
      </c>
      <c r="F2" s="324"/>
    </row>
    <row r="3" spans="2:17" x14ac:dyDescent="0.45">
      <c r="B3" s="448" t="s">
        <v>42</v>
      </c>
      <c r="C3" s="448"/>
      <c r="D3" s="451" t="s">
        <v>41</v>
      </c>
      <c r="E3" s="448"/>
      <c r="F3" s="451" t="s">
        <v>43</v>
      </c>
      <c r="G3" s="451" t="s">
        <v>44</v>
      </c>
      <c r="H3" s="451" t="s">
        <v>45</v>
      </c>
      <c r="I3" s="451" t="s">
        <v>46</v>
      </c>
      <c r="J3" s="451" t="s">
        <v>47</v>
      </c>
      <c r="L3" s="450" t="s">
        <v>48</v>
      </c>
      <c r="M3" s="451"/>
      <c r="N3" s="451"/>
      <c r="O3" s="451"/>
      <c r="P3" s="451"/>
      <c r="Q3" s="451"/>
    </row>
    <row r="4" spans="2:17" ht="15.75" x14ac:dyDescent="0.5">
      <c r="B4" s="322" t="s">
        <v>49</v>
      </c>
      <c r="D4" s="456">
        <f>'Public comps'!J16</f>
        <v>2.7870309016059647</v>
      </c>
      <c r="F4" s="326">
        <f>$Q4*D4</f>
        <v>7803.6865244967012</v>
      </c>
      <c r="G4" s="326">
        <f>($N$6-$N$7)</f>
        <v>-15838.036752593302</v>
      </c>
      <c r="H4" s="326">
        <f>+F4-G4</f>
        <v>23641.723277090001</v>
      </c>
      <c r="I4" s="326">
        <f>$N$5</f>
        <v>239.97080400000002</v>
      </c>
      <c r="J4" s="327">
        <f>H4/I4</f>
        <v>98.519165177652198</v>
      </c>
      <c r="L4" s="328" t="s">
        <v>50</v>
      </c>
      <c r="M4" s="328"/>
      <c r="N4" s="457">
        <f>'DCF Model with IRR'!C25</f>
        <v>93.142319999999998</v>
      </c>
      <c r="P4" s="322" t="s">
        <v>51</v>
      </c>
      <c r="Q4" s="458">
        <f>'DCF Model with IRR'!$H$31</f>
        <v>2800</v>
      </c>
    </row>
    <row r="5" spans="2:17" ht="15.75" x14ac:dyDescent="0.5">
      <c r="B5" s="322" t="s">
        <v>52</v>
      </c>
      <c r="D5" s="456">
        <f>'Public comps'!H16</f>
        <v>2.4898283597816548</v>
      </c>
      <c r="F5" s="326">
        <f t="shared" ref="F5" si="0">$Q5*D5</f>
        <v>9508.6545060061399</v>
      </c>
      <c r="G5" s="326">
        <f t="shared" ref="G5" si="1">($N$6-$N$7)</f>
        <v>-15838.036752593302</v>
      </c>
      <c r="H5" s="326">
        <f t="shared" ref="H5" si="2">+F5-G5</f>
        <v>25346.691258599443</v>
      </c>
      <c r="I5" s="326">
        <f t="shared" ref="I5" si="3">$N$5</f>
        <v>239.97080400000002</v>
      </c>
      <c r="J5" s="327">
        <f t="shared" ref="J5" si="4">H5/I5</f>
        <v>105.62406274473057</v>
      </c>
      <c r="L5" s="328" t="s">
        <v>53</v>
      </c>
      <c r="M5" s="328"/>
      <c r="N5" s="458">
        <f>'DCF Model with IRR'!C26</f>
        <v>239.97080400000002</v>
      </c>
      <c r="P5" s="322" t="s">
        <v>54</v>
      </c>
      <c r="Q5" s="458">
        <f>'DCF Model with IRR'!$G$31</f>
        <v>3819</v>
      </c>
    </row>
    <row r="6" spans="2:17" ht="15.75" x14ac:dyDescent="0.5">
      <c r="B6" s="322" t="s">
        <v>55</v>
      </c>
      <c r="D6" s="325" t="s">
        <v>56</v>
      </c>
      <c r="F6" s="326"/>
      <c r="G6" s="326"/>
      <c r="H6" s="326"/>
      <c r="I6" s="326"/>
      <c r="J6" s="327"/>
      <c r="L6" s="328" t="s">
        <v>57</v>
      </c>
      <c r="M6" s="328"/>
      <c r="N6" s="458">
        <f>('Public comps'!F5-'Public comps'!E5)</f>
        <v>-15838.036752593302</v>
      </c>
      <c r="P6" s="322" t="s">
        <v>58</v>
      </c>
      <c r="Q6" s="458">
        <f>'DCF Model with IRR'!G39</f>
        <v>690.39999999999964</v>
      </c>
    </row>
    <row r="7" spans="2:17" ht="15.75" x14ac:dyDescent="0.5">
      <c r="D7" s="325"/>
      <c r="F7" s="326"/>
      <c r="G7" s="326"/>
      <c r="H7" s="326"/>
      <c r="I7" s="326"/>
      <c r="J7" s="327"/>
      <c r="L7" s="328"/>
      <c r="M7" s="328"/>
      <c r="N7" s="329"/>
      <c r="P7" s="322" t="s">
        <v>59</v>
      </c>
      <c r="Q7" s="458">
        <f>'Public comps'!R5</f>
        <v>-1207.4310399999999</v>
      </c>
    </row>
    <row r="8" spans="2:17" x14ac:dyDescent="0.45">
      <c r="B8" s="322" t="s">
        <v>60</v>
      </c>
      <c r="D8" s="330"/>
      <c r="F8" s="326"/>
      <c r="G8" s="326"/>
      <c r="H8" s="326">
        <f>MIN(H4:H6)</f>
        <v>23641.723277090001</v>
      </c>
      <c r="I8" s="326">
        <f>$N$5</f>
        <v>239.97080400000002</v>
      </c>
      <c r="J8" s="327">
        <f>H8/I8</f>
        <v>98.519165177652198</v>
      </c>
      <c r="M8" s="326"/>
    </row>
    <row r="9" spans="2:17" x14ac:dyDescent="0.45">
      <c r="B9" s="322" t="s">
        <v>61</v>
      </c>
      <c r="D9" s="330"/>
      <c r="F9" s="326"/>
      <c r="G9" s="326"/>
      <c r="H9" s="326">
        <f>MAX(H4:H6)</f>
        <v>25346.691258599443</v>
      </c>
      <c r="I9" s="326">
        <f>$N$5</f>
        <v>239.97080400000002</v>
      </c>
      <c r="J9" s="327">
        <f>H9/I9</f>
        <v>105.62406274473057</v>
      </c>
      <c r="M9" s="326"/>
    </row>
    <row r="10" spans="2:17" x14ac:dyDescent="0.45">
      <c r="D10" s="330"/>
      <c r="F10" s="326"/>
      <c r="G10" s="326"/>
      <c r="H10" s="326"/>
      <c r="I10" s="326"/>
      <c r="J10" s="327"/>
      <c r="M10" s="326"/>
    </row>
    <row r="11" spans="2:17" x14ac:dyDescent="0.45">
      <c r="B11" s="323"/>
      <c r="D11" s="330"/>
      <c r="F11" s="326"/>
      <c r="G11" s="326"/>
      <c r="H11" s="326"/>
      <c r="I11" s="326"/>
      <c r="J11" s="327"/>
      <c r="M11" s="326"/>
    </row>
    <row r="12" spans="2:17" x14ac:dyDescent="0.45">
      <c r="B12" s="450" t="s">
        <v>62</v>
      </c>
      <c r="C12" s="451"/>
      <c r="D12" s="451"/>
      <c r="E12" s="451"/>
      <c r="F12" s="451"/>
      <c r="G12" s="451"/>
      <c r="H12" s="451"/>
      <c r="I12" s="451"/>
      <c r="J12" s="451"/>
    </row>
    <row r="13" spans="2:17" x14ac:dyDescent="0.45">
      <c r="D13" s="331" t="s">
        <v>63</v>
      </c>
      <c r="E13" s="331" t="s">
        <v>64</v>
      </c>
      <c r="F13" s="331" t="s">
        <v>65</v>
      </c>
      <c r="G13" s="331" t="s">
        <v>65</v>
      </c>
      <c r="H13" s="326"/>
      <c r="I13" s="326"/>
      <c r="J13" s="440" t="s">
        <v>66</v>
      </c>
    </row>
    <row r="14" spans="2:17" x14ac:dyDescent="0.45">
      <c r="B14" s="322" t="s">
        <v>41</v>
      </c>
      <c r="D14" s="327">
        <f>J8</f>
        <v>98.519165177652198</v>
      </c>
      <c r="E14" s="327">
        <f>J8</f>
        <v>98.519165177652198</v>
      </c>
      <c r="F14" s="327">
        <f>J9</f>
        <v>105.62406274473057</v>
      </c>
      <c r="G14" s="327">
        <f>J9</f>
        <v>105.62406274473057</v>
      </c>
      <c r="H14" s="326"/>
      <c r="I14" s="326"/>
      <c r="J14" s="452">
        <f>AVERAGE(J4:J5)</f>
        <v>102.07161396119139</v>
      </c>
    </row>
    <row r="15" spans="2:17" x14ac:dyDescent="0.45">
      <c r="B15" s="322" t="s">
        <v>67</v>
      </c>
      <c r="D15" s="453">
        <f>E15</f>
        <v>56.260757338253448</v>
      </c>
      <c r="E15" s="453">
        <f>J15*$E$17</f>
        <v>56.260757338253448</v>
      </c>
      <c r="F15" s="453">
        <f>J15*$F$17</f>
        <v>68.763147857865334</v>
      </c>
      <c r="G15" s="453">
        <f>F15</f>
        <v>68.763147857865334</v>
      </c>
      <c r="H15" s="332"/>
      <c r="I15" s="326"/>
      <c r="J15" s="454">
        <f>'DCF Model with IRR'!C64</f>
        <v>62.511952598059388</v>
      </c>
    </row>
    <row r="16" spans="2:17" x14ac:dyDescent="0.45">
      <c r="B16" s="322" t="s">
        <v>68</v>
      </c>
      <c r="D16" s="453">
        <f>E16</f>
        <v>62.379102761124962</v>
      </c>
      <c r="E16" s="453">
        <f>J16*$E$17</f>
        <v>62.379102761124962</v>
      </c>
      <c r="F16" s="453">
        <f>J16*$F$17</f>
        <v>76.241125596930516</v>
      </c>
      <c r="G16" s="453">
        <f>F16</f>
        <v>76.241125596930516</v>
      </c>
      <c r="H16" s="332"/>
      <c r="I16" s="326"/>
      <c r="J16" s="455">
        <f>'DCF Model with IRR'!C90</f>
        <v>69.310114179027735</v>
      </c>
    </row>
    <row r="17" spans="2:13" x14ac:dyDescent="0.45">
      <c r="D17" s="333"/>
      <c r="E17" s="439">
        <v>0.9</v>
      </c>
      <c r="F17" s="439">
        <v>1.1000000000000001</v>
      </c>
      <c r="G17" s="333"/>
      <c r="H17" s="326"/>
      <c r="I17" s="441" t="s">
        <v>69</v>
      </c>
      <c r="J17" s="452">
        <f>AVERAGE(J14:J16)</f>
        <v>77.964560246092844</v>
      </c>
    </row>
    <row r="18" spans="2:13" x14ac:dyDescent="0.45">
      <c r="F18" s="326"/>
      <c r="G18" s="326"/>
      <c r="H18" s="326"/>
      <c r="I18" s="326"/>
      <c r="J18" s="327"/>
      <c r="L18" s="326"/>
      <c r="M18" s="326"/>
    </row>
    <row r="19" spans="2:13" x14ac:dyDescent="0.45">
      <c r="H19" s="326"/>
      <c r="I19" s="326"/>
      <c r="J19" s="326"/>
      <c r="K19" s="326"/>
    </row>
    <row r="20" spans="2:13" x14ac:dyDescent="0.45">
      <c r="H20" s="334"/>
      <c r="I20" s="334"/>
      <c r="J20" s="334"/>
    </row>
    <row r="21" spans="2:13" x14ac:dyDescent="0.45">
      <c r="B21" s="448" t="s">
        <v>70</v>
      </c>
      <c r="C21" s="449"/>
      <c r="D21" s="449"/>
      <c r="E21" s="449"/>
      <c r="F21" s="449"/>
      <c r="G21" s="449"/>
      <c r="H21" s="449"/>
      <c r="I21" s="449"/>
      <c r="J21" s="449"/>
    </row>
  </sheetData>
  <pageMargins left="0.7" right="0.7" top="0.75" bottom="0.75" header="0.3" footer="0.3"/>
  <pageSetup paperSize="9" orientation="portrait" verticalDpi="0"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F95DB-BD81-44BA-B063-3D0EDEDC7F74}">
  <sheetPr>
    <tabColor rgb="FFFFFF00"/>
  </sheetPr>
  <dimension ref="B3"/>
  <sheetViews>
    <sheetView showGridLines="0" workbookViewId="0"/>
  </sheetViews>
  <sheetFormatPr defaultColWidth="10.6640625" defaultRowHeight="12.75" x14ac:dyDescent="0.35"/>
  <sheetData>
    <row r="3" spans="2:2" x14ac:dyDescent="0.35">
      <c r="B3" s="1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93C12-6057-4FD1-9EB0-49ABFCC611FE}">
  <dimension ref="A1:S151"/>
  <sheetViews>
    <sheetView showGridLines="0" tabSelected="1" zoomScale="60" zoomScaleNormal="100" workbookViewId="0">
      <selection activeCell="H31" sqref="H31"/>
    </sheetView>
  </sheetViews>
  <sheetFormatPr defaultColWidth="9.1328125" defaultRowHeight="14.25" outlineLevelRow="3" x14ac:dyDescent="0.45"/>
  <cols>
    <col min="1" max="1" width="1.796875" style="297" customWidth="1"/>
    <col min="2" max="2" width="47.33203125" style="230" bestFit="1" customWidth="1"/>
    <col min="3" max="7" width="11.33203125" style="230" customWidth="1"/>
    <col min="8" max="12" width="12.33203125" style="230" customWidth="1"/>
    <col min="13" max="13" width="11.33203125" style="230" customWidth="1"/>
    <col min="14" max="16384" width="9.1328125" style="230"/>
  </cols>
  <sheetData>
    <row r="1" spans="1:13" s="221" customFormat="1" x14ac:dyDescent="0.45">
      <c r="A1" s="294"/>
    </row>
    <row r="2" spans="1:13" s="222" customFormat="1" ht="15.4" x14ac:dyDescent="0.6">
      <c r="A2" s="295"/>
      <c r="B2" s="223"/>
      <c r="C2" s="224" t="s">
        <v>71</v>
      </c>
      <c r="D2" s="225"/>
      <c r="E2" s="225"/>
      <c r="F2" s="225"/>
      <c r="G2" s="225"/>
      <c r="H2" s="224" t="s">
        <v>72</v>
      </c>
      <c r="I2" s="224"/>
      <c r="J2" s="224"/>
      <c r="K2" s="224"/>
      <c r="L2" s="224"/>
    </row>
    <row r="3" spans="1:13" ht="21" customHeight="1" x14ac:dyDescent="0.45">
      <c r="A3" s="296"/>
      <c r="B3" s="227" t="s">
        <v>73</v>
      </c>
      <c r="C3" s="228">
        <v>2019</v>
      </c>
      <c r="D3" s="228">
        <f t="shared" ref="D3:L3" si="0">C3+1</f>
        <v>2020</v>
      </c>
      <c r="E3" s="228">
        <f t="shared" si="0"/>
        <v>2021</v>
      </c>
      <c r="F3" s="228">
        <f t="shared" si="0"/>
        <v>2022</v>
      </c>
      <c r="G3" s="228">
        <f t="shared" si="0"/>
        <v>2023</v>
      </c>
      <c r="H3" s="229">
        <f t="shared" si="0"/>
        <v>2024</v>
      </c>
      <c r="I3" s="229">
        <f t="shared" si="0"/>
        <v>2025</v>
      </c>
      <c r="J3" s="229">
        <f t="shared" si="0"/>
        <v>2026</v>
      </c>
      <c r="K3" s="229">
        <f t="shared" si="0"/>
        <v>2027</v>
      </c>
      <c r="L3" s="229">
        <f t="shared" si="0"/>
        <v>2028</v>
      </c>
    </row>
    <row r="4" spans="1:13" outlineLevel="2" x14ac:dyDescent="0.45">
      <c r="C4" s="231"/>
      <c r="D4" s="231"/>
      <c r="E4" s="231"/>
      <c r="F4" s="231"/>
      <c r="G4" s="231"/>
      <c r="H4" s="231">
        <v>1</v>
      </c>
      <c r="I4" s="231">
        <v>2</v>
      </c>
      <c r="J4" s="231">
        <v>3</v>
      </c>
      <c r="K4" s="231">
        <v>4</v>
      </c>
      <c r="L4" s="231">
        <v>5</v>
      </c>
    </row>
    <row r="5" spans="1:13" outlineLevel="2" collapsed="1" x14ac:dyDescent="0.45">
      <c r="A5" s="297" t="s">
        <v>14</v>
      </c>
      <c r="B5" s="232" t="s">
        <v>74</v>
      </c>
      <c r="C5" s="232"/>
      <c r="D5" s="232"/>
      <c r="E5" s="232"/>
      <c r="F5" s="232"/>
      <c r="G5" s="232"/>
      <c r="H5" s="232"/>
      <c r="I5" s="232"/>
      <c r="J5" s="232"/>
      <c r="K5" s="232"/>
      <c r="L5" s="232"/>
    </row>
    <row r="6" spans="1:13" s="226" customFormat="1" hidden="1" outlineLevel="3" x14ac:dyDescent="0.45">
      <c r="A6" s="296"/>
      <c r="B6" s="233"/>
      <c r="C6" s="233"/>
      <c r="D6" s="233"/>
      <c r="E6" s="233"/>
      <c r="F6" s="233"/>
      <c r="G6" s="233"/>
      <c r="H6" s="233"/>
      <c r="I6" s="233"/>
      <c r="J6" s="233"/>
      <c r="K6" s="233"/>
      <c r="L6" s="233"/>
    </row>
    <row r="7" spans="1:13" s="234" customFormat="1" ht="15.4" hidden="1" outlineLevel="3" x14ac:dyDescent="0.6">
      <c r="A7" s="298"/>
      <c r="B7" s="235" t="s">
        <v>75</v>
      </c>
    </row>
    <row r="8" spans="1:13" s="234" customFormat="1" hidden="1" outlineLevel="3" x14ac:dyDescent="0.45">
      <c r="A8" s="298"/>
      <c r="B8" s="230" t="s">
        <v>76</v>
      </c>
      <c r="C8" s="236">
        <f>('BionTech Adjusted'!G8/'BionTech Adjusted'!F8)-1</f>
        <v>-0.14873603762492649</v>
      </c>
      <c r="D8" s="237">
        <f>('BionTech Adjusted'!H8/'BionTech Adjusted'!G8)-1</f>
        <v>3.4410681399631677</v>
      </c>
      <c r="E8" s="237">
        <f>('BionTech Adjusted'!I8/'BionTech Adjusted'!H8)-1</f>
        <v>38.346257516068839</v>
      </c>
      <c r="F8" s="237">
        <f>('BionTech Adjusted'!J8/'BionTech Adjusted'!I8)-1</f>
        <v>-8.7797140704126697E-2</v>
      </c>
      <c r="G8" s="237">
        <f>('BionTech Adjusted'!K8/'BionTech Adjusted'!J8)-1</f>
        <v>-0.77938373019999307</v>
      </c>
      <c r="H8" s="238">
        <f>('Revenue forecasts'!C46/G31)-1</f>
        <v>-0.26682377585755435</v>
      </c>
      <c r="I8" s="238">
        <f>('Revenue forecasts'!D46/'Revenue forecasts'!C46)-1</f>
        <v>-0.1964285714285714</v>
      </c>
      <c r="J8" s="238">
        <f>('Revenue forecasts'!E46/'Revenue forecasts'!D46)-1</f>
        <v>-3.2222222222222263E-2</v>
      </c>
      <c r="K8" s="238">
        <f>('Revenue forecasts'!F46/'Revenue forecasts'!E46)-1</f>
        <v>-8.5258323765786459E-2</v>
      </c>
      <c r="L8" s="238">
        <f>('Revenue forecasts'!G46/'Revenue forecasts'!F46)-1</f>
        <v>3.2168586991992543E-2</v>
      </c>
      <c r="M8" s="234" t="s">
        <v>77</v>
      </c>
    </row>
    <row r="9" spans="1:13" hidden="1" outlineLevel="3" x14ac:dyDescent="0.45">
      <c r="B9" s="221" t="s">
        <v>78</v>
      </c>
      <c r="C9" s="239">
        <f>C32/C31</f>
        <v>-0.1602209944751381</v>
      </c>
      <c r="D9" s="239">
        <f>D32/D31</f>
        <v>-0.12295251917893427</v>
      </c>
      <c r="E9" s="239">
        <f>E32/E31</f>
        <v>-0.15342498959250028</v>
      </c>
      <c r="F9" s="239">
        <f>F32/F31</f>
        <v>-0.17301537786096383</v>
      </c>
      <c r="G9" s="239">
        <f>G32/G31</f>
        <v>-0.15705682115737102</v>
      </c>
      <c r="H9" s="238">
        <f>AVERAGE(C9:G9)</f>
        <v>-0.15333414045298149</v>
      </c>
      <c r="I9" s="238">
        <f>H9</f>
        <v>-0.15333414045298149</v>
      </c>
      <c r="J9" s="238">
        <f>I9</f>
        <v>-0.15333414045298149</v>
      </c>
      <c r="K9" s="238">
        <f>J9</f>
        <v>-0.15333414045298149</v>
      </c>
      <c r="L9" s="238">
        <f>K9</f>
        <v>-0.15333414045298149</v>
      </c>
      <c r="M9" s="240" t="s">
        <v>79</v>
      </c>
    </row>
    <row r="10" spans="1:13" s="234" customFormat="1" hidden="1" outlineLevel="3" x14ac:dyDescent="0.45">
      <c r="A10" s="298"/>
      <c r="C10" s="239"/>
      <c r="D10" s="239"/>
      <c r="E10" s="239"/>
      <c r="F10" s="239"/>
      <c r="G10" s="239"/>
      <c r="H10" s="236"/>
      <c r="I10" s="236"/>
      <c r="J10" s="236"/>
      <c r="K10" s="236"/>
      <c r="L10" s="236"/>
      <c r="M10" s="241"/>
    </row>
    <row r="11" spans="1:13" hidden="1" outlineLevel="3" x14ac:dyDescent="0.45">
      <c r="B11" s="221" t="s">
        <v>80</v>
      </c>
      <c r="C11" s="239">
        <f>C36/C31</f>
        <v>-0.44383057090239408</v>
      </c>
      <c r="D11" s="239">
        <f>D36/D31</f>
        <v>-0.22496371552975325</v>
      </c>
      <c r="E11" s="239">
        <f>E36/E31</f>
        <v>-1.7242197010017547E-2</v>
      </c>
      <c r="F11" s="239">
        <f>F36/F31</f>
        <v>-3.1264080967730763E-2</v>
      </c>
      <c r="G11" s="239">
        <f>G36/G31</f>
        <v>-0.14603299293008642</v>
      </c>
      <c r="H11" s="238">
        <f>G11</f>
        <v>-0.14603299293008642</v>
      </c>
      <c r="I11" s="238">
        <f>H11</f>
        <v>-0.14603299293008642</v>
      </c>
      <c r="J11" s="238">
        <f>I11</f>
        <v>-0.14603299293008642</v>
      </c>
      <c r="K11" s="238">
        <f>J11</f>
        <v>-0.14603299293008642</v>
      </c>
      <c r="L11" s="238">
        <f>K11</f>
        <v>-0.14603299293008642</v>
      </c>
      <c r="M11" s="240" t="s">
        <v>81</v>
      </c>
    </row>
    <row r="12" spans="1:13" hidden="1" outlineLevel="3" x14ac:dyDescent="0.45">
      <c r="B12" s="221" t="s">
        <v>82</v>
      </c>
      <c r="C12" s="239">
        <f>-C37/C31</f>
        <v>2.0856353591160217</v>
      </c>
      <c r="D12" s="239">
        <f>-D37/D31</f>
        <v>1.3373419033796392</v>
      </c>
      <c r="E12" s="239">
        <f>-E37/E31</f>
        <v>5.0019234113412768E-2</v>
      </c>
      <c r="F12" s="239">
        <f>-F37/F31</f>
        <v>8.8789527803773416E-2</v>
      </c>
      <c r="G12" s="239">
        <f>-G37/G31</f>
        <v>0.46690233045299812</v>
      </c>
      <c r="H12" s="238">
        <v>0.8</v>
      </c>
      <c r="I12" s="238">
        <v>1.1764977777777776</v>
      </c>
      <c r="J12" s="238">
        <v>1.1476739380022962</v>
      </c>
      <c r="K12" s="238">
        <v>1.2021688380149107</v>
      </c>
      <c r="L12" s="238">
        <v>1.1771781558179408</v>
      </c>
      <c r="M12" s="240" t="s">
        <v>83</v>
      </c>
    </row>
    <row r="13" spans="1:13" hidden="1" outlineLevel="3" x14ac:dyDescent="0.45">
      <c r="B13" s="221" t="s">
        <v>84</v>
      </c>
      <c r="C13" s="239">
        <f>C38/C31</f>
        <v>1.8416206261510127E-2</v>
      </c>
      <c r="D13" s="239">
        <f>D38/D31</f>
        <v>0.51441011818370308</v>
      </c>
      <c r="E13" s="239">
        <f>E38/E31</f>
        <v>2.6084619559775934E-2</v>
      </c>
      <c r="F13" s="239">
        <f>F38/F31</f>
        <v>2.3413399882153133E-2</v>
      </c>
      <c r="G13" s="239">
        <f>G38/G31</f>
        <v>-4.9227546478135639E-2</v>
      </c>
      <c r="H13" s="238">
        <v>0.02</v>
      </c>
      <c r="I13" s="238">
        <v>0.02</v>
      </c>
      <c r="J13" s="238">
        <v>0.02</v>
      </c>
      <c r="K13" s="238">
        <v>0.02</v>
      </c>
      <c r="L13" s="238">
        <v>0.02</v>
      </c>
    </row>
    <row r="14" spans="1:13" hidden="1" outlineLevel="3" x14ac:dyDescent="0.45"/>
    <row r="15" spans="1:13" s="226" customFormat="1" ht="15.4" hidden="1" outlineLevel="3" x14ac:dyDescent="0.6">
      <c r="A15" s="296"/>
      <c r="B15" s="242" t="s">
        <v>85</v>
      </c>
      <c r="C15" s="243"/>
      <c r="D15" s="243"/>
      <c r="E15" s="243"/>
      <c r="F15" s="243"/>
      <c r="G15" s="243"/>
      <c r="H15" s="243"/>
      <c r="I15" s="243"/>
      <c r="J15" s="243"/>
      <c r="K15" s="243"/>
      <c r="L15" s="243"/>
      <c r="M15" s="244"/>
    </row>
    <row r="16" spans="1:13" hidden="1" outlineLevel="3" x14ac:dyDescent="0.45">
      <c r="B16" s="221" t="s">
        <v>86</v>
      </c>
      <c r="C16" s="239"/>
      <c r="D16" s="239"/>
      <c r="E16" s="239"/>
      <c r="F16" s="239"/>
      <c r="G16" s="239"/>
      <c r="H16" s="238">
        <v>0.3</v>
      </c>
      <c r="I16" s="238">
        <v>0.3</v>
      </c>
      <c r="J16" s="238">
        <v>0.3</v>
      </c>
      <c r="K16" s="238">
        <v>0.3</v>
      </c>
      <c r="L16" s="238">
        <v>0.3</v>
      </c>
      <c r="M16" s="240" t="s">
        <v>87</v>
      </c>
    </row>
    <row r="17" spans="1:13" s="226" customFormat="1" outlineLevel="2" collapsed="1" x14ac:dyDescent="0.45">
      <c r="A17" s="296"/>
      <c r="C17" s="243"/>
      <c r="D17" s="243"/>
      <c r="E17" s="243"/>
      <c r="F17" s="243"/>
      <c r="G17" s="243"/>
      <c r="H17" s="243"/>
      <c r="I17" s="243"/>
      <c r="J17" s="243"/>
      <c r="K17" s="243"/>
      <c r="L17" s="243"/>
      <c r="M17" s="244"/>
    </row>
    <row r="18" spans="1:13" outlineLevel="1" x14ac:dyDescent="0.45">
      <c r="A18" s="297" t="s">
        <v>14</v>
      </c>
      <c r="B18" s="232" t="s">
        <v>88</v>
      </c>
      <c r="C18" s="232"/>
      <c r="D18" s="232"/>
      <c r="E18" s="232"/>
      <c r="F18" s="232"/>
      <c r="G18" s="232"/>
      <c r="H18" s="232"/>
      <c r="I18" s="232"/>
      <c r="J18" s="232"/>
      <c r="K18" s="232"/>
      <c r="L18" s="232"/>
    </row>
    <row r="19" spans="1:13" s="226" customFormat="1" ht="3" hidden="1" customHeight="1" outlineLevel="3" x14ac:dyDescent="0.45">
      <c r="A19" s="296"/>
      <c r="B19" s="233"/>
      <c r="C19" s="233"/>
      <c r="D19" s="233"/>
      <c r="E19" s="233"/>
      <c r="F19" s="233"/>
      <c r="G19" s="233"/>
      <c r="H19" s="233"/>
      <c r="I19" s="233"/>
      <c r="J19" s="233"/>
      <c r="K19" s="233"/>
      <c r="L19" s="233"/>
    </row>
    <row r="20" spans="1:13" s="226" customFormat="1" hidden="1" outlineLevel="3" x14ac:dyDescent="0.45">
      <c r="A20" s="296"/>
      <c r="B20" s="245" t="s">
        <v>74</v>
      </c>
      <c r="C20" s="246"/>
      <c r="D20" s="233"/>
      <c r="E20" s="233"/>
      <c r="F20" s="233"/>
      <c r="G20" s="233"/>
      <c r="H20" s="233"/>
      <c r="I20" s="233"/>
      <c r="J20" s="233"/>
      <c r="K20" s="233"/>
      <c r="L20" s="233"/>
    </row>
    <row r="21" spans="1:13" s="226" customFormat="1" hidden="1" outlineLevel="3" x14ac:dyDescent="0.45">
      <c r="A21" s="296"/>
      <c r="B21" s="247" t="s">
        <v>86</v>
      </c>
      <c r="C21" s="303">
        <f>'WACC Analysis'!C12</f>
        <v>0.3</v>
      </c>
      <c r="D21" s="233"/>
      <c r="E21" s="233"/>
      <c r="F21" s="233"/>
      <c r="G21" s="233"/>
      <c r="H21" s="233"/>
      <c r="I21" s="233"/>
      <c r="J21" s="233"/>
      <c r="K21" s="233"/>
      <c r="L21" s="233"/>
    </row>
    <row r="22" spans="1:13" s="226" customFormat="1" hidden="1" outlineLevel="3" x14ac:dyDescent="0.45">
      <c r="A22" s="296"/>
      <c r="B22" s="248" t="s">
        <v>89</v>
      </c>
      <c r="C22" s="303">
        <f>'WACC Analysis'!C19</f>
        <v>8.6676582743786118E-2</v>
      </c>
      <c r="D22" s="233"/>
      <c r="E22" s="233"/>
      <c r="F22" s="233"/>
      <c r="G22" s="233"/>
      <c r="H22" s="233"/>
      <c r="I22" s="233"/>
      <c r="J22" s="233"/>
      <c r="K22" s="233"/>
      <c r="L22" s="233"/>
    </row>
    <row r="23" spans="1:13" s="226" customFormat="1" hidden="1" outlineLevel="3" x14ac:dyDescent="0.45">
      <c r="A23" s="296"/>
      <c r="B23" s="230" t="s">
        <v>90</v>
      </c>
      <c r="C23" s="303">
        <v>0.02</v>
      </c>
      <c r="D23" s="233"/>
      <c r="E23" s="233"/>
      <c r="F23" s="233"/>
      <c r="G23" s="233"/>
      <c r="H23" s="233"/>
      <c r="I23" s="233"/>
      <c r="J23" s="233"/>
      <c r="K23" s="233"/>
      <c r="L23" s="233"/>
    </row>
    <row r="24" spans="1:13" s="226" customFormat="1" hidden="1" outlineLevel="3" x14ac:dyDescent="0.45">
      <c r="A24" s="296"/>
      <c r="B24" s="230" t="s">
        <v>91</v>
      </c>
      <c r="C24" s="249">
        <f>'Public comps'!J16</f>
        <v>2.7870309016059647</v>
      </c>
      <c r="D24" s="233"/>
      <c r="E24" s="233"/>
      <c r="F24" s="233"/>
      <c r="G24" s="233"/>
      <c r="H24" s="233"/>
      <c r="I24" s="233"/>
      <c r="J24" s="233"/>
      <c r="K24" s="233"/>
      <c r="L24" s="233"/>
    </row>
    <row r="25" spans="1:13" s="226" customFormat="1" hidden="1" outlineLevel="3" x14ac:dyDescent="0.45">
      <c r="A25" s="296"/>
      <c r="B25" s="230" t="s">
        <v>50</v>
      </c>
      <c r="C25" s="250">
        <f>'Public comps'!C5</f>
        <v>93.142319999999998</v>
      </c>
      <c r="D25" s="251" t="s">
        <v>92</v>
      </c>
      <c r="E25" s="233"/>
      <c r="F25" s="233"/>
      <c r="G25" s="233"/>
      <c r="H25" s="233"/>
      <c r="I25" s="233"/>
      <c r="J25" s="233"/>
      <c r="K25" s="233"/>
      <c r="L25" s="233"/>
    </row>
    <row r="26" spans="1:13" s="226" customFormat="1" hidden="1" outlineLevel="3" x14ac:dyDescent="0.45">
      <c r="A26" s="296"/>
      <c r="B26" s="230" t="s">
        <v>53</v>
      </c>
      <c r="C26" s="250">
        <f>'Public comps'!D5</f>
        <v>239.97080400000002</v>
      </c>
      <c r="D26" s="233"/>
      <c r="E26" s="233"/>
      <c r="F26" s="233"/>
      <c r="G26" s="233"/>
      <c r="H26" s="233"/>
      <c r="I26" s="233"/>
      <c r="J26" s="233"/>
      <c r="K26" s="233"/>
      <c r="L26" s="233"/>
    </row>
    <row r="27" spans="1:13" s="226" customFormat="1" hidden="1" outlineLevel="3" x14ac:dyDescent="0.45">
      <c r="A27" s="296"/>
      <c r="B27" s="230" t="s">
        <v>93</v>
      </c>
      <c r="C27" s="250">
        <f>'BionTech Adjusted'!AM45</f>
        <v>11663.7</v>
      </c>
      <c r="D27" s="233"/>
      <c r="E27" s="233"/>
      <c r="F27" s="233"/>
      <c r="G27" s="233"/>
      <c r="H27" s="233"/>
      <c r="I27" s="233"/>
      <c r="J27" s="233"/>
      <c r="K27" s="233"/>
      <c r="L27" s="233"/>
    </row>
    <row r="28" spans="1:13" s="226" customFormat="1" hidden="1" outlineLevel="3" x14ac:dyDescent="0.45">
      <c r="A28" s="296"/>
      <c r="B28" s="230" t="s">
        <v>94</v>
      </c>
      <c r="C28" s="250">
        <f>SUM('BionTech Adjusted'!AN57,'BionTech Adjusted'!AN64)</f>
        <v>0</v>
      </c>
      <c r="D28" s="233"/>
      <c r="E28" s="233"/>
      <c r="F28" s="233"/>
      <c r="G28" s="233"/>
      <c r="H28" s="233"/>
      <c r="I28" s="233"/>
      <c r="J28" s="233"/>
      <c r="K28" s="233"/>
      <c r="L28" s="233"/>
    </row>
    <row r="29" spans="1:13" s="226" customFormat="1" hidden="1" outlineLevel="3" x14ac:dyDescent="0.45">
      <c r="A29" s="296"/>
      <c r="B29" s="230" t="s">
        <v>95</v>
      </c>
      <c r="C29" s="303">
        <v>0.05</v>
      </c>
      <c r="D29" s="233"/>
      <c r="E29" s="233"/>
      <c r="F29" s="233"/>
      <c r="G29" s="233"/>
      <c r="H29" s="233"/>
      <c r="I29" s="233"/>
      <c r="J29" s="233"/>
      <c r="K29" s="233"/>
      <c r="L29" s="233"/>
    </row>
    <row r="30" spans="1:13" s="222" customFormat="1" hidden="1" outlineLevel="3" x14ac:dyDescent="0.45">
      <c r="A30" s="295"/>
      <c r="B30" s="252"/>
      <c r="C30" s="252"/>
      <c r="D30" s="252"/>
      <c r="E30" s="252"/>
      <c r="F30" s="252"/>
      <c r="G30" s="252"/>
      <c r="H30" s="252"/>
      <c r="I30" s="252"/>
      <c r="J30" s="252"/>
      <c r="K30" s="252"/>
      <c r="L30" s="252"/>
    </row>
    <row r="31" spans="1:13" s="248" customFormat="1" outlineLevel="2" collapsed="1" x14ac:dyDescent="0.45">
      <c r="A31" s="299"/>
      <c r="B31" s="245" t="s">
        <v>96</v>
      </c>
      <c r="C31" s="245">
        <f>'BionTech Adjusted'!AI8</f>
        <v>108.60000000000001</v>
      </c>
      <c r="D31" s="245">
        <f>'BionTech Adjusted'!AJ8</f>
        <v>482.3</v>
      </c>
      <c r="E31" s="245">
        <f>'BionTech Adjusted'!AK8</f>
        <v>18976.7</v>
      </c>
      <c r="F31" s="245">
        <f>'BionTech Adjusted'!AL8</f>
        <v>17310.599999999999</v>
      </c>
      <c r="G31" s="245">
        <f>'BionTech Adjusted'!AM8</f>
        <v>3819</v>
      </c>
      <c r="H31" s="253">
        <f>'Revenue forecasts'!C46</f>
        <v>2800</v>
      </c>
      <c r="I31" s="253">
        <f>'Revenue forecasts'!D46</f>
        <v>2250</v>
      </c>
      <c r="J31" s="253">
        <f>'Revenue forecasts'!E46</f>
        <v>2177.5</v>
      </c>
      <c r="K31" s="253">
        <f>'Revenue forecasts'!F46</f>
        <v>1991.85</v>
      </c>
      <c r="L31" s="253">
        <f>'Revenue forecasts'!G46</f>
        <v>2055.9250000000002</v>
      </c>
    </row>
    <row r="32" spans="1:13" s="248" customFormat="1" outlineLevel="2" x14ac:dyDescent="0.45">
      <c r="A32" s="299"/>
      <c r="B32" s="254" t="s">
        <v>97</v>
      </c>
      <c r="C32" s="248">
        <f>'BionTech Adjusted'!AI24</f>
        <v>-17.399999999999999</v>
      </c>
      <c r="D32" s="248">
        <f>'BionTech Adjusted'!AJ24</f>
        <v>-59.3</v>
      </c>
      <c r="E32" s="248">
        <f>'BionTech Adjusted'!AK24</f>
        <v>-2911.5</v>
      </c>
      <c r="F32" s="248">
        <f>'BionTech Adjusted'!AL24</f>
        <v>-2995</v>
      </c>
      <c r="G32" s="248">
        <f>'BionTech Adjusted'!AM24</f>
        <v>-599.79999999999995</v>
      </c>
      <c r="H32" s="255">
        <f>H31*H9</f>
        <v>-429.33559326834819</v>
      </c>
      <c r="I32" s="255">
        <f>I31*I9</f>
        <v>-345.00181601920838</v>
      </c>
      <c r="J32" s="255">
        <f>J31*J9</f>
        <v>-333.88509083636723</v>
      </c>
      <c r="K32" s="255">
        <f>K31*K9</f>
        <v>-305.41860766127115</v>
      </c>
      <c r="L32" s="255">
        <f>L31*L9</f>
        <v>-315.24349271079598</v>
      </c>
    </row>
    <row r="33" spans="1:12" s="248" customFormat="1" outlineLevel="2" x14ac:dyDescent="0.45">
      <c r="A33" s="299"/>
      <c r="B33" s="256" t="s">
        <v>98</v>
      </c>
      <c r="C33" s="256">
        <f t="shared" ref="C33:L33" si="1">C31+C32</f>
        <v>91.200000000000017</v>
      </c>
      <c r="D33" s="256">
        <f t="shared" si="1"/>
        <v>423</v>
      </c>
      <c r="E33" s="256">
        <f t="shared" si="1"/>
        <v>16065.2</v>
      </c>
      <c r="F33" s="256">
        <f t="shared" si="1"/>
        <v>14315.599999999999</v>
      </c>
      <c r="G33" s="256">
        <f t="shared" si="1"/>
        <v>3219.2</v>
      </c>
      <c r="H33" s="256">
        <f t="shared" si="1"/>
        <v>2370.664406731652</v>
      </c>
      <c r="I33" s="256">
        <f t="shared" si="1"/>
        <v>1904.9981839807915</v>
      </c>
      <c r="J33" s="256">
        <f t="shared" si="1"/>
        <v>1843.6149091636328</v>
      </c>
      <c r="K33" s="256">
        <f t="shared" si="1"/>
        <v>1686.4313923387288</v>
      </c>
      <c r="L33" s="256">
        <f t="shared" si="1"/>
        <v>1740.6815072892041</v>
      </c>
    </row>
    <row r="34" spans="1:12" s="248" customFormat="1" outlineLevel="2" x14ac:dyDescent="0.45">
      <c r="A34" s="299"/>
      <c r="B34" s="257" t="s">
        <v>99</v>
      </c>
      <c r="C34" s="258">
        <f t="shared" ref="C34:L34" si="2">C33/C31</f>
        <v>0.83977900552486195</v>
      </c>
      <c r="D34" s="259">
        <f t="shared" si="2"/>
        <v>0.87704748082106576</v>
      </c>
      <c r="E34" s="259">
        <f t="shared" si="2"/>
        <v>0.84657501040749972</v>
      </c>
      <c r="F34" s="259">
        <f t="shared" si="2"/>
        <v>0.82698462213903623</v>
      </c>
      <c r="G34" s="259">
        <f t="shared" si="2"/>
        <v>0.84294317884262893</v>
      </c>
      <c r="H34" s="259">
        <f t="shared" si="2"/>
        <v>0.84666585954701856</v>
      </c>
      <c r="I34" s="259">
        <f t="shared" si="2"/>
        <v>0.84666585954701845</v>
      </c>
      <c r="J34" s="259">
        <f t="shared" si="2"/>
        <v>0.84666585954701845</v>
      </c>
      <c r="K34" s="259">
        <f t="shared" si="2"/>
        <v>0.84666585954701856</v>
      </c>
      <c r="L34" s="259">
        <f t="shared" si="2"/>
        <v>0.84666585954701845</v>
      </c>
    </row>
    <row r="35" spans="1:12" s="248" customFormat="1" outlineLevel="2" x14ac:dyDescent="0.45">
      <c r="A35" s="299"/>
      <c r="B35" s="260" t="s">
        <v>100</v>
      </c>
      <c r="C35" s="260">
        <f t="shared" ref="C35:L35" si="3">SUM(C36:C38)</f>
        <v>-272.7</v>
      </c>
      <c r="D35" s="260">
        <f t="shared" si="3"/>
        <v>-505.4</v>
      </c>
      <c r="E35" s="260">
        <f t="shared" si="3"/>
        <v>-781.40000000000009</v>
      </c>
      <c r="F35" s="260">
        <f t="shared" si="3"/>
        <v>-1672.8999999999999</v>
      </c>
      <c r="G35" s="260">
        <f t="shared" si="3"/>
        <v>-2528.8000000000002</v>
      </c>
      <c r="H35" s="245">
        <f t="shared" si="3"/>
        <v>-2592.8923802042418</v>
      </c>
      <c r="I35" s="245">
        <f t="shared" si="3"/>
        <v>-2930.6942340926944</v>
      </c>
      <c r="J35" s="245">
        <f t="shared" si="3"/>
        <v>-2773.4968421052631</v>
      </c>
      <c r="K35" s="245">
        <f t="shared" si="3"/>
        <v>-2645.5788169677926</v>
      </c>
      <c r="L35" s="245">
        <f t="shared" si="3"/>
        <v>-2679.3043809897881</v>
      </c>
    </row>
    <row r="36" spans="1:12" s="248" customFormat="1" outlineLevel="2" x14ac:dyDescent="0.45">
      <c r="A36" s="299"/>
      <c r="B36" s="261" t="s">
        <v>101</v>
      </c>
      <c r="C36" s="248">
        <f>'BionTech Adjusted'!AI25</f>
        <v>-48.2</v>
      </c>
      <c r="D36" s="248">
        <f>'BionTech Adjusted'!AJ25</f>
        <v>-108.5</v>
      </c>
      <c r="E36" s="248">
        <f>'BionTech Adjusted'!AK25</f>
        <v>-327.2</v>
      </c>
      <c r="F36" s="248">
        <f>'BionTech Adjusted'!AL25</f>
        <v>-541.20000000000005</v>
      </c>
      <c r="G36" s="248">
        <f>'BionTech Adjusted'!AM25</f>
        <v>-557.70000000000005</v>
      </c>
      <c r="H36" s="222">
        <f>H$31*H11</f>
        <v>-408.89238020424199</v>
      </c>
      <c r="I36" s="222">
        <f>I$31*I11</f>
        <v>-328.57423409269444</v>
      </c>
      <c r="J36" s="222">
        <f>J$31*J11</f>
        <v>-317.98684210526318</v>
      </c>
      <c r="K36" s="222">
        <f>K$31*K11</f>
        <v>-290.87581696779262</v>
      </c>
      <c r="L36" s="222">
        <f>L$31*L11</f>
        <v>-300.23288098978799</v>
      </c>
    </row>
    <row r="37" spans="1:12" s="248" customFormat="1" outlineLevel="2" x14ac:dyDescent="0.45">
      <c r="A37" s="299"/>
      <c r="B37" s="261" t="s">
        <v>102</v>
      </c>
      <c r="C37" s="248">
        <f>'BionTech Adjusted'!AI26</f>
        <v>-226.5</v>
      </c>
      <c r="D37" s="248">
        <f>'BionTech Adjusted'!AJ26</f>
        <v>-645</v>
      </c>
      <c r="E37" s="248">
        <f>'BionTech Adjusted'!AK26</f>
        <v>-949.2</v>
      </c>
      <c r="F37" s="248">
        <f>'BionTech Adjusted'!AL26</f>
        <v>-1537</v>
      </c>
      <c r="G37" s="248">
        <f>'BionTech Adjusted'!AM26</f>
        <v>-1783.1</v>
      </c>
      <c r="H37" s="248">
        <f>-H12*H31</f>
        <v>-2240</v>
      </c>
      <c r="I37" s="248">
        <f>-I12*I31</f>
        <v>-2647.12</v>
      </c>
      <c r="J37" s="248">
        <f>-J12*J31</f>
        <v>-2499.06</v>
      </c>
      <c r="K37" s="248">
        <f>-K12*K31</f>
        <v>-2394.54</v>
      </c>
      <c r="L37" s="248">
        <f>-L12*L31</f>
        <v>-2420.19</v>
      </c>
    </row>
    <row r="38" spans="1:12" s="248" customFormat="1" outlineLevel="2" x14ac:dyDescent="0.45">
      <c r="A38" s="299"/>
      <c r="B38" s="261" t="s">
        <v>103</v>
      </c>
      <c r="C38" s="248">
        <f>'BionTech Adjusted'!AI27</f>
        <v>2</v>
      </c>
      <c r="D38" s="248">
        <f>'BionTech Adjusted'!AJ27</f>
        <v>248.1</v>
      </c>
      <c r="E38" s="248">
        <f>'BionTech Adjusted'!AK27</f>
        <v>495</v>
      </c>
      <c r="F38" s="248">
        <f>'BionTech Adjusted'!AL27</f>
        <v>405.3</v>
      </c>
      <c r="G38" s="248">
        <f>'BionTech Adjusted'!AM27</f>
        <v>-188</v>
      </c>
      <c r="H38" s="222">
        <f>H$31*H13</f>
        <v>56</v>
      </c>
      <c r="I38" s="222">
        <f>I$31*I13</f>
        <v>45</v>
      </c>
      <c r="J38" s="222">
        <f>J$31*J13</f>
        <v>43.550000000000004</v>
      </c>
      <c r="K38" s="222">
        <f>K$31*K13</f>
        <v>39.836999999999996</v>
      </c>
      <c r="L38" s="222">
        <f>L$31*L13</f>
        <v>41.118500000000004</v>
      </c>
    </row>
    <row r="39" spans="1:12" s="248" customFormat="1" outlineLevel="2" x14ac:dyDescent="0.45">
      <c r="A39" s="299"/>
      <c r="B39" s="245" t="s">
        <v>104</v>
      </c>
      <c r="C39" s="245">
        <f t="shared" ref="C39:L39" si="4">C33+C35</f>
        <v>-181.49999999999997</v>
      </c>
      <c r="D39" s="245">
        <f t="shared" si="4"/>
        <v>-82.399999999999977</v>
      </c>
      <c r="E39" s="245">
        <f t="shared" si="4"/>
        <v>15283.800000000001</v>
      </c>
      <c r="F39" s="245">
        <f t="shared" si="4"/>
        <v>12642.699999999999</v>
      </c>
      <c r="G39" s="245">
        <f t="shared" si="4"/>
        <v>690.39999999999964</v>
      </c>
      <c r="H39" s="245">
        <f t="shared" si="4"/>
        <v>-222.22797347258984</v>
      </c>
      <c r="I39" s="245">
        <f t="shared" si="4"/>
        <v>-1025.6960501119029</v>
      </c>
      <c r="J39" s="245">
        <f t="shared" si="4"/>
        <v>-929.88193294163034</v>
      </c>
      <c r="K39" s="245">
        <f t="shared" si="4"/>
        <v>-959.14742462906383</v>
      </c>
      <c r="L39" s="245">
        <f t="shared" si="4"/>
        <v>-938.62287370058402</v>
      </c>
    </row>
    <row r="40" spans="1:12" s="248" customFormat="1" outlineLevel="2" x14ac:dyDescent="0.45">
      <c r="A40" s="299"/>
      <c r="B40" s="262" t="s">
        <v>105</v>
      </c>
      <c r="C40" s="259">
        <f t="shared" ref="C40:L40" si="5">C39/C31</f>
        <v>-1.6712707182320439</v>
      </c>
      <c r="D40" s="259">
        <f t="shared" si="5"/>
        <v>-0.17084801990462362</v>
      </c>
      <c r="E40" s="259">
        <f t="shared" si="5"/>
        <v>0.80539819884384534</v>
      </c>
      <c r="F40" s="259">
        <f t="shared" si="5"/>
        <v>0.73034441324968513</v>
      </c>
      <c r="G40" s="259">
        <f t="shared" si="5"/>
        <v>0.18078030898140865</v>
      </c>
      <c r="H40" s="259">
        <f t="shared" si="5"/>
        <v>-7.9367133383067806E-2</v>
      </c>
      <c r="I40" s="259">
        <f t="shared" si="5"/>
        <v>-0.45586491116084571</v>
      </c>
      <c r="J40" s="259">
        <f t="shared" si="5"/>
        <v>-0.42704107138536412</v>
      </c>
      <c r="K40" s="259">
        <f t="shared" si="5"/>
        <v>-0.48153597139797871</v>
      </c>
      <c r="L40" s="259">
        <f t="shared" si="5"/>
        <v>-0.45654528920100879</v>
      </c>
    </row>
    <row r="41" spans="1:12" outlineLevel="2" x14ac:dyDescent="0.45">
      <c r="B41" s="221" t="s">
        <v>106</v>
      </c>
      <c r="C41" s="248">
        <f>'BionTech Adjusted'!AI16</f>
        <v>0.2</v>
      </c>
      <c r="D41" s="248">
        <f>'BionTech Adjusted'!AJ16</f>
        <v>161</v>
      </c>
      <c r="E41" s="248">
        <f>'BionTech Adjusted'!AK16</f>
        <v>-4753.8999999999996</v>
      </c>
      <c r="F41" s="248">
        <f>'BionTech Adjusted'!AL16</f>
        <v>-3519.7</v>
      </c>
      <c r="G41" s="248">
        <f>'BionTech Adjusted'!AM16</f>
        <v>-255.8</v>
      </c>
      <c r="H41" s="263">
        <f>-H39*(H16)</f>
        <v>66.668392041776954</v>
      </c>
      <c r="I41" s="264">
        <f>-I39*(I16)</f>
        <v>307.70881503357083</v>
      </c>
      <c r="J41" s="264">
        <f>-J39*(J16)</f>
        <v>278.96457988248909</v>
      </c>
      <c r="K41" s="264">
        <f>-K39*(K16)</f>
        <v>287.74422738871914</v>
      </c>
      <c r="L41" s="264">
        <f>-L39*(L16)</f>
        <v>281.58686211017522</v>
      </c>
    </row>
    <row r="42" spans="1:12" ht="14.65" outlineLevel="2" thickBot="1" x14ac:dyDescent="0.5">
      <c r="B42" s="265" t="s">
        <v>107</v>
      </c>
      <c r="C42" s="266">
        <f t="shared" ref="C42:H42" si="6">SUM(C39:C41)</f>
        <v>-182.97127071823203</v>
      </c>
      <c r="D42" s="266">
        <f t="shared" si="6"/>
        <v>78.429151980095398</v>
      </c>
      <c r="E42" s="266">
        <f t="shared" si="6"/>
        <v>10530.705398198845</v>
      </c>
      <c r="F42" s="266">
        <f t="shared" si="6"/>
        <v>9123.7303444132485</v>
      </c>
      <c r="G42" s="266">
        <f t="shared" si="6"/>
        <v>434.78078030898104</v>
      </c>
      <c r="H42" s="266">
        <f t="shared" si="6"/>
        <v>-155.63894856419597</v>
      </c>
      <c r="I42" s="266">
        <f>SUM(I39:I41)</f>
        <v>-718.44309998949302</v>
      </c>
      <c r="J42" s="266">
        <f>SUM(J39:J41)</f>
        <v>-651.34439413052655</v>
      </c>
      <c r="K42" s="266">
        <f>SUM(K39:K41)</f>
        <v>-671.88473321174274</v>
      </c>
      <c r="L42" s="266">
        <f>SUM(L39:L41)</f>
        <v>-657.49255687960977</v>
      </c>
    </row>
    <row r="43" spans="1:12" ht="14.65" outlineLevel="2" thickTop="1" x14ac:dyDescent="0.45">
      <c r="B43" s="230" t="s">
        <v>108</v>
      </c>
      <c r="C43" s="267"/>
      <c r="D43" s="267"/>
      <c r="E43" s="267"/>
      <c r="F43" s="267"/>
      <c r="G43" s="267"/>
      <c r="H43" s="268">
        <f>-H117</f>
        <v>134.4</v>
      </c>
      <c r="I43" s="268">
        <f>-I117</f>
        <v>108</v>
      </c>
      <c r="J43" s="268">
        <f>-J117</f>
        <v>104.52</v>
      </c>
      <c r="K43" s="268">
        <f>-K117</f>
        <v>95.608800000000002</v>
      </c>
      <c r="L43" s="268">
        <f>-L117</f>
        <v>98.684400000000011</v>
      </c>
    </row>
    <row r="44" spans="1:12" outlineLevel="2" x14ac:dyDescent="0.45">
      <c r="B44" s="230" t="s">
        <v>109</v>
      </c>
      <c r="C44" s="269"/>
      <c r="D44" s="269"/>
      <c r="E44" s="269"/>
      <c r="F44" s="269"/>
      <c r="G44" s="269"/>
      <c r="H44" s="230">
        <f>-H116</f>
        <v>-168</v>
      </c>
      <c r="I44" s="230">
        <f>-I116</f>
        <v>-135</v>
      </c>
      <c r="J44" s="230">
        <f>-J116</f>
        <v>-130.65</v>
      </c>
      <c r="K44" s="230">
        <f>-K116</f>
        <v>-119.511</v>
      </c>
      <c r="L44" s="230">
        <f>-L116</f>
        <v>-123.35550000000001</v>
      </c>
    </row>
    <row r="45" spans="1:12" outlineLevel="2" x14ac:dyDescent="0.45">
      <c r="B45" s="230" t="s">
        <v>110</v>
      </c>
      <c r="C45" s="269"/>
      <c r="D45" s="269"/>
      <c r="E45" s="269"/>
      <c r="F45" s="269"/>
      <c r="G45" s="269"/>
      <c r="H45" s="230">
        <f>H107</f>
        <v>1677.8075236275777</v>
      </c>
      <c r="I45" s="230">
        <f>I107</f>
        <v>94.598522144582887</v>
      </c>
      <c r="J45" s="230">
        <f>J107</f>
        <v>12.469805191785952</v>
      </c>
      <c r="K45" s="230">
        <f>K107</f>
        <v>31.931301156621487</v>
      </c>
      <c r="L45" s="230">
        <f>L107</f>
        <v>-11.020727829843963</v>
      </c>
    </row>
    <row r="46" spans="1:12" ht="14.65" outlineLevel="2" thickBot="1" x14ac:dyDescent="0.5">
      <c r="B46" s="265" t="s">
        <v>111</v>
      </c>
      <c r="C46" s="265"/>
      <c r="D46" s="265"/>
      <c r="E46" s="265"/>
      <c r="F46" s="265"/>
      <c r="G46" s="265"/>
      <c r="H46" s="265">
        <f>SUM(H42:H45)</f>
        <v>1488.5685750633818</v>
      </c>
      <c r="I46" s="265">
        <f>SUM(I42:I45)</f>
        <v>-650.84457784491019</v>
      </c>
      <c r="J46" s="265">
        <f>SUM(J42:J45)</f>
        <v>-665.00458893874065</v>
      </c>
      <c r="K46" s="265">
        <f>SUM(K42:K45)</f>
        <v>-663.8556320551213</v>
      </c>
      <c r="L46" s="265">
        <f>SUM(L42:L45)</f>
        <v>-693.18438470945375</v>
      </c>
    </row>
    <row r="47" spans="1:12" ht="14.65" outlineLevel="2" thickTop="1" x14ac:dyDescent="0.45"/>
    <row r="48" spans="1:12" s="270" customFormat="1" outlineLevel="2" x14ac:dyDescent="0.45">
      <c r="A48" s="300"/>
      <c r="B48" s="270" t="s">
        <v>112</v>
      </c>
      <c r="H48" s="270">
        <f>H46/(1+$C$22)^H4</f>
        <v>1369.8358819004318</v>
      </c>
      <c r="I48" s="270">
        <f>I46/(1+$C$22)^I4</f>
        <v>-551.1587092304303</v>
      </c>
      <c r="J48" s="270">
        <f>J46/(1+$C$22)^J4</f>
        <v>-518.23139220310748</v>
      </c>
      <c r="K48" s="270">
        <f>K46/(1+$C$22)^K4</f>
        <v>-476.07174928314197</v>
      </c>
      <c r="L48" s="270">
        <f>L46/(1+$C$22)^L4</f>
        <v>-457.45378889583628</v>
      </c>
    </row>
    <row r="49" spans="1:8" s="271" customFormat="1" outlineLevel="2" x14ac:dyDescent="0.45">
      <c r="A49" s="301"/>
      <c r="B49" s="271" t="s">
        <v>113</v>
      </c>
      <c r="C49" s="271">
        <f>SUM(H48:L48)</f>
        <v>-633.0797577120843</v>
      </c>
    </row>
    <row r="50" spans="1:8" outlineLevel="2" x14ac:dyDescent="0.45"/>
    <row r="51" spans="1:8" ht="15.4" outlineLevel="2" x14ac:dyDescent="0.6">
      <c r="B51" s="230" t="s">
        <v>114</v>
      </c>
      <c r="C51" s="272"/>
    </row>
    <row r="52" spans="1:8" outlineLevel="2" x14ac:dyDescent="0.45">
      <c r="B52" s="275" t="s">
        <v>115</v>
      </c>
      <c r="C52" s="275">
        <f>L31*(1+C29)</f>
        <v>2158.7212500000005</v>
      </c>
    </row>
    <row r="53" spans="1:8" outlineLevel="2" x14ac:dyDescent="0.45">
      <c r="B53" s="230" t="s">
        <v>91</v>
      </c>
      <c r="C53" s="302">
        <f>C24</f>
        <v>2.7870309016059647</v>
      </c>
    </row>
    <row r="54" spans="1:8" outlineLevel="2" x14ac:dyDescent="0.45">
      <c r="B54" s="274" t="s">
        <v>114</v>
      </c>
      <c r="C54" s="275">
        <f>C52*C53</f>
        <v>6016.4228317034567</v>
      </c>
    </row>
    <row r="55" spans="1:8" outlineLevel="2" x14ac:dyDescent="0.45">
      <c r="B55" s="221"/>
      <c r="C55" s="221"/>
    </row>
    <row r="56" spans="1:8" outlineLevel="2" x14ac:dyDescent="0.45">
      <c r="B56" s="230" t="s">
        <v>116</v>
      </c>
      <c r="C56" s="230">
        <f>C54/(1+C22)^L4</f>
        <v>3970.4232822782851</v>
      </c>
    </row>
    <row r="57" spans="1:8" outlineLevel="2" x14ac:dyDescent="0.45"/>
    <row r="58" spans="1:8" outlineLevel="2" x14ac:dyDescent="0.45">
      <c r="B58" s="270" t="s">
        <v>117</v>
      </c>
      <c r="F58" s="276"/>
      <c r="G58" s="221"/>
      <c r="H58" s="221"/>
    </row>
    <row r="59" spans="1:8" outlineLevel="2" x14ac:dyDescent="0.45">
      <c r="B59" s="275" t="s">
        <v>118</v>
      </c>
      <c r="C59" s="275">
        <f>C56+C49</f>
        <v>3337.3435245662008</v>
      </c>
      <c r="F59" s="221"/>
      <c r="G59" s="221"/>
      <c r="H59" s="221"/>
    </row>
    <row r="60" spans="1:8" outlineLevel="2" x14ac:dyDescent="0.45">
      <c r="B60" s="230" t="s">
        <v>119</v>
      </c>
      <c r="C60" s="230">
        <f>C27</f>
        <v>11663.7</v>
      </c>
      <c r="F60" s="221"/>
      <c r="G60" s="221"/>
      <c r="H60" s="221"/>
    </row>
    <row r="61" spans="1:8" outlineLevel="2" x14ac:dyDescent="0.45">
      <c r="B61" s="230" t="s">
        <v>120</v>
      </c>
      <c r="C61" s="230">
        <f>C28</f>
        <v>0</v>
      </c>
      <c r="F61" s="221"/>
      <c r="G61" s="221"/>
      <c r="H61" s="221"/>
    </row>
    <row r="62" spans="1:8" outlineLevel="2" x14ac:dyDescent="0.45">
      <c r="B62" s="230" t="s">
        <v>45</v>
      </c>
      <c r="C62" s="230">
        <f>C59+C60-C61</f>
        <v>15001.043524566201</v>
      </c>
      <c r="F62" s="221"/>
      <c r="G62" s="221"/>
      <c r="H62" s="221"/>
    </row>
    <row r="63" spans="1:8" outlineLevel="2" x14ac:dyDescent="0.45">
      <c r="F63" s="221"/>
      <c r="G63" s="221"/>
      <c r="H63" s="277"/>
    </row>
    <row r="64" spans="1:8" outlineLevel="2" x14ac:dyDescent="0.45">
      <c r="B64" s="230" t="s">
        <v>121</v>
      </c>
      <c r="C64" s="273">
        <f>C62/C26</f>
        <v>62.511952598059388</v>
      </c>
      <c r="F64" s="221"/>
      <c r="G64" s="221"/>
      <c r="H64" s="221"/>
    </row>
    <row r="65" spans="1:12" s="271" customFormat="1" outlineLevel="2" x14ac:dyDescent="0.45">
      <c r="A65" s="301"/>
      <c r="B65" s="271" t="s">
        <v>122</v>
      </c>
      <c r="C65" s="278">
        <f>(C64/$C$25)-1</f>
        <v>-0.32885553421839409</v>
      </c>
      <c r="F65" s="279"/>
      <c r="G65" s="279"/>
      <c r="H65" s="279"/>
    </row>
    <row r="66" spans="1:12" outlineLevel="2" x14ac:dyDescent="0.45"/>
    <row r="67" spans="1:12" x14ac:dyDescent="0.45">
      <c r="A67" s="297" t="s">
        <v>14</v>
      </c>
      <c r="B67" s="232" t="s">
        <v>123</v>
      </c>
      <c r="C67" s="232"/>
      <c r="D67" s="232"/>
      <c r="E67" s="232"/>
      <c r="F67" s="232"/>
      <c r="G67" s="232"/>
      <c r="H67" s="232"/>
      <c r="I67" s="232"/>
      <c r="J67" s="232"/>
      <c r="K67" s="232"/>
      <c r="L67" s="232"/>
    </row>
    <row r="68" spans="1:12" outlineLevel="1" x14ac:dyDescent="0.45">
      <c r="C68" s="246"/>
      <c r="D68" s="246"/>
      <c r="E68" s="246"/>
      <c r="F68" s="246"/>
      <c r="G68" s="246"/>
    </row>
    <row r="69" spans="1:12" outlineLevel="1" x14ac:dyDescent="0.45">
      <c r="C69" s="246"/>
      <c r="D69" s="246"/>
      <c r="E69" s="246"/>
      <c r="F69" s="246"/>
      <c r="G69" s="246"/>
    </row>
    <row r="70" spans="1:12" outlineLevel="1" x14ac:dyDescent="0.45">
      <c r="B70" s="230" t="s">
        <v>107</v>
      </c>
      <c r="C70" s="269"/>
      <c r="D70" s="269"/>
      <c r="E70" s="269"/>
      <c r="F70" s="269"/>
      <c r="G70" s="269"/>
      <c r="H70" s="230">
        <f>H42</f>
        <v>-155.63894856419597</v>
      </c>
      <c r="I70" s="230">
        <f>I42</f>
        <v>-718.44309998949302</v>
      </c>
      <c r="J70" s="230">
        <f>J42</f>
        <v>-651.34439413052655</v>
      </c>
      <c r="K70" s="230">
        <f>K42</f>
        <v>-671.88473321174274</v>
      </c>
      <c r="L70" s="230">
        <f>L42</f>
        <v>-657.49255687960977</v>
      </c>
    </row>
    <row r="71" spans="1:12" outlineLevel="1" x14ac:dyDescent="0.45">
      <c r="B71" s="230" t="s">
        <v>124</v>
      </c>
      <c r="C71" s="269"/>
      <c r="D71" s="269"/>
      <c r="E71" s="269"/>
      <c r="F71" s="269"/>
      <c r="G71" s="269"/>
      <c r="H71" s="230">
        <f>G123</f>
        <v>4142.5</v>
      </c>
      <c r="I71" s="230">
        <f t="shared" ref="I71:K71" si="7">H123</f>
        <v>2498.2924763724218</v>
      </c>
      <c r="J71" s="230">
        <f t="shared" si="7"/>
        <v>2430.6939542278387</v>
      </c>
      <c r="K71" s="230">
        <f t="shared" si="7"/>
        <v>2444.3541490360531</v>
      </c>
      <c r="L71" s="230">
        <f>K123</f>
        <v>2436.3250478794316</v>
      </c>
    </row>
    <row r="72" spans="1:12" outlineLevel="1" x14ac:dyDescent="0.45">
      <c r="B72" s="230" t="s">
        <v>125</v>
      </c>
      <c r="C72" s="269"/>
      <c r="D72" s="269"/>
      <c r="E72" s="269"/>
      <c r="F72" s="269"/>
      <c r="G72" s="269"/>
      <c r="H72" s="230">
        <f>+H71*$C$22</f>
        <v>359.057744016134</v>
      </c>
      <c r="I72" s="230">
        <f>+I71*$C$22</f>
        <v>216.54345454647253</v>
      </c>
      <c r="J72" s="230">
        <f>+J71*$C$22</f>
        <v>210.68424564844992</v>
      </c>
      <c r="K72" s="230">
        <f>+K71*$C$22</f>
        <v>211.86826465404036</v>
      </c>
      <c r="L72" s="230">
        <f>+L71*$C$22</f>
        <v>211.17232960328022</v>
      </c>
    </row>
    <row r="73" spans="1:12" outlineLevel="1" x14ac:dyDescent="0.45">
      <c r="B73" s="275" t="s">
        <v>126</v>
      </c>
      <c r="C73" s="280"/>
      <c r="D73" s="280"/>
      <c r="E73" s="280"/>
      <c r="F73" s="280"/>
      <c r="G73" s="280"/>
      <c r="H73" s="275">
        <f>H70-H72</f>
        <v>-514.69669258032991</v>
      </c>
      <c r="I73" s="275">
        <f>I70-I72</f>
        <v>-934.98655453596552</v>
      </c>
      <c r="J73" s="275">
        <f>J70-J72</f>
        <v>-862.02863977897641</v>
      </c>
      <c r="K73" s="275">
        <f>K70-K72</f>
        <v>-883.75299786578307</v>
      </c>
      <c r="L73" s="275">
        <f>L70-L72</f>
        <v>-868.66488648288998</v>
      </c>
    </row>
    <row r="74" spans="1:12" outlineLevel="1" x14ac:dyDescent="0.45">
      <c r="B74" s="270" t="s">
        <v>68</v>
      </c>
      <c r="C74" s="281"/>
      <c r="D74" s="281"/>
      <c r="E74" s="281"/>
      <c r="F74" s="281"/>
      <c r="G74" s="281"/>
      <c r="H74" s="270">
        <f>H73/(1+$C$22)^H4</f>
        <v>-473.64294101263783</v>
      </c>
      <c r="I74" s="270">
        <f>I73/(1+$C$22)^I4</f>
        <v>-791.78040362909371</v>
      </c>
      <c r="J74" s="270">
        <f>J73/(1+$C$22)^J4</f>
        <v>-671.77025473543347</v>
      </c>
      <c r="K74" s="270">
        <f>K73/(1+$C$22)^K4</f>
        <v>-633.76706517607749</v>
      </c>
      <c r="L74" s="270">
        <f>L73/(1+$C$22)^L4</f>
        <v>-573.25879285195924</v>
      </c>
    </row>
    <row r="75" spans="1:12" outlineLevel="1" x14ac:dyDescent="0.45">
      <c r="B75" s="271" t="s">
        <v>113</v>
      </c>
      <c r="C75" s="271">
        <f>SUM(H74:L74)</f>
        <v>-3144.2194574052014</v>
      </c>
    </row>
    <row r="76" spans="1:12" outlineLevel="1" x14ac:dyDescent="0.45">
      <c r="H76" s="230">
        <f>H74-H48</f>
        <v>-1843.4788229130695</v>
      </c>
      <c r="I76" s="230">
        <f>I74-I48</f>
        <v>-240.62169439866341</v>
      </c>
      <c r="J76" s="230">
        <f>J74-J48</f>
        <v>-153.53886253232599</v>
      </c>
      <c r="K76" s="230">
        <f>K74-K48</f>
        <v>-157.69531589293553</v>
      </c>
      <c r="L76" s="230">
        <f>L74-L48</f>
        <v>-115.80500395612296</v>
      </c>
    </row>
    <row r="77" spans="1:12" outlineLevel="1" x14ac:dyDescent="0.45">
      <c r="B77" s="230" t="s">
        <v>114</v>
      </c>
    </row>
    <row r="78" spans="1:12" outlineLevel="1" x14ac:dyDescent="0.45">
      <c r="B78" s="230" t="s">
        <v>115</v>
      </c>
      <c r="C78" s="230">
        <f>L31*(1+C29)</f>
        <v>2158.7212500000005</v>
      </c>
    </row>
    <row r="79" spans="1:12" outlineLevel="1" x14ac:dyDescent="0.45">
      <c r="B79" s="230" t="s">
        <v>91</v>
      </c>
      <c r="C79" s="273">
        <f>C24</f>
        <v>2.7870309016059647</v>
      </c>
    </row>
    <row r="80" spans="1:12" outlineLevel="1" x14ac:dyDescent="0.45">
      <c r="B80" s="274" t="s">
        <v>114</v>
      </c>
      <c r="C80" s="275">
        <f>C78*C79</f>
        <v>6016.4228317034567</v>
      </c>
    </row>
    <row r="81" spans="1:12" outlineLevel="1" x14ac:dyDescent="0.45"/>
    <row r="82" spans="1:12" outlineLevel="1" x14ac:dyDescent="0.45">
      <c r="B82" s="230" t="s">
        <v>116</v>
      </c>
      <c r="C82" s="230">
        <f>C80/(1+C22)^L4</f>
        <v>3970.4232822782851</v>
      </c>
    </row>
    <row r="83" spans="1:12" outlineLevel="1" x14ac:dyDescent="0.45"/>
    <row r="84" spans="1:12" outlineLevel="1" x14ac:dyDescent="0.45">
      <c r="B84" s="270" t="s">
        <v>117</v>
      </c>
    </row>
    <row r="85" spans="1:12" outlineLevel="1" x14ac:dyDescent="0.45">
      <c r="B85" s="275" t="s">
        <v>118</v>
      </c>
      <c r="C85" s="230">
        <f>C75+C82+G123</f>
        <v>4968.7038248730842</v>
      </c>
    </row>
    <row r="86" spans="1:12" outlineLevel="1" x14ac:dyDescent="0.45">
      <c r="B86" s="230" t="s">
        <v>119</v>
      </c>
      <c r="C86" s="230">
        <f>C27</f>
        <v>11663.7</v>
      </c>
    </row>
    <row r="87" spans="1:12" outlineLevel="1" x14ac:dyDescent="0.45">
      <c r="B87" s="230" t="s">
        <v>120</v>
      </c>
      <c r="C87" s="230">
        <f>C28</f>
        <v>0</v>
      </c>
    </row>
    <row r="88" spans="1:12" outlineLevel="1" x14ac:dyDescent="0.45">
      <c r="B88" s="230" t="s">
        <v>45</v>
      </c>
      <c r="C88" s="230">
        <f>C85+C86-C87</f>
        <v>16632.403824873087</v>
      </c>
    </row>
    <row r="89" spans="1:12" outlineLevel="1" x14ac:dyDescent="0.45"/>
    <row r="90" spans="1:12" outlineLevel="1" x14ac:dyDescent="0.45">
      <c r="B90" s="230" t="s">
        <v>121</v>
      </c>
      <c r="C90" s="273">
        <f>C88/C26</f>
        <v>69.310114179027735</v>
      </c>
    </row>
    <row r="91" spans="1:12" outlineLevel="1" x14ac:dyDescent="0.45">
      <c r="B91" s="271" t="s">
        <v>122</v>
      </c>
      <c r="C91" s="278">
        <f>(C90/$C$25)-1</f>
        <v>-0.2558687159711317</v>
      </c>
    </row>
    <row r="92" spans="1:12" outlineLevel="1" x14ac:dyDescent="0.45">
      <c r="C92" s="246"/>
      <c r="D92" s="246"/>
      <c r="E92" s="246"/>
      <c r="F92" s="246"/>
      <c r="G92" s="246"/>
    </row>
    <row r="93" spans="1:12" x14ac:dyDescent="0.45">
      <c r="A93" s="297" t="s">
        <v>14</v>
      </c>
      <c r="B93" s="232" t="s">
        <v>127</v>
      </c>
      <c r="C93" s="232"/>
      <c r="D93" s="232"/>
      <c r="E93" s="232"/>
      <c r="F93" s="232"/>
      <c r="G93" s="232"/>
      <c r="H93" s="232"/>
      <c r="I93" s="232"/>
      <c r="J93" s="232"/>
      <c r="K93" s="232"/>
      <c r="L93" s="232"/>
    </row>
    <row r="94" spans="1:12" s="226" customFormat="1" x14ac:dyDescent="0.45">
      <c r="A94" s="296"/>
      <c r="B94" s="233"/>
      <c r="C94" s="233"/>
      <c r="D94" s="233"/>
      <c r="E94" s="233"/>
      <c r="F94" s="233"/>
      <c r="G94" s="233"/>
      <c r="H94" s="233"/>
      <c r="I94" s="233"/>
      <c r="J94" s="233"/>
      <c r="K94" s="233"/>
      <c r="L94" s="233"/>
    </row>
    <row r="95" spans="1:12" ht="15.4" outlineLevel="1" x14ac:dyDescent="0.6">
      <c r="B95" s="235" t="s">
        <v>128</v>
      </c>
      <c r="D95" s="246"/>
      <c r="E95" s="246"/>
      <c r="F95" s="246"/>
      <c r="G95" s="246"/>
    </row>
    <row r="96" spans="1:12" outlineLevel="1" x14ac:dyDescent="0.45">
      <c r="B96" s="270"/>
      <c r="D96" s="246"/>
      <c r="E96" s="246"/>
      <c r="F96" s="246"/>
      <c r="G96" s="246"/>
    </row>
    <row r="97" spans="1:13" outlineLevel="1" x14ac:dyDescent="0.45">
      <c r="B97" s="282" t="s">
        <v>129</v>
      </c>
      <c r="C97" s="248">
        <f>'BionTech Ratios'!G57</f>
        <v>51.134254143646402</v>
      </c>
      <c r="D97" s="248">
        <f>'BionTech Ratios'!H57</f>
        <v>66.21260626166287</v>
      </c>
      <c r="E97" s="248">
        <f>'BionTech Ratios'!I57</f>
        <v>119.01415946924388</v>
      </c>
      <c r="F97" s="248">
        <f>'BionTech Ratios'!J57</f>
        <v>203.04980763231782</v>
      </c>
      <c r="G97" s="248">
        <f>'BionTech Ratios'!K57</f>
        <v>438.39591516103684</v>
      </c>
      <c r="H97" s="283">
        <v>58.673430202654636</v>
      </c>
      <c r="I97" s="283">
        <v>58.673430202654636</v>
      </c>
      <c r="J97" s="283">
        <v>58.673430202654636</v>
      </c>
      <c r="K97" s="283">
        <v>58.673430202654636</v>
      </c>
      <c r="L97" s="283">
        <v>58.673430202654636</v>
      </c>
      <c r="M97" s="240" t="s">
        <v>130</v>
      </c>
    </row>
    <row r="98" spans="1:13" outlineLevel="1" x14ac:dyDescent="0.45">
      <c r="B98" s="282" t="s">
        <v>131</v>
      </c>
      <c r="C98" s="248">
        <f>'BionTech Ratios'!G59</f>
        <v>181.148275862069</v>
      </c>
      <c r="D98" s="248">
        <f>'BionTech Ratios'!H59</f>
        <v>230.15109612141651</v>
      </c>
      <c r="E98" s="248">
        <f>'BionTech Ratios'!I59</f>
        <v>35.029366306027818</v>
      </c>
      <c r="F98" s="248">
        <f>'BionTech Ratios'!J59</f>
        <v>56.620367278798</v>
      </c>
      <c r="G98" s="248">
        <f>'BionTech Ratios'!K59</f>
        <v>239.26975658552851</v>
      </c>
      <c r="H98" s="283">
        <v>45.824866792412905</v>
      </c>
      <c r="I98" s="283">
        <v>45.824866792412905</v>
      </c>
      <c r="J98" s="283">
        <v>45.824866792412905</v>
      </c>
      <c r="K98" s="283">
        <v>45.824866792412905</v>
      </c>
      <c r="L98" s="283">
        <v>45.824866792412905</v>
      </c>
      <c r="M98" s="240" t="s">
        <v>130</v>
      </c>
    </row>
    <row r="99" spans="1:13" outlineLevel="1" x14ac:dyDescent="0.45">
      <c r="B99" s="282" t="s">
        <v>132</v>
      </c>
      <c r="C99" s="248">
        <f>'BionTech Ratios'!G61</f>
        <v>643.64482758620682</v>
      </c>
      <c r="D99" s="248">
        <f>'BionTech Ratios'!H61</f>
        <v>372.74266441821248</v>
      </c>
      <c r="E99" s="248">
        <f>'BionTech Ratios'!I61</f>
        <v>16.21638330757342</v>
      </c>
      <c r="F99" s="248">
        <f>'BionTech Ratios'!J61</f>
        <v>21.882470784641068</v>
      </c>
      <c r="G99" s="248">
        <f>'BionTech Ratios'!K61</f>
        <v>167.48582860953653</v>
      </c>
      <c r="H99" s="283">
        <v>19.049427046107244</v>
      </c>
      <c r="I99" s="283">
        <v>19.049427046107244</v>
      </c>
      <c r="J99" s="283">
        <v>19.049427046107244</v>
      </c>
      <c r="K99" s="283">
        <v>19.049427046107244</v>
      </c>
      <c r="L99" s="283">
        <v>19.049427046107244</v>
      </c>
      <c r="M99" s="240" t="s">
        <v>130</v>
      </c>
    </row>
    <row r="100" spans="1:13" s="271" customFormat="1" outlineLevel="1" x14ac:dyDescent="0.45">
      <c r="A100" s="301"/>
      <c r="B100" s="284" t="s">
        <v>133</v>
      </c>
      <c r="C100" s="262">
        <f t="shared" ref="C100:L100" si="8">C97+C98-C99</f>
        <v>-411.36229758049143</v>
      </c>
      <c r="D100" s="262">
        <f t="shared" si="8"/>
        <v>-76.3789620351331</v>
      </c>
      <c r="E100" s="262">
        <f t="shared" si="8"/>
        <v>137.82714246769828</v>
      </c>
      <c r="F100" s="262">
        <f t="shared" si="8"/>
        <v>237.78770412647478</v>
      </c>
      <c r="G100" s="262">
        <f t="shared" si="8"/>
        <v>510.1798431370288</v>
      </c>
      <c r="H100" s="262">
        <f t="shared" si="8"/>
        <v>85.448869948960294</v>
      </c>
      <c r="I100" s="262">
        <f t="shared" si="8"/>
        <v>85.448869948960294</v>
      </c>
      <c r="J100" s="262">
        <f t="shared" si="8"/>
        <v>85.448869948960294</v>
      </c>
      <c r="K100" s="262">
        <f t="shared" si="8"/>
        <v>85.448869948960294</v>
      </c>
      <c r="L100" s="262">
        <f t="shared" si="8"/>
        <v>85.448869948960294</v>
      </c>
      <c r="M100" s="285"/>
    </row>
    <row r="101" spans="1:13" outlineLevel="1" x14ac:dyDescent="0.45">
      <c r="B101" s="270"/>
      <c r="D101" s="246"/>
      <c r="E101" s="246"/>
      <c r="F101" s="246"/>
      <c r="G101" s="246"/>
    </row>
    <row r="102" spans="1:13" outlineLevel="1" x14ac:dyDescent="0.45">
      <c r="B102" s="230" t="s">
        <v>134</v>
      </c>
      <c r="D102" s="246"/>
      <c r="E102" s="246"/>
      <c r="F102" s="246"/>
      <c r="G102" s="246"/>
    </row>
    <row r="103" spans="1:13" outlineLevel="1" x14ac:dyDescent="0.45">
      <c r="B103" s="286" t="s">
        <v>135</v>
      </c>
      <c r="C103" s="248">
        <f>'BionTech Adjusted'!AI118</f>
        <v>11.913</v>
      </c>
      <c r="D103" s="248">
        <f>'BionTech Adjusted'!AJ118</f>
        <v>165.5</v>
      </c>
      <c r="E103" s="248">
        <f>'BionTech Adjusted'!AK118</f>
        <v>12381.7</v>
      </c>
      <c r="F103" s="248">
        <f>'BionTech Adjusted'!AL118</f>
        <v>7145.6</v>
      </c>
      <c r="G103" s="248">
        <f>'BionTech Adjusted'!AM118</f>
        <v>2155.6999999999998</v>
      </c>
      <c r="H103" s="230">
        <f>(H97/365)*H31</f>
        <v>450.09754676009038</v>
      </c>
      <c r="I103" s="230">
        <f>(I97/365)*I31</f>
        <v>361.68552864650121</v>
      </c>
      <c r="J103" s="230">
        <f>(J97/365)*J31</f>
        <v>350.03121716789173</v>
      </c>
      <c r="K103" s="230">
        <f>(K97/365)*K31</f>
        <v>320.18814232645929</v>
      </c>
      <c r="L103" s="230">
        <f>(L97/365)*L31</f>
        <v>330.48814243669244</v>
      </c>
    </row>
    <row r="104" spans="1:13" outlineLevel="1" x14ac:dyDescent="0.45">
      <c r="B104" s="286" t="s">
        <v>136</v>
      </c>
      <c r="C104" s="248">
        <f>'BionTech Adjusted'!AI119</f>
        <v>11.722</v>
      </c>
      <c r="D104" s="248">
        <f>'BionTech Adjusted'!AJ119</f>
        <v>64.099999999999994</v>
      </c>
      <c r="E104" s="248">
        <f>'BionTech Adjusted'!AK119</f>
        <v>502.5</v>
      </c>
      <c r="F104" s="248">
        <f>'BionTech Adjusted'!AL119</f>
        <v>439.6</v>
      </c>
      <c r="G104" s="248">
        <f>'BionTech Adjusted'!AM119</f>
        <v>357.7</v>
      </c>
      <c r="H104" s="230">
        <f>(H98/365)*(-H32)</f>
        <v>53.90204485140719</v>
      </c>
      <c r="I104" s="230">
        <f>(I98/365)*(-I32)</f>
        <v>43.31414318416649</v>
      </c>
      <c r="J104" s="230">
        <f>(J98/365)*(-J32)</f>
        <v>41.918465237121126</v>
      </c>
      <c r="K104" s="230">
        <f>(K98/365)*(-K32)</f>
        <v>38.344567156169781</v>
      </c>
      <c r="L104" s="230">
        <f>(L98/365)*(-L32)</f>
        <v>39.578057700403328</v>
      </c>
    </row>
    <row r="105" spans="1:13" outlineLevel="1" x14ac:dyDescent="0.45">
      <c r="B105" s="286" t="s">
        <v>137</v>
      </c>
      <c r="C105" s="248">
        <f>'BionTech Adjusted'!AI121</f>
        <v>20.498000000000001</v>
      </c>
      <c r="D105" s="248">
        <f>'BionTech Adjusted'!AJ121</f>
        <v>102.3</v>
      </c>
      <c r="E105" s="248">
        <f>'BionTech Adjusted'!AK121</f>
        <v>160</v>
      </c>
      <c r="F105" s="248">
        <f>'BionTech Adjusted'!AL121</f>
        <v>204.1</v>
      </c>
      <c r="G105" s="248">
        <f>'BionTech Adjusted'!AM121</f>
        <v>354</v>
      </c>
      <c r="H105" s="230">
        <f>(H99/365)*(-H32)</f>
        <v>22.407115239075537</v>
      </c>
      <c r="I105" s="230">
        <f>(I99/365)*(-I32)</f>
        <v>18.005717602828557</v>
      </c>
      <c r="J105" s="230">
        <f>(J99/365)*(-J32)</f>
        <v>17.425533368959638</v>
      </c>
      <c r="K105" s="230">
        <f>(K99/365)*(-K32)</f>
        <v>15.939861603197359</v>
      </c>
      <c r="L105" s="230">
        <f>(L99/365)*(-L32)</f>
        <v>16.452624427820133</v>
      </c>
    </row>
    <row r="106" spans="1:13" outlineLevel="1" x14ac:dyDescent="0.45">
      <c r="B106" s="274" t="s">
        <v>138</v>
      </c>
      <c r="C106" s="256">
        <f t="shared" ref="C106:F106" si="9">SUM(C103:C104)-C105</f>
        <v>3.1369999999999969</v>
      </c>
      <c r="D106" s="256">
        <f t="shared" si="9"/>
        <v>127.3</v>
      </c>
      <c r="E106" s="256">
        <f t="shared" si="9"/>
        <v>12724.2</v>
      </c>
      <c r="F106" s="256">
        <f t="shared" si="9"/>
        <v>7381.1</v>
      </c>
      <c r="G106" s="256">
        <f t="shared" ref="G106:L106" si="10">SUM(G103:G104)-G105</f>
        <v>2159.3999999999996</v>
      </c>
      <c r="H106" s="256">
        <f t="shared" si="10"/>
        <v>481.59247637242203</v>
      </c>
      <c r="I106" s="256">
        <f t="shared" si="10"/>
        <v>386.99395422783914</v>
      </c>
      <c r="J106" s="256">
        <f t="shared" si="10"/>
        <v>374.52414903605319</v>
      </c>
      <c r="K106" s="256">
        <f t="shared" si="10"/>
        <v>342.5928478794317</v>
      </c>
      <c r="L106" s="256">
        <f t="shared" si="10"/>
        <v>353.61357570927566</v>
      </c>
    </row>
    <row r="107" spans="1:13" outlineLevel="1" x14ac:dyDescent="0.45">
      <c r="B107" s="271" t="s">
        <v>139</v>
      </c>
      <c r="C107" s="262"/>
      <c r="D107" s="262">
        <f t="shared" ref="D107:L107" si="11">C106-D106</f>
        <v>-124.163</v>
      </c>
      <c r="E107" s="262">
        <f t="shared" si="11"/>
        <v>-12596.900000000001</v>
      </c>
      <c r="F107" s="262">
        <f t="shared" si="11"/>
        <v>5343.1</v>
      </c>
      <c r="G107" s="262">
        <f t="shared" si="11"/>
        <v>5221.7000000000007</v>
      </c>
      <c r="H107" s="262">
        <f t="shared" si="11"/>
        <v>1677.8075236275777</v>
      </c>
      <c r="I107" s="262">
        <f t="shared" si="11"/>
        <v>94.598522144582887</v>
      </c>
      <c r="J107" s="262">
        <f t="shared" si="11"/>
        <v>12.469805191785952</v>
      </c>
      <c r="K107" s="262">
        <f t="shared" si="11"/>
        <v>31.931301156621487</v>
      </c>
      <c r="L107" s="262">
        <f t="shared" si="11"/>
        <v>-11.020727829843963</v>
      </c>
    </row>
    <row r="108" spans="1:13" outlineLevel="1" x14ac:dyDescent="0.45">
      <c r="C108" s="248"/>
      <c r="D108" s="248"/>
      <c r="E108" s="248"/>
      <c r="F108" s="248"/>
      <c r="G108" s="248"/>
      <c r="H108" s="248"/>
      <c r="I108" s="248"/>
      <c r="J108" s="248"/>
      <c r="K108" s="248"/>
      <c r="L108" s="248"/>
    </row>
    <row r="109" spans="1:13" outlineLevel="1" x14ac:dyDescent="0.45">
      <c r="C109" s="248"/>
      <c r="D109" s="248"/>
      <c r="E109" s="248"/>
      <c r="F109" s="248"/>
      <c r="G109" s="248"/>
      <c r="H109" s="248"/>
      <c r="I109" s="248"/>
      <c r="J109" s="248"/>
      <c r="K109" s="248"/>
      <c r="L109" s="248"/>
    </row>
    <row r="110" spans="1:13" ht="15.4" outlineLevel="1" x14ac:dyDescent="0.6">
      <c r="B110" s="235" t="s">
        <v>140</v>
      </c>
      <c r="C110" s="248"/>
      <c r="D110" s="248"/>
      <c r="E110" s="248"/>
      <c r="F110" s="248"/>
      <c r="G110" s="248"/>
      <c r="H110" s="248"/>
      <c r="I110" s="248"/>
      <c r="J110" s="248"/>
      <c r="K110" s="248"/>
      <c r="L110" s="248"/>
    </row>
    <row r="111" spans="1:13" ht="15.4" outlineLevel="1" x14ac:dyDescent="0.6">
      <c r="B111" s="235"/>
      <c r="C111" s="248"/>
      <c r="D111" s="248"/>
      <c r="E111" s="248"/>
      <c r="F111" s="248"/>
      <c r="G111" s="248"/>
      <c r="H111" s="248"/>
      <c r="I111" s="248"/>
      <c r="J111" s="248"/>
      <c r="K111" s="248"/>
      <c r="L111" s="248"/>
    </row>
    <row r="112" spans="1:13" outlineLevel="1" x14ac:dyDescent="0.45">
      <c r="B112" s="230" t="s">
        <v>141</v>
      </c>
      <c r="C112" s="287"/>
      <c r="D112" s="287"/>
      <c r="E112" s="287"/>
      <c r="F112" s="287"/>
      <c r="G112" s="287"/>
      <c r="H112" s="238">
        <v>4.8000000000000001E-2</v>
      </c>
      <c r="I112" s="238">
        <v>4.8000000000000001E-2</v>
      </c>
      <c r="J112" s="238">
        <v>4.8000000000000001E-2</v>
      </c>
      <c r="K112" s="238">
        <v>4.8000000000000001E-2</v>
      </c>
      <c r="L112" s="238">
        <v>4.8000000000000001E-2</v>
      </c>
    </row>
    <row r="113" spans="1:12" outlineLevel="1" x14ac:dyDescent="0.45">
      <c r="B113" s="230" t="s">
        <v>142</v>
      </c>
      <c r="D113" s="288"/>
      <c r="E113" s="288"/>
      <c r="F113" s="288"/>
      <c r="G113" s="288"/>
      <c r="H113" s="238">
        <v>0.06</v>
      </c>
      <c r="I113" s="238">
        <v>0.06</v>
      </c>
      <c r="J113" s="238">
        <v>0.06</v>
      </c>
      <c r="K113" s="238">
        <v>0.06</v>
      </c>
      <c r="L113" s="238">
        <v>0.06</v>
      </c>
    </row>
    <row r="114" spans="1:12" s="226" customFormat="1" outlineLevel="1" x14ac:dyDescent="0.45">
      <c r="A114" s="296"/>
      <c r="C114" s="222"/>
      <c r="D114" s="222"/>
      <c r="E114" s="222"/>
      <c r="F114" s="222"/>
      <c r="G114" s="222"/>
      <c r="H114" s="289"/>
      <c r="I114" s="289"/>
      <c r="J114" s="289"/>
      <c r="K114" s="289"/>
      <c r="L114" s="289"/>
    </row>
    <row r="115" spans="1:12" outlineLevel="1" x14ac:dyDescent="0.45">
      <c r="B115" s="230" t="s">
        <v>143</v>
      </c>
      <c r="H115" s="248">
        <f t="shared" ref="H115:L115" si="12">G118</f>
        <v>1983.1</v>
      </c>
      <c r="I115" s="248">
        <f t="shared" si="12"/>
        <v>2016.6999999999998</v>
      </c>
      <c r="J115" s="248">
        <f t="shared" si="12"/>
        <v>2043.6999999999998</v>
      </c>
      <c r="K115" s="248">
        <f t="shared" si="12"/>
        <v>2069.83</v>
      </c>
      <c r="L115" s="248">
        <f t="shared" si="12"/>
        <v>2093.7321999999999</v>
      </c>
    </row>
    <row r="116" spans="1:12" outlineLevel="1" x14ac:dyDescent="0.45">
      <c r="B116" s="240" t="s">
        <v>144</v>
      </c>
      <c r="C116" s="248"/>
      <c r="D116" s="248"/>
      <c r="E116" s="248"/>
      <c r="F116" s="248"/>
      <c r="G116" s="248"/>
      <c r="H116" s="222">
        <f>H113*H31</f>
        <v>168</v>
      </c>
      <c r="I116" s="222">
        <f>I113*I31</f>
        <v>135</v>
      </c>
      <c r="J116" s="222">
        <f>J113*J31</f>
        <v>130.65</v>
      </c>
      <c r="K116" s="222">
        <f>K113*K31</f>
        <v>119.511</v>
      </c>
      <c r="L116" s="222">
        <f>L113*L31</f>
        <v>123.35550000000001</v>
      </c>
    </row>
    <row r="117" spans="1:12" outlineLevel="1" x14ac:dyDescent="0.45">
      <c r="B117" s="240" t="s">
        <v>145</v>
      </c>
      <c r="C117" s="248"/>
      <c r="D117" s="248"/>
      <c r="E117" s="248"/>
      <c r="F117" s="248"/>
      <c r="G117" s="248"/>
      <c r="H117" s="222">
        <f>-H112*H31</f>
        <v>-134.4</v>
      </c>
      <c r="I117" s="248">
        <f>-I112*I31</f>
        <v>-108</v>
      </c>
      <c r="J117" s="248">
        <f>-J112*J31</f>
        <v>-104.52</v>
      </c>
      <c r="K117" s="248">
        <f>-K112*K31</f>
        <v>-95.608800000000002</v>
      </c>
      <c r="L117" s="248">
        <f>-L112*L31</f>
        <v>-98.684400000000011</v>
      </c>
    </row>
    <row r="118" spans="1:12" outlineLevel="1" x14ac:dyDescent="0.45">
      <c r="B118" s="230" t="s">
        <v>146</v>
      </c>
      <c r="C118" s="247"/>
      <c r="D118" s="247"/>
      <c r="E118" s="247"/>
      <c r="F118" s="247"/>
      <c r="G118" s="290">
        <f>'BionTech Adjusted'!K129</f>
        <v>1983.1</v>
      </c>
      <c r="H118" s="247">
        <f>SUM(H115:H117)</f>
        <v>2016.6999999999998</v>
      </c>
      <c r="I118" s="247">
        <f t="shared" ref="I118:L118" si="13">SUM(I115:I117)</f>
        <v>2043.6999999999998</v>
      </c>
      <c r="J118" s="247">
        <f t="shared" si="13"/>
        <v>2069.83</v>
      </c>
      <c r="K118" s="247">
        <f t="shared" si="13"/>
        <v>2093.7321999999999</v>
      </c>
      <c r="L118" s="247">
        <f t="shared" si="13"/>
        <v>2118.4032999999999</v>
      </c>
    </row>
    <row r="119" spans="1:12" outlineLevel="1" x14ac:dyDescent="0.45">
      <c r="C119" s="254"/>
      <c r="D119" s="254"/>
      <c r="E119" s="254"/>
      <c r="F119" s="254"/>
      <c r="G119" s="254"/>
      <c r="H119" s="254"/>
      <c r="I119" s="254"/>
      <c r="J119" s="254"/>
      <c r="K119" s="254"/>
      <c r="L119" s="254"/>
    </row>
    <row r="120" spans="1:12" ht="15.4" outlineLevel="1" x14ac:dyDescent="0.6">
      <c r="B120" s="235" t="s">
        <v>147</v>
      </c>
      <c r="C120" s="254"/>
      <c r="D120" s="254"/>
      <c r="E120" s="254"/>
      <c r="F120" s="254"/>
      <c r="G120" s="254"/>
      <c r="H120" s="254"/>
      <c r="I120" s="254"/>
      <c r="J120" s="254"/>
      <c r="K120" s="254"/>
      <c r="L120" s="254"/>
    </row>
    <row r="121" spans="1:12" outlineLevel="1" x14ac:dyDescent="0.45">
      <c r="B121" s="291" t="s">
        <v>148</v>
      </c>
      <c r="C121" s="254"/>
      <c r="D121" s="254"/>
      <c r="E121" s="254"/>
      <c r="F121" s="254"/>
      <c r="G121" s="254">
        <f t="shared" ref="G121:L121" si="14">G106</f>
        <v>2159.3999999999996</v>
      </c>
      <c r="H121" s="254">
        <f t="shared" si="14"/>
        <v>481.59247637242203</v>
      </c>
      <c r="I121" s="254">
        <f t="shared" si="14"/>
        <v>386.99395422783914</v>
      </c>
      <c r="J121" s="254">
        <f t="shared" si="14"/>
        <v>374.52414903605319</v>
      </c>
      <c r="K121" s="254">
        <f t="shared" si="14"/>
        <v>342.5928478794317</v>
      </c>
      <c r="L121" s="254">
        <f t="shared" si="14"/>
        <v>353.61357570927566</v>
      </c>
    </row>
    <row r="122" spans="1:12" outlineLevel="1" x14ac:dyDescent="0.45">
      <c r="B122" s="291" t="s">
        <v>149</v>
      </c>
      <c r="C122" s="254"/>
      <c r="D122" s="254"/>
      <c r="E122" s="254"/>
      <c r="F122" s="254"/>
      <c r="G122" s="254">
        <f t="shared" ref="G122" si="15">G118</f>
        <v>1983.1</v>
      </c>
      <c r="H122" s="254">
        <f>H118</f>
        <v>2016.6999999999998</v>
      </c>
      <c r="I122" s="254">
        <f>I118</f>
        <v>2043.6999999999998</v>
      </c>
      <c r="J122" s="254">
        <f>J118</f>
        <v>2069.83</v>
      </c>
      <c r="K122" s="254">
        <f>K118</f>
        <v>2093.7321999999999</v>
      </c>
      <c r="L122" s="254">
        <f>L118</f>
        <v>2118.4032999999999</v>
      </c>
    </row>
    <row r="123" spans="1:12" outlineLevel="1" x14ac:dyDescent="0.45">
      <c r="B123" s="292" t="s">
        <v>150</v>
      </c>
      <c r="C123" s="247"/>
      <c r="D123" s="247"/>
      <c r="E123" s="247"/>
      <c r="F123" s="247"/>
      <c r="G123" s="247">
        <f t="shared" ref="G123:L123" si="16">SUM(G121:G122)</f>
        <v>4142.5</v>
      </c>
      <c r="H123" s="247">
        <f t="shared" si="16"/>
        <v>2498.2924763724218</v>
      </c>
      <c r="I123" s="247">
        <f t="shared" si="16"/>
        <v>2430.6939542278387</v>
      </c>
      <c r="J123" s="247">
        <f t="shared" si="16"/>
        <v>2444.3541490360531</v>
      </c>
      <c r="K123" s="247">
        <f t="shared" si="16"/>
        <v>2436.3250478794316</v>
      </c>
      <c r="L123" s="247">
        <f t="shared" si="16"/>
        <v>2472.0168757092756</v>
      </c>
    </row>
    <row r="124" spans="1:12" outlineLevel="1" x14ac:dyDescent="0.45">
      <c r="C124" s="254"/>
      <c r="D124" s="254"/>
      <c r="E124" s="254"/>
      <c r="F124" s="254"/>
      <c r="G124" s="254"/>
      <c r="H124" s="254"/>
      <c r="I124" s="254"/>
      <c r="J124" s="254"/>
      <c r="K124" s="254"/>
      <c r="L124" s="254"/>
    </row>
    <row r="125" spans="1:12" x14ac:dyDescent="0.45">
      <c r="C125" s="246"/>
      <c r="D125" s="246"/>
      <c r="E125" s="246"/>
      <c r="F125" s="248"/>
      <c r="G125" s="248"/>
      <c r="H125" s="248"/>
      <c r="I125" s="248"/>
      <c r="J125" s="248"/>
      <c r="K125" s="248"/>
      <c r="L125" s="248"/>
    </row>
    <row r="127" spans="1:12" x14ac:dyDescent="0.45">
      <c r="A127" s="297" t="s">
        <v>14</v>
      </c>
      <c r="B127" s="232" t="s">
        <v>151</v>
      </c>
      <c r="C127" s="232"/>
      <c r="D127" s="232"/>
      <c r="E127" s="232"/>
      <c r="F127" s="232"/>
      <c r="G127" s="232"/>
      <c r="H127" s="232"/>
      <c r="I127" s="232"/>
      <c r="J127" s="232"/>
      <c r="K127" s="232"/>
      <c r="L127" s="232"/>
    </row>
    <row r="128" spans="1:12" s="226" customFormat="1" x14ac:dyDescent="0.45">
      <c r="A128" s="296"/>
      <c r="B128" s="233"/>
      <c r="C128" s="233"/>
      <c r="D128" s="233"/>
      <c r="E128" s="233"/>
      <c r="F128" s="233"/>
      <c r="G128" s="233"/>
      <c r="H128" s="233"/>
      <c r="I128" s="233"/>
      <c r="J128" s="233"/>
      <c r="K128" s="233"/>
      <c r="L128" s="233"/>
    </row>
    <row r="129" spans="3:14" outlineLevel="1" x14ac:dyDescent="0.45"/>
    <row r="130" spans="3:14" outlineLevel="1" x14ac:dyDescent="0.45">
      <c r="C130" s="434" t="s">
        <v>152</v>
      </c>
    </row>
    <row r="131" spans="3:14" outlineLevel="1" x14ac:dyDescent="0.45">
      <c r="D131" s="98"/>
      <c r="E131" s="540" t="s">
        <v>89</v>
      </c>
      <c r="F131" s="540"/>
      <c r="G131" s="540"/>
      <c r="H131" s="540"/>
      <c r="I131" s="540"/>
    </row>
    <row r="132" spans="3:14" outlineLevel="1" x14ac:dyDescent="0.45">
      <c r="C132" s="541" t="s">
        <v>153</v>
      </c>
      <c r="D132" s="435">
        <f>C64</f>
        <v>62.511952598059388</v>
      </c>
      <c r="E132" s="436">
        <f t="shared" ref="E132" si="17">F132-0.01</f>
        <v>6.6676582743786128E-2</v>
      </c>
      <c r="F132" s="436">
        <f>G132-0.01</f>
        <v>7.6676582743786123E-2</v>
      </c>
      <c r="G132" s="436">
        <v>8.6676582743786118E-2</v>
      </c>
      <c r="H132" s="436">
        <f>G132+0.01</f>
        <v>9.6676582743786113E-2</v>
      </c>
      <c r="I132" s="436">
        <f>H132+0.01</f>
        <v>0.10667658274378611</v>
      </c>
    </row>
    <row r="133" spans="3:14" outlineLevel="1" x14ac:dyDescent="0.45">
      <c r="C133" s="542"/>
      <c r="D133" s="437">
        <f t="shared" ref="D133" si="18">D134-1</f>
        <v>0.78703090160596467</v>
      </c>
      <c r="E133" s="400">
        <f t="dataTable" ref="E133:I137" dt2D="1" dtr="1" r1="C22" r2="C24" ca="1"/>
        <v>50.65130379937424</v>
      </c>
      <c r="F133" s="400">
        <v>50.644328612974121</v>
      </c>
      <c r="G133" s="400">
        <v>50.638784570790754</v>
      </c>
      <c r="H133" s="400">
        <v>50.634514000237679</v>
      </c>
      <c r="I133" s="400">
        <v>50.631374057863745</v>
      </c>
    </row>
    <row r="134" spans="3:14" outlineLevel="1" x14ac:dyDescent="0.45">
      <c r="C134" s="542"/>
      <c r="D134" s="437">
        <f>D135-1</f>
        <v>1.7870309016059647</v>
      </c>
      <c r="E134" s="400">
        <v>57.165702804519839</v>
      </c>
      <c r="F134" s="400">
        <v>56.861771762456421</v>
      </c>
      <c r="G134" s="400">
        <v>56.575368584425071</v>
      </c>
      <c r="H134" s="400">
        <v>56.305326781424498</v>
      </c>
      <c r="I134" s="400">
        <v>56.050566307343182</v>
      </c>
    </row>
    <row r="135" spans="3:14" outlineLevel="1" x14ac:dyDescent="0.45">
      <c r="C135" s="542"/>
      <c r="D135" s="437">
        <v>2.7870309016059647</v>
      </c>
      <c r="E135" s="400">
        <v>63.680101809665445</v>
      </c>
      <c r="F135" s="400">
        <v>63.07921491193872</v>
      </c>
      <c r="G135" s="438">
        <v>62.511952598059388</v>
      </c>
      <c r="H135" s="400">
        <v>61.976139562611316</v>
      </c>
      <c r="I135" s="400">
        <v>61.469758556822619</v>
      </c>
    </row>
    <row r="136" spans="3:14" outlineLevel="1" x14ac:dyDescent="0.45">
      <c r="C136" s="542"/>
      <c r="D136" s="437">
        <f>D135+1</f>
        <v>3.7870309016059647</v>
      </c>
      <c r="E136" s="400">
        <v>70.19450081481105</v>
      </c>
      <c r="F136" s="400">
        <v>69.296658061421013</v>
      </c>
      <c r="G136" s="400">
        <v>68.448536611693697</v>
      </c>
      <c r="H136" s="400">
        <v>67.646952343798134</v>
      </c>
      <c r="I136" s="400">
        <v>66.888950806302063</v>
      </c>
    </row>
    <row r="137" spans="3:14" outlineLevel="1" x14ac:dyDescent="0.45">
      <c r="C137" s="542"/>
      <c r="D137" s="437">
        <f t="shared" ref="D137" si="19">D136+1</f>
        <v>4.7870309016059647</v>
      </c>
      <c r="E137" s="400">
        <v>76.708899819956656</v>
      </c>
      <c r="F137" s="400">
        <v>75.51410121090332</v>
      </c>
      <c r="G137" s="400">
        <v>74.385120625328028</v>
      </c>
      <c r="H137" s="400">
        <v>73.31776512498493</v>
      </c>
      <c r="I137" s="400">
        <v>72.308143055781485</v>
      </c>
    </row>
    <row r="138" spans="3:14" outlineLevel="1" x14ac:dyDescent="0.45"/>
    <row r="139" spans="3:14" outlineLevel="1" x14ac:dyDescent="0.45"/>
    <row r="140" spans="3:14" outlineLevel="1" x14ac:dyDescent="0.45"/>
    <row r="141" spans="3:14" outlineLevel="1" x14ac:dyDescent="0.45">
      <c r="C141" s="434" t="s">
        <v>152</v>
      </c>
    </row>
    <row r="142" spans="3:14" outlineLevel="1" x14ac:dyDescent="0.45">
      <c r="D142" s="98"/>
      <c r="E142" s="540" t="s">
        <v>89</v>
      </c>
      <c r="F142" s="540"/>
      <c r="G142" s="540"/>
      <c r="H142" s="540"/>
      <c r="I142" s="540"/>
    </row>
    <row r="143" spans="3:14" outlineLevel="1" x14ac:dyDescent="0.45">
      <c r="C143" s="541" t="s">
        <v>153</v>
      </c>
      <c r="D143" s="435">
        <f>C90</f>
        <v>69.310114179027735</v>
      </c>
      <c r="E143" s="436">
        <f t="shared" ref="E143" si="20">F143-0.01</f>
        <v>6.6676582743786128E-2</v>
      </c>
      <c r="F143" s="436">
        <f>G143-0.01</f>
        <v>7.6676582743786123E-2</v>
      </c>
      <c r="G143" s="436">
        <v>8.6676582743786118E-2</v>
      </c>
      <c r="H143" s="436">
        <f>G143+0.01</f>
        <v>9.6676582743786113E-2</v>
      </c>
      <c r="I143" s="436">
        <f>H143+0.01</f>
        <v>0.10667658274378611</v>
      </c>
    </row>
    <row r="144" spans="3:14" outlineLevel="1" x14ac:dyDescent="0.45">
      <c r="C144" s="542"/>
      <c r="D144" s="437">
        <f t="shared" ref="D144" si="21">D145-1</f>
        <v>0.78703090160596467</v>
      </c>
      <c r="E144" s="400">
        <f t="dataTable" ref="E144:I148" dt2D="1" dtr="1" r1="C22" r2="C24" ca="1"/>
        <v>58.111138771501203</v>
      </c>
      <c r="F144" s="400">
        <v>57.764110469609513</v>
      </c>
      <c r="G144" s="400">
        <v>57.436946151759088</v>
      </c>
      <c r="H144" s="400">
        <v>57.128332919230424</v>
      </c>
      <c r="I144" s="400">
        <v>56.837054709511605</v>
      </c>
      <c r="N144" s="430"/>
    </row>
    <row r="145" spans="3:19" ht="15" customHeight="1" outlineLevel="1" x14ac:dyDescent="0.45">
      <c r="C145" s="542"/>
      <c r="D145" s="437">
        <f>D146-1</f>
        <v>1.7870309016059647</v>
      </c>
      <c r="E145" s="400">
        <v>64.625537776646809</v>
      </c>
      <c r="F145" s="400">
        <v>63.981553619091805</v>
      </c>
      <c r="G145" s="400">
        <v>63.373530165393404</v>
      </c>
      <c r="H145" s="400">
        <v>62.799145700417242</v>
      </c>
      <c r="I145" s="400">
        <v>62.256246958991035</v>
      </c>
      <c r="N145" s="273"/>
      <c r="O145" s="433"/>
      <c r="P145" s="433"/>
      <c r="Q145" s="433"/>
      <c r="R145" s="433"/>
      <c r="S145" s="433"/>
    </row>
    <row r="146" spans="3:19" outlineLevel="1" x14ac:dyDescent="0.45">
      <c r="C146" s="542"/>
      <c r="D146" s="437">
        <v>2.7870309016059647</v>
      </c>
      <c r="E146" s="400">
        <v>71.139936781792414</v>
      </c>
      <c r="F146" s="400">
        <v>70.198996768574105</v>
      </c>
      <c r="G146" s="438">
        <v>69.310114179027735</v>
      </c>
      <c r="H146" s="400">
        <v>68.469958481604053</v>
      </c>
      <c r="I146" s="400">
        <v>67.675439208470479</v>
      </c>
      <c r="M146" s="541"/>
      <c r="N146" s="431"/>
      <c r="O146" s="432"/>
      <c r="P146" s="432"/>
      <c r="Q146" s="432"/>
      <c r="R146" s="432"/>
      <c r="S146" s="432"/>
    </row>
    <row r="147" spans="3:19" x14ac:dyDescent="0.45">
      <c r="C147" s="542"/>
      <c r="D147" s="437">
        <f>D146+1</f>
        <v>3.7870309016059647</v>
      </c>
      <c r="E147" s="400">
        <v>77.65433578693802</v>
      </c>
      <c r="F147" s="400">
        <v>76.416439918056412</v>
      </c>
      <c r="G147" s="400">
        <v>75.246698192662038</v>
      </c>
      <c r="H147" s="400">
        <v>74.140771262790864</v>
      </c>
      <c r="I147" s="400">
        <v>73.094631457949916</v>
      </c>
      <c r="M147" s="542"/>
      <c r="N147" s="431"/>
      <c r="O147" s="432"/>
      <c r="P147" s="432"/>
      <c r="Q147" s="432"/>
      <c r="R147" s="432"/>
      <c r="S147" s="432"/>
    </row>
    <row r="148" spans="3:19" x14ac:dyDescent="0.45">
      <c r="C148" s="542"/>
      <c r="D148" s="437">
        <f t="shared" ref="D148" si="22">D147+1</f>
        <v>4.7870309016059647</v>
      </c>
      <c r="E148" s="400">
        <v>84.168734792083626</v>
      </c>
      <c r="F148" s="400">
        <v>82.633883067538719</v>
      </c>
      <c r="G148" s="400">
        <v>81.183282206296354</v>
      </c>
      <c r="H148" s="400">
        <v>79.811584043977689</v>
      </c>
      <c r="I148" s="400">
        <v>78.513823707429339</v>
      </c>
      <c r="M148" s="542"/>
      <c r="N148" s="431"/>
      <c r="O148" s="432"/>
      <c r="P148" s="432"/>
      <c r="Q148" s="432"/>
      <c r="R148" s="432"/>
      <c r="S148" s="432"/>
    </row>
    <row r="149" spans="3:19" x14ac:dyDescent="0.45">
      <c r="M149" s="542"/>
      <c r="N149" s="431"/>
      <c r="O149" s="432"/>
      <c r="P149" s="432"/>
      <c r="Q149" s="432"/>
      <c r="R149" s="432"/>
      <c r="S149" s="432"/>
    </row>
    <row r="150" spans="3:19" x14ac:dyDescent="0.45">
      <c r="M150" s="542"/>
      <c r="N150" s="431"/>
      <c r="O150" s="432"/>
      <c r="P150" s="432"/>
      <c r="Q150" s="432"/>
      <c r="R150" s="432"/>
      <c r="S150" s="432"/>
    </row>
    <row r="151" spans="3:19" x14ac:dyDescent="0.45">
      <c r="M151" s="542"/>
    </row>
  </sheetData>
  <mergeCells count="5">
    <mergeCell ref="E131:I131"/>
    <mergeCell ref="C132:C137"/>
    <mergeCell ref="M146:M151"/>
    <mergeCell ref="E142:I142"/>
    <mergeCell ref="C143:C148"/>
  </mergeCells>
  <conditionalFormatting sqref="C4:L4">
    <cfRule type="containsText" dxfId="1" priority="1" operator="containsText" text="OK">
      <formula>NOT(ISERROR(SEARCH("OK",C4)))</formula>
    </cfRule>
    <cfRule type="containsText" dxfId="0" priority="2" operator="containsText" text="ERROR">
      <formula>NOT(ISERROR(SEARCH("ERROR",C4)))</formula>
    </cfRule>
  </conditionalFormatting>
  <pageMargins left="0.70866141732283472" right="0.70866141732283472" top="0.74803149606299213" bottom="0.74803149606299213" header="0.31496062992125984" footer="0.31496062992125984"/>
  <pageSetup scale="78"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150BA-8D3D-447C-B552-946012F0EF15}">
  <dimension ref="A2:J47"/>
  <sheetViews>
    <sheetView showGridLines="0" workbookViewId="0"/>
  </sheetViews>
  <sheetFormatPr defaultColWidth="10.796875" defaultRowHeight="13.15" outlineLevelRow="2" x14ac:dyDescent="0.4"/>
  <cols>
    <col min="1" max="1" width="3.6640625" style="98" customWidth="1"/>
    <col min="2" max="2" width="46.796875" style="98" customWidth="1"/>
    <col min="3" max="16384" width="10.796875" style="98"/>
  </cols>
  <sheetData>
    <row r="2" spans="1:10" ht="14.25" x14ac:dyDescent="0.45">
      <c r="B2" s="219" t="s">
        <v>154</v>
      </c>
      <c r="C2" s="207">
        <v>2024</v>
      </c>
      <c r="D2" s="207">
        <v>2025</v>
      </c>
      <c r="E2" s="207">
        <v>2026</v>
      </c>
      <c r="F2" s="207">
        <v>2027</v>
      </c>
      <c r="G2" s="207">
        <v>2028</v>
      </c>
      <c r="H2" s="207">
        <v>2029</v>
      </c>
    </row>
    <row r="3" spans="1:10" ht="20" customHeight="1" outlineLevel="1" x14ac:dyDescent="0.4">
      <c r="A3" s="98" t="s">
        <v>14</v>
      </c>
      <c r="B3" s="128" t="s">
        <v>155</v>
      </c>
      <c r="C3" s="172">
        <v>2750</v>
      </c>
      <c r="D3" s="173">
        <f>C3*(1+D4)</f>
        <v>2200</v>
      </c>
      <c r="E3" s="173">
        <f>D3*(1+E4)</f>
        <v>1870</v>
      </c>
      <c r="F3" s="173">
        <f>E3*(1+F4)</f>
        <v>1589.5</v>
      </c>
      <c r="G3" s="173">
        <f>F3*(1+G4)</f>
        <v>1351.075</v>
      </c>
      <c r="H3" s="173">
        <f>G3*(1+H4)</f>
        <v>1351.075</v>
      </c>
    </row>
    <row r="4" spans="1:10" ht="20" customHeight="1" outlineLevel="1" x14ac:dyDescent="0.4">
      <c r="B4" s="130" t="s">
        <v>156</v>
      </c>
      <c r="C4" s="131"/>
      <c r="D4" s="132">
        <v>-0.2</v>
      </c>
      <c r="E4" s="132">
        <v>-0.15</v>
      </c>
      <c r="F4" s="132">
        <v>-0.15</v>
      </c>
      <c r="G4" s="132">
        <v>-0.15</v>
      </c>
      <c r="H4" s="128"/>
      <c r="I4" s="133" t="s">
        <v>157</v>
      </c>
      <c r="J4" s="134"/>
    </row>
    <row r="5" spans="1:10" ht="5" customHeight="1" outlineLevel="1" x14ac:dyDescent="0.4">
      <c r="B5" s="128"/>
      <c r="C5" s="128"/>
      <c r="D5" s="128"/>
      <c r="E5" s="128"/>
      <c r="F5" s="128"/>
      <c r="G5" s="128"/>
      <c r="H5" s="128"/>
    </row>
    <row r="6" spans="1:10" ht="20" customHeight="1" outlineLevel="1" x14ac:dyDescent="0.4">
      <c r="A6" s="98" t="s">
        <v>14</v>
      </c>
      <c r="B6" s="114" t="s">
        <v>158</v>
      </c>
      <c r="C6" s="128"/>
      <c r="D6" s="128"/>
      <c r="E6" s="129">
        <f>E13+E21</f>
        <v>112.50000000000001</v>
      </c>
      <c r="F6" s="129">
        <f>F13+F21</f>
        <v>225</v>
      </c>
      <c r="G6" s="129">
        <f>G13+G21</f>
        <v>416.25</v>
      </c>
      <c r="H6" s="129">
        <f>H13+H21</f>
        <v>562.5</v>
      </c>
    </row>
    <row r="7" spans="1:10" ht="20" customHeight="1" outlineLevel="1" x14ac:dyDescent="0.4">
      <c r="B7" s="208" t="s">
        <v>159</v>
      </c>
      <c r="C7" s="131"/>
      <c r="D7" s="131"/>
      <c r="E7" s="136">
        <v>0.15</v>
      </c>
      <c r="F7" s="136">
        <v>0.15</v>
      </c>
      <c r="G7" s="136">
        <v>0.15</v>
      </c>
      <c r="H7" s="136">
        <v>0.15</v>
      </c>
    </row>
    <row r="8" spans="1:10" ht="20" customHeight="1" outlineLevel="1" x14ac:dyDescent="0.4">
      <c r="B8" s="208" t="s">
        <v>160</v>
      </c>
      <c r="C8" s="137"/>
      <c r="D8" s="137"/>
      <c r="E8" s="138">
        <v>5.000000000000001E-2</v>
      </c>
      <c r="F8" s="138">
        <f>E8+0.05</f>
        <v>0.1</v>
      </c>
      <c r="G8" s="138">
        <v>0.17</v>
      </c>
      <c r="H8" s="138">
        <f>G8+0.05</f>
        <v>0.22000000000000003</v>
      </c>
    </row>
    <row r="9" spans="1:10" ht="20" customHeight="1" outlineLevel="1" x14ac:dyDescent="0.4">
      <c r="B9" s="139" t="s">
        <v>161</v>
      </c>
      <c r="C9" s="131"/>
      <c r="D9" s="131"/>
      <c r="E9" s="131">
        <f>E7*E8</f>
        <v>7.5000000000000015E-3</v>
      </c>
      <c r="F9" s="131">
        <f>F7*F8</f>
        <v>1.4999999999999999E-2</v>
      </c>
      <c r="G9" s="131">
        <f>G7*G8</f>
        <v>2.5500000000000002E-2</v>
      </c>
      <c r="H9" s="131">
        <f>H7*H8</f>
        <v>3.3000000000000002E-2</v>
      </c>
    </row>
    <row r="10" spans="1:10" ht="5" customHeight="1" outlineLevel="1" x14ac:dyDescent="0.4">
      <c r="B10" s="135"/>
      <c r="C10" s="131"/>
      <c r="D10" s="131"/>
      <c r="E10" s="131"/>
      <c r="F10" s="131"/>
      <c r="G10" s="131"/>
      <c r="H10" s="131"/>
    </row>
    <row r="11" spans="1:10" ht="20" customHeight="1" outlineLevel="1" x14ac:dyDescent="0.4">
      <c r="B11" s="135" t="s">
        <v>162</v>
      </c>
      <c r="C11" s="131"/>
      <c r="D11" s="131"/>
      <c r="E11" s="136">
        <v>50000</v>
      </c>
      <c r="F11" s="136">
        <v>50000</v>
      </c>
      <c r="G11" s="136">
        <v>50000</v>
      </c>
      <c r="H11" s="136">
        <v>50000</v>
      </c>
    </row>
    <row r="12" spans="1:10" ht="20" customHeight="1" outlineLevel="1" x14ac:dyDescent="0.4">
      <c r="B12" s="135" t="s">
        <v>163</v>
      </c>
      <c r="C12" s="137"/>
      <c r="D12" s="137"/>
      <c r="E12" s="140">
        <v>0.3</v>
      </c>
      <c r="F12" s="140">
        <v>0.3</v>
      </c>
      <c r="G12" s="140">
        <v>0.3</v>
      </c>
      <c r="H12" s="140">
        <v>0.3</v>
      </c>
    </row>
    <row r="13" spans="1:10" ht="20" customHeight="1" outlineLevel="1" x14ac:dyDescent="0.4">
      <c r="B13" s="141" t="s">
        <v>164</v>
      </c>
      <c r="C13" s="137"/>
      <c r="D13" s="137"/>
      <c r="E13" s="137">
        <f>E9*E11*E12</f>
        <v>112.50000000000001</v>
      </c>
      <c r="F13" s="137">
        <f>F9*F11*F12</f>
        <v>225</v>
      </c>
      <c r="G13" s="137">
        <f>G9*G11*G12</f>
        <v>382.5</v>
      </c>
      <c r="H13" s="137">
        <f>H9*H11*H12</f>
        <v>495</v>
      </c>
    </row>
    <row r="14" spans="1:10" ht="5" customHeight="1" outlineLevel="1" x14ac:dyDescent="0.4">
      <c r="B14" s="130"/>
      <c r="C14" s="131"/>
      <c r="D14" s="131"/>
      <c r="E14" s="131"/>
      <c r="F14" s="131"/>
      <c r="G14" s="131"/>
      <c r="H14" s="131"/>
    </row>
    <row r="15" spans="1:10" ht="20" customHeight="1" outlineLevel="1" x14ac:dyDescent="0.4">
      <c r="B15" s="208" t="s">
        <v>165</v>
      </c>
      <c r="C15" s="131"/>
      <c r="D15" s="131"/>
      <c r="E15" s="131"/>
      <c r="F15" s="131"/>
      <c r="G15" s="136">
        <v>0.1</v>
      </c>
      <c r="H15" s="136">
        <v>0.1</v>
      </c>
    </row>
    <row r="16" spans="1:10" ht="20" customHeight="1" outlineLevel="1" x14ac:dyDescent="0.4">
      <c r="B16" s="208" t="s">
        <v>160</v>
      </c>
      <c r="C16" s="137"/>
      <c r="D16" s="137"/>
      <c r="E16" s="142"/>
      <c r="F16" s="142"/>
      <c r="G16" s="138">
        <v>0.03</v>
      </c>
      <c r="H16" s="138">
        <v>0.06</v>
      </c>
    </row>
    <row r="17" spans="1:8" ht="20" customHeight="1" outlineLevel="1" x14ac:dyDescent="0.4">
      <c r="B17" s="139" t="s">
        <v>166</v>
      </c>
      <c r="C17" s="131"/>
      <c r="D17" s="131"/>
      <c r="E17" s="131"/>
      <c r="F17" s="131"/>
      <c r="G17" s="131">
        <f>G15*G16</f>
        <v>3.0000000000000001E-3</v>
      </c>
      <c r="H17" s="131">
        <f>H15*H16</f>
        <v>6.0000000000000001E-3</v>
      </c>
    </row>
    <row r="18" spans="1:8" ht="5" customHeight="1" outlineLevel="1" x14ac:dyDescent="0.4">
      <c r="B18" s="135"/>
      <c r="C18" s="131"/>
      <c r="D18" s="131"/>
      <c r="E18" s="131"/>
      <c r="F18" s="131"/>
      <c r="G18" s="131"/>
      <c r="H18" s="131"/>
    </row>
    <row r="19" spans="1:8" ht="20" customHeight="1" outlineLevel="1" x14ac:dyDescent="0.4">
      <c r="B19" s="135" t="s">
        <v>167</v>
      </c>
      <c r="C19" s="131"/>
      <c r="D19" s="131"/>
      <c r="E19" s="131"/>
      <c r="F19" s="131"/>
      <c r="G19" s="136">
        <v>75000</v>
      </c>
      <c r="H19" s="136">
        <v>75000</v>
      </c>
    </row>
    <row r="20" spans="1:8" ht="20" customHeight="1" outlineLevel="1" x14ac:dyDescent="0.4">
      <c r="B20" s="135" t="s">
        <v>168</v>
      </c>
      <c r="C20" s="137"/>
      <c r="D20" s="137"/>
      <c r="E20" s="143"/>
      <c r="F20" s="143"/>
      <c r="G20" s="140">
        <v>0.15</v>
      </c>
      <c r="H20" s="140">
        <v>0.15</v>
      </c>
    </row>
    <row r="21" spans="1:8" ht="20" customHeight="1" outlineLevel="1" x14ac:dyDescent="0.4">
      <c r="B21" s="141" t="s">
        <v>169</v>
      </c>
      <c r="C21" s="137"/>
      <c r="D21" s="137"/>
      <c r="E21" s="137"/>
      <c r="F21" s="137"/>
      <c r="G21" s="211">
        <f>G17*G19*G20</f>
        <v>33.75</v>
      </c>
      <c r="H21" s="211">
        <f>H17*H19*H20</f>
        <v>67.5</v>
      </c>
    </row>
    <row r="22" spans="1:8" ht="5" customHeight="1" outlineLevel="1" x14ac:dyDescent="0.4">
      <c r="B22" s="128"/>
      <c r="C22" s="131"/>
      <c r="D22" s="131"/>
      <c r="E22" s="131"/>
      <c r="F22" s="131"/>
      <c r="G22" s="131"/>
      <c r="H22" s="131"/>
    </row>
    <row r="23" spans="1:8" ht="20" customHeight="1" x14ac:dyDescent="0.4">
      <c r="A23" s="98" t="s">
        <v>14</v>
      </c>
      <c r="B23" s="128" t="s">
        <v>170</v>
      </c>
      <c r="C23" s="129"/>
      <c r="D23" s="129"/>
      <c r="E23" s="129">
        <f>E32+E40</f>
        <v>45</v>
      </c>
      <c r="F23" s="129">
        <f>F32+F40</f>
        <v>127.35000000000001</v>
      </c>
      <c r="G23" s="129">
        <f>G32+G40</f>
        <v>238.6</v>
      </c>
      <c r="H23" s="129">
        <f>H32+H40</f>
        <v>292.35000000000002</v>
      </c>
    </row>
    <row r="24" spans="1:8" ht="20" customHeight="1" outlineLevel="2" x14ac:dyDescent="0.4">
      <c r="B24" s="135" t="s">
        <v>171</v>
      </c>
      <c r="C24" s="144"/>
      <c r="D24" s="144"/>
      <c r="E24" s="144"/>
      <c r="F24" s="144"/>
      <c r="G24" s="145">
        <v>5300</v>
      </c>
      <c r="H24" s="145">
        <v>6000</v>
      </c>
    </row>
    <row r="25" spans="1:8" ht="20" customHeight="1" outlineLevel="2" x14ac:dyDescent="0.4">
      <c r="B25" s="135" t="s">
        <v>172</v>
      </c>
      <c r="C25" s="146"/>
      <c r="D25" s="146"/>
      <c r="E25" s="146"/>
      <c r="F25" s="146"/>
      <c r="G25" s="147">
        <v>150</v>
      </c>
      <c r="H25" s="147">
        <v>150</v>
      </c>
    </row>
    <row r="26" spans="1:8" ht="20" customHeight="1" x14ac:dyDescent="0.4">
      <c r="B26" s="209" t="s">
        <v>173</v>
      </c>
      <c r="C26" s="144"/>
      <c r="D26" s="144"/>
      <c r="E26" s="144"/>
      <c r="F26" s="144"/>
      <c r="G26" s="144">
        <f>G24/G25</f>
        <v>35.333333333333336</v>
      </c>
      <c r="H26" s="144">
        <f>H24/H25</f>
        <v>40</v>
      </c>
    </row>
    <row r="27" spans="1:8" ht="20" customHeight="1" x14ac:dyDescent="0.4">
      <c r="B27" s="208" t="s">
        <v>160</v>
      </c>
      <c r="C27" s="131"/>
      <c r="D27" s="137"/>
      <c r="E27" s="137"/>
      <c r="F27" s="137"/>
      <c r="G27" s="149">
        <v>0.05</v>
      </c>
      <c r="H27" s="149">
        <v>0.05</v>
      </c>
    </row>
    <row r="28" spans="1:8" ht="20" customHeight="1" x14ac:dyDescent="0.4">
      <c r="B28" s="150" t="s">
        <v>174</v>
      </c>
      <c r="C28" s="151"/>
      <c r="D28" s="131"/>
      <c r="E28" s="131"/>
      <c r="F28" s="131"/>
      <c r="G28" s="210">
        <f>G26*G27</f>
        <v>1.7666666666666668</v>
      </c>
      <c r="H28" s="131">
        <f>H26*H27</f>
        <v>2</v>
      </c>
    </row>
    <row r="29" spans="1:8" ht="5" customHeight="1" x14ac:dyDescent="0.4">
      <c r="B29" s="135"/>
      <c r="C29" s="152"/>
      <c r="D29" s="152"/>
      <c r="E29" s="152"/>
      <c r="F29" s="152"/>
      <c r="G29" s="153"/>
      <c r="H29" s="153"/>
    </row>
    <row r="30" spans="1:8" ht="20" customHeight="1" x14ac:dyDescent="0.4">
      <c r="B30" s="135" t="s">
        <v>175</v>
      </c>
      <c r="C30" s="152"/>
      <c r="D30" s="152"/>
      <c r="E30" s="152"/>
      <c r="F30" s="152"/>
      <c r="G30" s="152">
        <v>150</v>
      </c>
      <c r="H30" s="152">
        <v>150</v>
      </c>
    </row>
    <row r="31" spans="1:8" ht="20" customHeight="1" x14ac:dyDescent="0.4">
      <c r="B31" s="135" t="s">
        <v>176</v>
      </c>
      <c r="C31" s="154"/>
      <c r="D31" s="154"/>
      <c r="E31" s="154"/>
      <c r="F31" s="154"/>
      <c r="G31" s="155">
        <v>0.25</v>
      </c>
      <c r="H31" s="155">
        <v>0.25</v>
      </c>
    </row>
    <row r="32" spans="1:8" ht="20" customHeight="1" x14ac:dyDescent="0.4">
      <c r="B32" s="141" t="s">
        <v>177</v>
      </c>
      <c r="C32" s="156"/>
      <c r="D32" s="156"/>
      <c r="E32" s="157"/>
      <c r="F32" s="157"/>
      <c r="G32" s="158">
        <f>G28*G30*G31</f>
        <v>66.25</v>
      </c>
      <c r="H32" s="158">
        <f>H28*H30*H31</f>
        <v>75</v>
      </c>
    </row>
    <row r="33" spans="1:9" ht="5" customHeight="1" x14ac:dyDescent="0.4">
      <c r="B33" s="148"/>
      <c r="C33" s="159"/>
      <c r="D33" s="131"/>
      <c r="E33" s="131"/>
      <c r="F33" s="131"/>
      <c r="G33" s="131"/>
      <c r="H33" s="131"/>
    </row>
    <row r="34" spans="1:9" ht="20" customHeight="1" x14ac:dyDescent="0.4">
      <c r="B34" s="208" t="s">
        <v>178</v>
      </c>
      <c r="C34" s="131"/>
      <c r="D34" s="131"/>
      <c r="E34" s="136">
        <v>150</v>
      </c>
      <c r="F34" s="136">
        <v>150</v>
      </c>
      <c r="G34" s="136">
        <v>150</v>
      </c>
      <c r="H34" s="136">
        <v>150</v>
      </c>
      <c r="I34" s="133" t="s">
        <v>179</v>
      </c>
    </row>
    <row r="35" spans="1:9" ht="20" customHeight="1" x14ac:dyDescent="0.4">
      <c r="B35" s="208" t="s">
        <v>160</v>
      </c>
      <c r="C35" s="137"/>
      <c r="D35" s="137"/>
      <c r="E35" s="138">
        <v>0.02</v>
      </c>
      <c r="F35" s="138">
        <f>E35+0.0366</f>
        <v>5.6599999999999998E-2</v>
      </c>
      <c r="G35" s="138">
        <f>F35+0.02</f>
        <v>7.6600000000000001E-2</v>
      </c>
      <c r="H35" s="138">
        <f>G35+0.02</f>
        <v>9.6600000000000005E-2</v>
      </c>
    </row>
    <row r="36" spans="1:9" ht="20" customHeight="1" x14ac:dyDescent="0.4">
      <c r="B36" s="139" t="s">
        <v>180</v>
      </c>
      <c r="C36" s="144"/>
      <c r="D36" s="131"/>
      <c r="E36" s="131">
        <f>E34*E35</f>
        <v>3</v>
      </c>
      <c r="F36" s="131">
        <f>F34*F35</f>
        <v>8.49</v>
      </c>
      <c r="G36" s="131">
        <f>G34*G35</f>
        <v>11.49</v>
      </c>
      <c r="H36" s="131">
        <f>H34*H35</f>
        <v>14.49</v>
      </c>
    </row>
    <row r="37" spans="1:9" ht="5" customHeight="1" x14ac:dyDescent="0.4">
      <c r="B37" s="135"/>
      <c r="C37" s="153"/>
      <c r="D37" s="131"/>
      <c r="E37" s="160"/>
      <c r="F37" s="160"/>
      <c r="G37" s="160"/>
      <c r="H37" s="160"/>
    </row>
    <row r="38" spans="1:9" ht="20" customHeight="1" x14ac:dyDescent="0.4">
      <c r="B38" s="135" t="s">
        <v>181</v>
      </c>
      <c r="C38" s="153"/>
      <c r="D38" s="131"/>
      <c r="E38" s="98">
        <v>30</v>
      </c>
      <c r="F38" s="98">
        <v>30</v>
      </c>
      <c r="G38" s="98">
        <v>30</v>
      </c>
      <c r="H38" s="98">
        <v>30</v>
      </c>
    </row>
    <row r="39" spans="1:9" ht="20" customHeight="1" x14ac:dyDescent="0.4">
      <c r="B39" s="135" t="s">
        <v>182</v>
      </c>
      <c r="C39" s="153"/>
      <c r="D39" s="131"/>
      <c r="E39" s="161">
        <v>0.5</v>
      </c>
      <c r="F39" s="161">
        <v>0.5</v>
      </c>
      <c r="G39" s="161">
        <v>0.5</v>
      </c>
      <c r="H39" s="161">
        <v>0.5</v>
      </c>
    </row>
    <row r="40" spans="1:9" ht="20" customHeight="1" x14ac:dyDescent="0.4">
      <c r="B40" s="141" t="s">
        <v>183</v>
      </c>
      <c r="C40" s="162"/>
      <c r="D40" s="163"/>
      <c r="E40" s="164">
        <f>E36*E38*E39</f>
        <v>45</v>
      </c>
      <c r="F40" s="158">
        <f>F36*F38*F39</f>
        <v>127.35000000000001</v>
      </c>
      <c r="G40" s="158">
        <f>G36*G38*G39</f>
        <v>172.35</v>
      </c>
      <c r="H40" s="158">
        <f>H36*H38*H39</f>
        <v>217.35</v>
      </c>
    </row>
    <row r="41" spans="1:9" ht="5" customHeight="1" x14ac:dyDescent="0.4">
      <c r="B41" s="128"/>
      <c r="C41" s="131"/>
      <c r="D41" s="131"/>
      <c r="E41" s="131"/>
      <c r="F41" s="131"/>
      <c r="G41" s="131"/>
      <c r="H41" s="131"/>
    </row>
    <row r="42" spans="1:9" ht="20" customHeight="1" x14ac:dyDescent="0.4">
      <c r="A42" s="98" t="s">
        <v>14</v>
      </c>
      <c r="B42" s="128" t="s">
        <v>184</v>
      </c>
      <c r="C42" s="128">
        <f t="shared" ref="C42:H42" si="0">SUM(C43:C44)</f>
        <v>50</v>
      </c>
      <c r="D42" s="128">
        <f t="shared" si="0"/>
        <v>50</v>
      </c>
      <c r="E42" s="128">
        <f t="shared" si="0"/>
        <v>150</v>
      </c>
      <c r="F42" s="128">
        <f t="shared" si="0"/>
        <v>50</v>
      </c>
      <c r="G42" s="128">
        <f t="shared" si="0"/>
        <v>50</v>
      </c>
      <c r="H42" s="128">
        <f t="shared" si="0"/>
        <v>50</v>
      </c>
    </row>
    <row r="43" spans="1:9" ht="20" customHeight="1" x14ac:dyDescent="0.4">
      <c r="B43" s="130" t="s">
        <v>185</v>
      </c>
      <c r="C43" s="136">
        <v>50</v>
      </c>
      <c r="D43" s="136">
        <v>50</v>
      </c>
      <c r="E43" s="136">
        <v>50</v>
      </c>
      <c r="F43" s="136">
        <v>50</v>
      </c>
      <c r="G43" s="136">
        <v>50</v>
      </c>
      <c r="H43" s="136">
        <v>50</v>
      </c>
    </row>
    <row r="44" spans="1:9" ht="20" customHeight="1" x14ac:dyDescent="0.4">
      <c r="B44" s="130" t="s">
        <v>186</v>
      </c>
      <c r="C44" s="136"/>
      <c r="D44" s="136"/>
      <c r="E44" s="136">
        <v>100</v>
      </c>
      <c r="F44" s="136"/>
      <c r="G44" s="136"/>
      <c r="H44" s="136"/>
    </row>
    <row r="45" spans="1:9" ht="5" customHeight="1" x14ac:dyDescent="0.4">
      <c r="B45" s="131"/>
      <c r="C45" s="131"/>
      <c r="D45" s="131"/>
      <c r="E45" s="131"/>
      <c r="F45" s="131"/>
      <c r="G45" s="131"/>
      <c r="H45" s="131"/>
    </row>
    <row r="46" spans="1:9" ht="20" customHeight="1" thickBot="1" x14ac:dyDescent="0.45">
      <c r="B46" s="220" t="s">
        <v>187</v>
      </c>
      <c r="C46" s="174">
        <f t="shared" ref="C46:H46" si="1">C42+C23+C6+C3</f>
        <v>2800</v>
      </c>
      <c r="D46" s="174">
        <f t="shared" si="1"/>
        <v>2250</v>
      </c>
      <c r="E46" s="174">
        <f t="shared" si="1"/>
        <v>2177.5</v>
      </c>
      <c r="F46" s="174">
        <f t="shared" si="1"/>
        <v>1991.85</v>
      </c>
      <c r="G46" s="174">
        <f t="shared" si="1"/>
        <v>2055.9250000000002</v>
      </c>
      <c r="H46" s="174">
        <f t="shared" si="1"/>
        <v>2255.9250000000002</v>
      </c>
    </row>
    <row r="47" spans="1:9" ht="13.5" thickTop="1" x14ac:dyDescent="0.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F96BB-4F13-49DF-898D-870D20B206F9}">
  <dimension ref="A2:T30"/>
  <sheetViews>
    <sheetView showGridLines="0" topLeftCell="B1" workbookViewId="0">
      <selection activeCell="G30" sqref="G30"/>
    </sheetView>
  </sheetViews>
  <sheetFormatPr defaultColWidth="9" defaultRowHeight="14.25" outlineLevelCol="2" x14ac:dyDescent="0.45"/>
  <cols>
    <col min="1" max="1" width="3.6640625" style="165" customWidth="1"/>
    <col min="2" max="2" width="35.6640625" style="165" customWidth="1"/>
    <col min="3" max="3" width="9.33203125" style="165" customWidth="1"/>
    <col min="4" max="4" width="13.6640625" style="165" customWidth="1"/>
    <col min="5" max="6" width="12.6640625" style="165" customWidth="1"/>
    <col min="7" max="7" width="15.33203125" style="165" customWidth="1" outlineLevel="1"/>
    <col min="8" max="8" width="12.6640625" style="165" customWidth="1"/>
    <col min="9" max="9" width="12.6640625" style="165" customWidth="1" outlineLevel="1"/>
    <col min="10" max="10" width="12.6640625" style="165" customWidth="1"/>
    <col min="11" max="11" width="12.6640625" style="165" customWidth="1" outlineLevel="1"/>
    <col min="12" max="12" width="12.6640625" style="165" customWidth="1" outlineLevel="1" collapsed="1"/>
    <col min="13" max="13" width="12.6640625" style="165" customWidth="1" outlineLevel="2"/>
    <col min="14" max="14" width="12.6640625" style="165" customWidth="1" outlineLevel="1"/>
    <col min="15" max="15" width="11.33203125" style="165" customWidth="1" outlineLevel="1"/>
    <col min="16" max="17" width="6.6640625" style="165" customWidth="1" outlineLevel="1" collapsed="1"/>
    <col min="18" max="18" width="6.6640625" style="165" customWidth="1" outlineLevel="2"/>
    <col min="19" max="19" width="6.6640625" style="165" customWidth="1" outlineLevel="2" collapsed="1"/>
    <col min="20" max="20" width="6.6640625" style="165" customWidth="1" outlineLevel="1"/>
    <col min="21" max="16384" width="9" style="165"/>
  </cols>
  <sheetData>
    <row r="2" spans="1:20" x14ac:dyDescent="0.45">
      <c r="B2" s="165" t="s">
        <v>188</v>
      </c>
      <c r="D2" s="166">
        <v>45741</v>
      </c>
    </row>
    <row r="3" spans="1:20" x14ac:dyDescent="0.45">
      <c r="B3" s="165" t="s">
        <v>189</v>
      </c>
    </row>
    <row r="4" spans="1:20" ht="57" x14ac:dyDescent="0.45">
      <c r="A4" s="165" t="s">
        <v>14</v>
      </c>
      <c r="B4" s="167" t="s">
        <v>190</v>
      </c>
      <c r="C4" s="168" t="s">
        <v>191</v>
      </c>
      <c r="D4" s="168" t="s">
        <v>192</v>
      </c>
      <c r="E4" s="168" t="s">
        <v>193</v>
      </c>
      <c r="F4" s="168" t="s">
        <v>118</v>
      </c>
      <c r="G4" s="168" t="s">
        <v>54</v>
      </c>
      <c r="H4" s="168" t="s">
        <v>194</v>
      </c>
      <c r="I4" s="168" t="s">
        <v>51</v>
      </c>
      <c r="J4" s="168" t="s">
        <v>195</v>
      </c>
      <c r="K4" s="168" t="s">
        <v>196</v>
      </c>
      <c r="L4" s="168" t="s">
        <v>197</v>
      </c>
      <c r="M4" s="168" t="s">
        <v>198</v>
      </c>
      <c r="N4" s="168" t="s">
        <v>199</v>
      </c>
      <c r="O4" s="168" t="s">
        <v>200</v>
      </c>
      <c r="P4" s="168" t="s">
        <v>201</v>
      </c>
      <c r="Q4" s="168" t="s">
        <v>202</v>
      </c>
      <c r="R4" s="168" t="s">
        <v>203</v>
      </c>
      <c r="S4" s="168" t="s">
        <v>204</v>
      </c>
      <c r="T4" s="168" t="s">
        <v>205</v>
      </c>
    </row>
    <row r="5" spans="1:20" ht="20" customHeight="1" x14ac:dyDescent="0.45">
      <c r="B5" s="175" t="s">
        <v>206</v>
      </c>
      <c r="C5" s="176">
        <v>93.142319999999998</v>
      </c>
      <c r="D5" s="177">
        <v>239.97080400000002</v>
      </c>
      <c r="E5" s="178">
        <v>22351.437416825302</v>
      </c>
      <c r="F5" s="178">
        <v>6513.4006642320001</v>
      </c>
      <c r="G5" s="177">
        <v>2751.1</v>
      </c>
      <c r="H5" s="179">
        <f>$F5/G5</f>
        <v>2.3675623075249903</v>
      </c>
      <c r="I5" s="177">
        <v>2117.58329</v>
      </c>
      <c r="J5" s="179">
        <f>$F5/I5</f>
        <v>3.0758651595857653</v>
      </c>
      <c r="K5" s="177">
        <v>-1033.0999999999999</v>
      </c>
      <c r="L5" s="179">
        <f>$F5/K5</f>
        <v>-6.3047146106204632</v>
      </c>
      <c r="M5" s="177">
        <v>-1492.04144</v>
      </c>
      <c r="N5" s="179">
        <f>$F5/M5</f>
        <v>-4.3654287941439485</v>
      </c>
      <c r="O5" s="177">
        <v>-665.3</v>
      </c>
      <c r="P5" s="308">
        <f>O5/$D5</f>
        <v>-2.7724205982991159</v>
      </c>
      <c r="Q5" s="309">
        <f>C5/P5</f>
        <v>-33.596027982602259</v>
      </c>
      <c r="R5" s="177">
        <v>-1207.4310399999999</v>
      </c>
      <c r="S5" s="308">
        <f>R5/D5</f>
        <v>-5.0315747577359451</v>
      </c>
      <c r="T5" s="309">
        <f>C5/S5</f>
        <v>-18.511564367953703</v>
      </c>
    </row>
    <row r="6" spans="1:20" ht="20" customHeight="1" x14ac:dyDescent="0.45">
      <c r="B6" s="180"/>
      <c r="C6" s="181"/>
      <c r="D6" s="182"/>
      <c r="E6" s="183"/>
      <c r="F6" s="183"/>
      <c r="G6" s="182"/>
      <c r="H6" s="184"/>
      <c r="I6" s="182"/>
      <c r="J6" s="184"/>
      <c r="K6" s="182"/>
      <c r="L6" s="184"/>
      <c r="M6" s="182"/>
      <c r="N6" s="184"/>
      <c r="O6" s="169"/>
      <c r="P6" s="170"/>
      <c r="Q6" s="171"/>
      <c r="R6" s="169"/>
      <c r="S6" s="170"/>
      <c r="T6" s="171"/>
    </row>
    <row r="7" spans="1:20" ht="20" customHeight="1" x14ac:dyDescent="0.45">
      <c r="B7" s="185" t="s">
        <v>207</v>
      </c>
      <c r="C7" s="181"/>
      <c r="D7" s="182"/>
      <c r="E7" s="183"/>
      <c r="F7" s="183"/>
      <c r="G7" s="182"/>
      <c r="H7" s="184"/>
      <c r="I7" s="182"/>
      <c r="J7" s="184"/>
      <c r="K7" s="182"/>
      <c r="L7" s="184"/>
      <c r="M7" s="182"/>
      <c r="N7" s="184"/>
      <c r="O7" s="169"/>
      <c r="P7" s="170"/>
      <c r="Q7" s="171"/>
      <c r="R7" s="169"/>
      <c r="S7" s="170"/>
      <c r="T7" s="171"/>
    </row>
    <row r="8" spans="1:20" ht="20" customHeight="1" x14ac:dyDescent="0.45">
      <c r="B8" s="186" t="s">
        <v>208</v>
      </c>
      <c r="C8" s="187">
        <v>31.624334999999999</v>
      </c>
      <c r="D8" s="188">
        <v>386.62260399999997</v>
      </c>
      <c r="E8" s="189">
        <v>12226.6827474683</v>
      </c>
      <c r="F8" s="189">
        <v>4108.1967468390003</v>
      </c>
      <c r="G8" s="188">
        <v>2991.9574305343504</v>
      </c>
      <c r="H8" s="190">
        <f>$F8/G8</f>
        <v>1.3730799458952512</v>
      </c>
      <c r="I8" s="188">
        <v>2076.8645697173301</v>
      </c>
      <c r="J8" s="190">
        <f>$F8/I8</f>
        <v>1.9780763785662456</v>
      </c>
      <c r="K8" s="188">
        <v>-3472.7416900763301</v>
      </c>
      <c r="L8" s="190">
        <f t="shared" ref="L8" si="0">$F8/K8</f>
        <v>-1.1829836807553351</v>
      </c>
      <c r="M8" s="188">
        <v>-3681.3596073224498</v>
      </c>
      <c r="N8" s="190">
        <f t="shared" ref="N8" si="1">$F8/M8</f>
        <v>-1.1159455160717104</v>
      </c>
      <c r="O8" s="188">
        <v>-3292.4475927480903</v>
      </c>
      <c r="P8" s="316">
        <f t="shared" ref="P8:P12" si="2">O8/$D8</f>
        <v>-8.5159211041579201</v>
      </c>
      <c r="Q8" s="310">
        <f t="shared" ref="Q8:Q12" si="3">C8/P8</f>
        <v>-3.713554248941942</v>
      </c>
      <c r="R8" s="188">
        <v>-3750.8234313244802</v>
      </c>
      <c r="S8" s="316">
        <f t="shared" ref="S8:S12" si="4">R8/D8</f>
        <v>-9.7015109631936589</v>
      </c>
      <c r="T8" s="310">
        <f t="shared" ref="T8:T12" si="5">C8/S8</f>
        <v>-3.2597329549983338</v>
      </c>
    </row>
    <row r="9" spans="1:20" ht="20" customHeight="1" x14ac:dyDescent="0.45">
      <c r="B9" s="191" t="s">
        <v>209</v>
      </c>
      <c r="C9" s="192">
        <v>136.831433403478</v>
      </c>
      <c r="D9" s="193">
        <v>1550.6071750000001</v>
      </c>
      <c r="E9" s="194">
        <v>212171.80240096801</v>
      </c>
      <c r="F9" s="194">
        <v>236050.662323895</v>
      </c>
      <c r="G9" s="193">
        <v>49995.090896564798</v>
      </c>
      <c r="H9" s="195">
        <f>$F9/G9</f>
        <v>4.7214768108385261</v>
      </c>
      <c r="I9" s="193">
        <v>54519.631375938399</v>
      </c>
      <c r="J9" s="195">
        <f>$F9/I9</f>
        <v>4.3296452372580276</v>
      </c>
      <c r="K9" s="193">
        <v>16242.186706488499</v>
      </c>
      <c r="L9" s="195">
        <f t="shared" ref="L9" si="6">$F9/K9</f>
        <v>14.533182421157395</v>
      </c>
      <c r="M9" s="193">
        <v>19299.5805141848</v>
      </c>
      <c r="N9" s="195">
        <f t="shared" ref="N9" si="7">$F9/M9</f>
        <v>12.23087010364824</v>
      </c>
      <c r="O9" s="193">
        <v>6510.0037912213702</v>
      </c>
      <c r="P9" s="317">
        <f t="shared" si="2"/>
        <v>4.1983578408382956</v>
      </c>
      <c r="Q9" s="311">
        <f t="shared" si="3"/>
        <v>32.591655735604604</v>
      </c>
      <c r="R9" s="193">
        <v>13117.007832346</v>
      </c>
      <c r="S9" s="317">
        <f t="shared" si="4"/>
        <v>8.4592719831481489</v>
      </c>
      <c r="T9" s="311">
        <f t="shared" si="5"/>
        <v>16.175320249314844</v>
      </c>
    </row>
    <row r="10" spans="1:20" ht="20" customHeight="1" x14ac:dyDescent="0.45">
      <c r="B10" s="186" t="s">
        <v>210</v>
      </c>
      <c r="C10" s="187">
        <v>17.7431608980235</v>
      </c>
      <c r="D10" s="188">
        <v>4076.7539200000001</v>
      </c>
      <c r="E10" s="189">
        <v>72334.500744207893</v>
      </c>
      <c r="F10" s="189">
        <v>86762.020464317902</v>
      </c>
      <c r="G10" s="188">
        <v>37066.156191184702</v>
      </c>
      <c r="H10" s="190">
        <f>$F10/G10</f>
        <v>2.3407342271155747</v>
      </c>
      <c r="I10" s="188">
        <v>39342.572881645596</v>
      </c>
      <c r="J10" s="190">
        <f>$F10/I10</f>
        <v>2.2052960472444036</v>
      </c>
      <c r="K10" s="188">
        <v>9820.5939704652592</v>
      </c>
      <c r="L10" s="190">
        <f t="shared" ref="L10" si="8">$F10/K10</f>
        <v>8.834701925896594</v>
      </c>
      <c r="M10" s="188">
        <v>13144.504264194</v>
      </c>
      <c r="N10" s="190">
        <f t="shared" ref="N10" si="9">$F10/M10</f>
        <v>6.6006308583778308</v>
      </c>
      <c r="O10" s="188">
        <v>3486.1750038305104</v>
      </c>
      <c r="P10" s="316">
        <f t="shared" si="2"/>
        <v>0.85513500992243119</v>
      </c>
      <c r="Q10" s="310">
        <f t="shared" si="3"/>
        <v>20.748958576298932</v>
      </c>
      <c r="R10" s="188">
        <v>8346.95427298303</v>
      </c>
      <c r="S10" s="316">
        <f t="shared" si="4"/>
        <v>2.0474510938798653</v>
      </c>
      <c r="T10" s="310">
        <f t="shared" si="5"/>
        <v>8.6659754418850046</v>
      </c>
    </row>
    <row r="11" spans="1:20" ht="20" customHeight="1" x14ac:dyDescent="0.45">
      <c r="B11" s="186" t="s">
        <v>211</v>
      </c>
      <c r="C11" s="187">
        <v>103.88</v>
      </c>
      <c r="D11" s="188">
        <v>1224.0349899999999</v>
      </c>
      <c r="E11" s="189">
        <v>127152.75476120001</v>
      </c>
      <c r="F11" s="189">
        <v>137859.75476099999</v>
      </c>
      <c r="G11" s="188">
        <v>44286</v>
      </c>
      <c r="H11" s="190">
        <f>$F11/G11</f>
        <v>3.1129421207830914</v>
      </c>
      <c r="I11" s="188">
        <v>46188.492720000002</v>
      </c>
      <c r="J11" s="190">
        <f>$F11/I11</f>
        <v>2.9847207960805693</v>
      </c>
      <c r="K11" s="188">
        <v>11664</v>
      </c>
      <c r="L11" s="190">
        <f t="shared" ref="L11" si="10">$F11/K11</f>
        <v>11.819251951388887</v>
      </c>
      <c r="M11" s="188">
        <v>14351.20924</v>
      </c>
      <c r="N11" s="190">
        <f t="shared" ref="N11" si="11">$F11/M11</f>
        <v>9.6061420647923033</v>
      </c>
      <c r="O11" s="188">
        <v>5618</v>
      </c>
      <c r="P11" s="316">
        <f t="shared" si="2"/>
        <v>4.5897380760332682</v>
      </c>
      <c r="Q11" s="310">
        <f t="shared" si="3"/>
        <v>22.633099815094337</v>
      </c>
      <c r="R11" s="188">
        <v>10189.53961</v>
      </c>
      <c r="S11" s="316">
        <f t="shared" si="4"/>
        <v>8.32454929250021</v>
      </c>
      <c r="T11" s="310">
        <f t="shared" si="5"/>
        <v>12.478753665809634</v>
      </c>
    </row>
    <row r="12" spans="1:20" ht="20" customHeight="1" x14ac:dyDescent="0.45">
      <c r="B12" s="186" t="s">
        <v>212</v>
      </c>
      <c r="C12" s="187">
        <v>27.928515466792401</v>
      </c>
      <c r="D12" s="188">
        <v>1529.498124</v>
      </c>
      <c r="E12" s="189">
        <v>42716.612012563899</v>
      </c>
      <c r="F12" s="189">
        <v>73060.805809837097</v>
      </c>
      <c r="G12" s="188">
        <v>27970.2010283866</v>
      </c>
      <c r="H12" s="190">
        <f>$F12/G12</f>
        <v>2.6120944120383194</v>
      </c>
      <c r="I12" s="188">
        <v>28215.9845337554</v>
      </c>
      <c r="J12" s="190">
        <f>$F12/I12</f>
        <v>2.5893410071313605</v>
      </c>
      <c r="K12" s="188">
        <v>7724.2480322405399</v>
      </c>
      <c r="L12" s="190">
        <f t="shared" ref="L12" si="12">$F12/K12</f>
        <v>9.4586302129198536</v>
      </c>
      <c r="M12" s="188">
        <v>7825.2334193880297</v>
      </c>
      <c r="N12" s="190">
        <f t="shared" ref="N12" si="13">$F12/M12</f>
        <v>9.3365656836279776</v>
      </c>
      <c r="O12" s="188">
        <v>1272.04274746904</v>
      </c>
      <c r="P12" s="316">
        <f t="shared" si="2"/>
        <v>0.83167329695203995</v>
      </c>
      <c r="Q12" s="310">
        <f t="shared" si="3"/>
        <v>33.581113604520304</v>
      </c>
      <c r="R12" s="188">
        <v>1446.4214390792099</v>
      </c>
      <c r="S12" s="316">
        <f t="shared" si="4"/>
        <v>0.94568369609795611</v>
      </c>
      <c r="T12" s="310">
        <f t="shared" si="5"/>
        <v>29.532618128059067</v>
      </c>
    </row>
    <row r="13" spans="1:20" ht="20" customHeight="1" x14ac:dyDescent="0.45">
      <c r="B13" s="196"/>
      <c r="C13" s="196"/>
      <c r="D13" s="196"/>
      <c r="E13" s="182"/>
      <c r="F13" s="182"/>
      <c r="G13" s="182"/>
      <c r="H13" s="197"/>
      <c r="I13" s="182"/>
      <c r="J13" s="197"/>
      <c r="K13" s="182"/>
      <c r="L13" s="197"/>
      <c r="M13" s="182"/>
      <c r="N13" s="197"/>
      <c r="O13" s="182"/>
      <c r="P13" s="318"/>
      <c r="Q13" s="312"/>
      <c r="R13" s="182"/>
      <c r="S13" s="318"/>
      <c r="T13" s="312"/>
    </row>
    <row r="14" spans="1:20" ht="20" customHeight="1" x14ac:dyDescent="0.45">
      <c r="B14" s="196"/>
      <c r="C14" s="196"/>
      <c r="D14" s="196"/>
      <c r="E14" s="182"/>
      <c r="F14" s="182"/>
      <c r="G14" s="182"/>
      <c r="H14" s="197"/>
      <c r="I14" s="182"/>
      <c r="J14" s="197"/>
      <c r="K14" s="182"/>
      <c r="L14" s="197"/>
      <c r="M14" s="182"/>
      <c r="N14" s="197"/>
      <c r="O14" s="182"/>
      <c r="P14" s="318"/>
      <c r="Q14" s="312"/>
      <c r="R14" s="182"/>
      <c r="S14" s="318"/>
      <c r="T14" s="312"/>
    </row>
    <row r="15" spans="1:20" ht="20" customHeight="1" x14ac:dyDescent="0.45">
      <c r="B15" s="196"/>
      <c r="C15" s="180" t="s">
        <v>213</v>
      </c>
      <c r="D15" s="198" t="s">
        <v>214</v>
      </c>
      <c r="E15" s="199">
        <f t="shared" ref="E15" si="14">MIN(E5:E12)</f>
        <v>12226.6827474683</v>
      </c>
      <c r="F15" s="199">
        <f>MIN(F5:F12)</f>
        <v>4108.1967468390003</v>
      </c>
      <c r="G15" s="199">
        <f t="shared" ref="G15:T15" si="15">MIN(G5:G12)</f>
        <v>2751.1</v>
      </c>
      <c r="H15" s="200">
        <f t="shared" si="15"/>
        <v>1.3730799458952512</v>
      </c>
      <c r="I15" s="199">
        <f t="shared" si="15"/>
        <v>2076.8645697173301</v>
      </c>
      <c r="J15" s="200">
        <f t="shared" si="15"/>
        <v>1.9780763785662456</v>
      </c>
      <c r="K15" s="199">
        <f t="shared" si="15"/>
        <v>-3472.7416900763301</v>
      </c>
      <c r="L15" s="200">
        <f t="shared" si="15"/>
        <v>-6.3047146106204632</v>
      </c>
      <c r="M15" s="199">
        <f t="shared" si="15"/>
        <v>-3681.3596073224498</v>
      </c>
      <c r="N15" s="200">
        <f t="shared" si="15"/>
        <v>-4.3654287941439485</v>
      </c>
      <c r="O15" s="199">
        <f t="shared" si="15"/>
        <v>-3292.4475927480903</v>
      </c>
      <c r="P15" s="319">
        <f t="shared" ref="P15" si="16">MIN(P5:P12)</f>
        <v>-8.5159211041579201</v>
      </c>
      <c r="Q15" s="313">
        <f t="shared" si="15"/>
        <v>-33.596027982602259</v>
      </c>
      <c r="R15" s="199">
        <f t="shared" si="15"/>
        <v>-3750.8234313244802</v>
      </c>
      <c r="S15" s="319">
        <f t="shared" ref="S15" si="17">MIN(S5:S12)</f>
        <v>-9.7015109631936589</v>
      </c>
      <c r="T15" s="313">
        <f t="shared" si="15"/>
        <v>-18.511564367953703</v>
      </c>
    </row>
    <row r="16" spans="1:20" ht="20" customHeight="1" x14ac:dyDescent="0.45">
      <c r="B16" s="196"/>
      <c r="C16" s="180" t="s">
        <v>213</v>
      </c>
      <c r="D16" s="201" t="s">
        <v>215</v>
      </c>
      <c r="E16" s="202">
        <f t="shared" ref="E16" si="18">MEDIAN(E5:E12)</f>
        <v>57525.556378385896</v>
      </c>
      <c r="F16" s="202">
        <f>MEDIAN(F5:F12)</f>
        <v>79911.413137077499</v>
      </c>
      <c r="G16" s="202">
        <f t="shared" ref="G16:T16" si="19">MEDIAN(G5:G12)</f>
        <v>32518.178609785653</v>
      </c>
      <c r="H16" s="203">
        <f t="shared" si="19"/>
        <v>2.4898283597816548</v>
      </c>
      <c r="I16" s="202">
        <f t="shared" si="19"/>
        <v>33779.278707700498</v>
      </c>
      <c r="J16" s="203">
        <f t="shared" si="19"/>
        <v>2.7870309016059647</v>
      </c>
      <c r="K16" s="202">
        <f t="shared" si="19"/>
        <v>8772.4210013528991</v>
      </c>
      <c r="L16" s="203">
        <f t="shared" si="19"/>
        <v>9.1466660694082229</v>
      </c>
      <c r="M16" s="202">
        <f t="shared" si="19"/>
        <v>10484.868841791014</v>
      </c>
      <c r="N16" s="203">
        <f t="shared" si="19"/>
        <v>7.9685982710029037</v>
      </c>
      <c r="O16" s="202">
        <f t="shared" si="19"/>
        <v>2379.1088756497752</v>
      </c>
      <c r="P16" s="320">
        <f t="shared" ref="P16" si="20">MEDIAN(P5:P12)</f>
        <v>0.84340415343723563</v>
      </c>
      <c r="Q16" s="314">
        <f t="shared" si="19"/>
        <v>21.691029195696636</v>
      </c>
      <c r="R16" s="202">
        <f t="shared" si="19"/>
        <v>4896.6878560311197</v>
      </c>
      <c r="S16" s="320">
        <f t="shared" ref="S16" si="21">MEDIAN(S5:S12)</f>
        <v>1.4965673949889107</v>
      </c>
      <c r="T16" s="314">
        <f t="shared" si="19"/>
        <v>10.572364553847319</v>
      </c>
    </row>
    <row r="17" spans="2:20" ht="20" customHeight="1" x14ac:dyDescent="0.45">
      <c r="B17" s="196"/>
      <c r="C17" s="180" t="s">
        <v>213</v>
      </c>
      <c r="D17" s="201" t="s">
        <v>216</v>
      </c>
      <c r="E17" s="202">
        <f t="shared" ref="E17" si="22">AVERAGE(E5:E12)</f>
        <v>81492.298347205564</v>
      </c>
      <c r="F17" s="202">
        <f>AVERAGE(F5:F12)</f>
        <v>90725.806795020166</v>
      </c>
      <c r="G17" s="202">
        <f t="shared" ref="G17:T17" si="23">AVERAGE(G5:G12)</f>
        <v>27510.084257778406</v>
      </c>
      <c r="H17" s="203">
        <f t="shared" si="23"/>
        <v>2.7546483040326262</v>
      </c>
      <c r="I17" s="202">
        <f t="shared" si="23"/>
        <v>28743.52156184279</v>
      </c>
      <c r="J17" s="203">
        <f t="shared" si="23"/>
        <v>2.8604907709777283</v>
      </c>
      <c r="K17" s="202">
        <f t="shared" si="23"/>
        <v>6824.1978365196619</v>
      </c>
      <c r="L17" s="203">
        <f t="shared" si="23"/>
        <v>6.193011369997822</v>
      </c>
      <c r="M17" s="202">
        <f t="shared" si="23"/>
        <v>8241.1877317407307</v>
      </c>
      <c r="N17" s="203">
        <f t="shared" si="23"/>
        <v>5.3821390667051148</v>
      </c>
      <c r="O17" s="202">
        <f t="shared" si="23"/>
        <v>2154.7456582954719</v>
      </c>
      <c r="P17" s="320">
        <f t="shared" ref="P17" si="24">AVERAGE(P5:P12)</f>
        <v>-0.13557291311850006</v>
      </c>
      <c r="Q17" s="314">
        <f t="shared" si="23"/>
        <v>12.040874249995662</v>
      </c>
      <c r="R17" s="202">
        <f t="shared" si="23"/>
        <v>4690.2781138472938</v>
      </c>
      <c r="S17" s="320">
        <f t="shared" ref="S17" si="25">AVERAGE(S5:S12)</f>
        <v>0.84064505744942919</v>
      </c>
      <c r="T17" s="314">
        <f t="shared" si="23"/>
        <v>7.5135616936860856</v>
      </c>
    </row>
    <row r="18" spans="2:20" ht="20" customHeight="1" x14ac:dyDescent="0.45">
      <c r="B18" s="196"/>
      <c r="C18" s="180" t="s">
        <v>213</v>
      </c>
      <c r="D18" s="204" t="s">
        <v>217</v>
      </c>
      <c r="E18" s="205">
        <f t="shared" ref="E18" si="26">MAX(E5:E12)</f>
        <v>212171.80240096801</v>
      </c>
      <c r="F18" s="205">
        <f>MAX(F5:F12)</f>
        <v>236050.662323895</v>
      </c>
      <c r="G18" s="205">
        <f t="shared" ref="G18:T18" si="27">MAX(G5:G12)</f>
        <v>49995.090896564798</v>
      </c>
      <c r="H18" s="206">
        <f t="shared" si="27"/>
        <v>4.7214768108385261</v>
      </c>
      <c r="I18" s="205">
        <f t="shared" si="27"/>
        <v>54519.631375938399</v>
      </c>
      <c r="J18" s="206">
        <f t="shared" si="27"/>
        <v>4.3296452372580276</v>
      </c>
      <c r="K18" s="205">
        <f t="shared" si="27"/>
        <v>16242.186706488499</v>
      </c>
      <c r="L18" s="206">
        <f t="shared" si="27"/>
        <v>14.533182421157395</v>
      </c>
      <c r="M18" s="205">
        <f t="shared" si="27"/>
        <v>19299.5805141848</v>
      </c>
      <c r="N18" s="206">
        <f t="shared" si="27"/>
        <v>12.23087010364824</v>
      </c>
      <c r="O18" s="205">
        <f t="shared" si="27"/>
        <v>6510.0037912213702</v>
      </c>
      <c r="P18" s="321">
        <f t="shared" ref="P18" si="28">MAX(P5:P12)</f>
        <v>4.5897380760332682</v>
      </c>
      <c r="Q18" s="315">
        <f t="shared" si="27"/>
        <v>33.581113604520304</v>
      </c>
      <c r="R18" s="205">
        <f t="shared" si="27"/>
        <v>13117.007832346</v>
      </c>
      <c r="S18" s="321">
        <f t="shared" ref="S18" si="29">MAX(S5:S12)</f>
        <v>8.4592719831481489</v>
      </c>
      <c r="T18" s="315">
        <f t="shared" si="27"/>
        <v>29.532618128059067</v>
      </c>
    </row>
    <row r="30" spans="2:20" x14ac:dyDescent="0.45">
      <c r="G30" s="165">
        <v>1000</v>
      </c>
    </row>
  </sheetData>
  <pageMargins left="0.7" right="0.7" top="0.75" bottom="0.75" header="0.3" footer="0.3"/>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C0DB7-F666-4E49-8600-B706F94B637A}">
  <dimension ref="A2:R30"/>
  <sheetViews>
    <sheetView showGridLines="0" topLeftCell="D1" zoomScaleNormal="100" workbookViewId="0"/>
  </sheetViews>
  <sheetFormatPr defaultColWidth="8.796875" defaultRowHeight="13.15" outlineLevelRow="1" x14ac:dyDescent="0.4"/>
  <cols>
    <col min="1" max="1" width="3.6640625" style="98" customWidth="1"/>
    <col min="2" max="2" width="25.6640625" style="98" customWidth="1"/>
    <col min="3" max="3" width="12.6640625" style="98" customWidth="1"/>
    <col min="4" max="4" width="60.6640625" style="98" customWidth="1"/>
    <col min="5" max="10" width="8.796875" style="98"/>
    <col min="11" max="11" width="18.6640625" style="98" bestFit="1" customWidth="1"/>
    <col min="12" max="12" width="11.33203125" style="98" customWidth="1"/>
    <col min="13" max="16384" width="8.796875" style="98"/>
  </cols>
  <sheetData>
    <row r="2" spans="1:18" ht="18" x14ac:dyDescent="0.4">
      <c r="B2" s="99" t="s">
        <v>218</v>
      </c>
      <c r="C2" s="99"/>
      <c r="D2" s="99"/>
      <c r="E2" s="99"/>
      <c r="F2" s="99"/>
      <c r="G2" s="100"/>
      <c r="H2" s="100"/>
      <c r="I2" s="100"/>
      <c r="J2" s="100"/>
      <c r="K2" s="100"/>
      <c r="L2" s="100"/>
      <c r="M2" s="100"/>
    </row>
    <row r="3" spans="1:18" x14ac:dyDescent="0.4">
      <c r="L3" s="114" t="s">
        <v>219</v>
      </c>
    </row>
    <row r="4" spans="1:18" ht="14.25" x14ac:dyDescent="0.4">
      <c r="A4" s="98" t="s">
        <v>14</v>
      </c>
      <c r="B4" s="101" t="s">
        <v>220</v>
      </c>
      <c r="C4" s="102" t="s">
        <v>221</v>
      </c>
      <c r="D4" s="218" t="s">
        <v>222</v>
      </c>
      <c r="E4" s="98" t="s">
        <v>223</v>
      </c>
      <c r="H4" s="114"/>
      <c r="N4" s="305" t="s">
        <v>224</v>
      </c>
      <c r="O4" s="118"/>
      <c r="P4" s="118"/>
      <c r="Q4" s="118"/>
      <c r="R4" s="118"/>
    </row>
    <row r="5" spans="1:18" x14ac:dyDescent="0.4">
      <c r="B5" s="98" t="s">
        <v>225</v>
      </c>
      <c r="C5" s="103">
        <v>4.3499999999999997E-2</v>
      </c>
      <c r="D5" s="104" t="s">
        <v>226</v>
      </c>
      <c r="E5" s="119" t="s">
        <v>227</v>
      </c>
      <c r="M5" s="214">
        <f>$C$19</f>
        <v>8.6676582743786118E-2</v>
      </c>
      <c r="N5" s="306">
        <v>9.7073452861902616E-3</v>
      </c>
      <c r="O5" s="306">
        <f>N5+0.04</f>
        <v>4.9707345286190266E-2</v>
      </c>
      <c r="P5" s="306">
        <f t="shared" ref="P5:R5" si="0">O5+0.04</f>
        <v>8.970734528619026E-2</v>
      </c>
      <c r="Q5" s="306">
        <f t="shared" si="0"/>
        <v>0.12970734528619027</v>
      </c>
      <c r="R5" s="306">
        <f t="shared" si="0"/>
        <v>0.16970734528619028</v>
      </c>
    </row>
    <row r="6" spans="1:18" x14ac:dyDescent="0.4">
      <c r="B6" s="98" t="s">
        <v>228</v>
      </c>
      <c r="C6" s="126">
        <v>1.0049999999999999</v>
      </c>
      <c r="D6" s="104" t="s">
        <v>229</v>
      </c>
      <c r="E6" s="98" t="s">
        <v>230</v>
      </c>
      <c r="J6" s="116"/>
      <c r="K6" s="116"/>
      <c r="L6" s="545" t="s">
        <v>228</v>
      </c>
      <c r="M6" s="307">
        <f t="shared" ref="M6" si="1">M7-0.1</f>
        <v>0.80499999999999994</v>
      </c>
      <c r="N6" s="124">
        <f t="dataTable" ref="N6:R11" dt2D="1" dtr="1" r1="C17" r2="C6"/>
        <v>7.8100648353964519E-2</v>
      </c>
      <c r="O6" s="125">
        <v>7.7046388353964518E-2</v>
      </c>
      <c r="P6" s="125">
        <v>7.5992128353964516E-2</v>
      </c>
      <c r="Q6" s="125">
        <v>7.4937868353964529E-2</v>
      </c>
      <c r="R6" s="125">
        <v>7.3883608353964528E-2</v>
      </c>
    </row>
    <row r="7" spans="1:18" x14ac:dyDescent="0.4">
      <c r="B7" s="98" t="s">
        <v>231</v>
      </c>
      <c r="C7" s="106">
        <v>4.3299999999999998E-2</v>
      </c>
      <c r="D7" s="104" t="s">
        <v>232</v>
      </c>
      <c r="E7" s="119" t="s">
        <v>233</v>
      </c>
      <c r="L7" s="545"/>
      <c r="M7" s="307">
        <f>M8-0.1</f>
        <v>0.90499999999999992</v>
      </c>
      <c r="N7" s="123">
        <v>8.2388615548875319E-2</v>
      </c>
      <c r="O7" s="117">
        <v>8.1161155548875319E-2</v>
      </c>
      <c r="P7" s="117">
        <v>7.9933695548875305E-2</v>
      </c>
      <c r="Q7" s="117">
        <v>7.870623554887532E-2</v>
      </c>
      <c r="R7" s="117">
        <v>7.747877554887532E-2</v>
      </c>
    </row>
    <row r="8" spans="1:18" ht="13.5" thickBot="1" x14ac:dyDescent="0.45">
      <c r="B8" s="107" t="s">
        <v>234</v>
      </c>
      <c r="C8" s="108">
        <f>C5+C6*C7</f>
        <v>8.7016499999999997E-2</v>
      </c>
      <c r="D8" s="109"/>
      <c r="L8" s="545"/>
      <c r="M8" s="307">
        <v>1.0049999999999999</v>
      </c>
      <c r="N8" s="123">
        <v>8.6676582743786118E-2</v>
      </c>
      <c r="O8" s="122">
        <v>8.5275922743786106E-2</v>
      </c>
      <c r="P8" s="122">
        <v>8.3875262743786108E-2</v>
      </c>
      <c r="Q8" s="117">
        <v>8.2474602743786124E-2</v>
      </c>
      <c r="R8" s="117">
        <v>8.1073942743786126E-2</v>
      </c>
    </row>
    <row r="9" spans="1:18" x14ac:dyDescent="0.4">
      <c r="C9" s="105"/>
      <c r="D9" s="104"/>
      <c r="I9" s="115"/>
      <c r="L9" s="545"/>
      <c r="M9" s="307">
        <f>M8+0.1</f>
        <v>1.105</v>
      </c>
      <c r="N9" s="123">
        <v>9.0964549938696918E-2</v>
      </c>
      <c r="O9" s="122">
        <v>8.9390689938696907E-2</v>
      </c>
      <c r="P9" s="122">
        <v>8.7816829938696911E-2</v>
      </c>
      <c r="Q9" s="117">
        <v>8.6242969938696915E-2</v>
      </c>
      <c r="R9" s="117">
        <v>8.4669109938696918E-2</v>
      </c>
    </row>
    <row r="10" spans="1:18" ht="13.5" customHeight="1" outlineLevel="1" x14ac:dyDescent="0.4">
      <c r="B10" s="98" t="s">
        <v>235</v>
      </c>
      <c r="C10" s="110">
        <f>-'BionTech Adjusted'!K14/SUM('BionTech Adjusted'!K57,'BionTech Adjusted'!K64)</f>
        <v>0.10908261068005476</v>
      </c>
      <c r="D10" s="104"/>
      <c r="L10" s="545"/>
      <c r="M10" s="307">
        <f t="shared" ref="M10:M11" si="2">M9+0.1</f>
        <v>1.2050000000000001</v>
      </c>
      <c r="N10" s="123">
        <v>9.5252517133607717E-2</v>
      </c>
      <c r="O10" s="122">
        <v>9.3505457133607708E-2</v>
      </c>
      <c r="P10" s="122">
        <v>9.17583971336077E-2</v>
      </c>
      <c r="Q10" s="117">
        <v>9.0011337133607705E-2</v>
      </c>
      <c r="R10" s="117">
        <v>8.826427713360771E-2</v>
      </c>
    </row>
    <row r="11" spans="1:18" x14ac:dyDescent="0.4">
      <c r="B11" s="98" t="s">
        <v>236</v>
      </c>
      <c r="C11" s="106">
        <f>5.2%/(1-C12)</f>
        <v>7.4285714285714302E-2</v>
      </c>
      <c r="D11" s="104" t="s">
        <v>237</v>
      </c>
      <c r="E11" s="98" t="s">
        <v>238</v>
      </c>
      <c r="L11" s="545"/>
      <c r="M11" s="307">
        <f t="shared" si="2"/>
        <v>1.3050000000000002</v>
      </c>
      <c r="N11" s="123">
        <v>9.9540484328518503E-2</v>
      </c>
      <c r="O11" s="117">
        <v>9.762022432851851E-2</v>
      </c>
      <c r="P11" s="117">
        <v>9.5699964328518503E-2</v>
      </c>
      <c r="Q11" s="117">
        <v>9.3779704328518509E-2</v>
      </c>
      <c r="R11" s="117">
        <v>9.1859444328518516E-2</v>
      </c>
    </row>
    <row r="12" spans="1:18" x14ac:dyDescent="0.4">
      <c r="B12" s="98" t="s">
        <v>239</v>
      </c>
      <c r="C12" s="106">
        <v>0.3</v>
      </c>
      <c r="D12" s="104" t="s">
        <v>240</v>
      </c>
      <c r="E12" s="119" t="s">
        <v>241</v>
      </c>
    </row>
    <row r="13" spans="1:18" ht="13.5" thickBot="1" x14ac:dyDescent="0.45">
      <c r="B13" s="107" t="s">
        <v>242</v>
      </c>
      <c r="C13" s="213">
        <f>C11*(1-C12)</f>
        <v>5.2000000000000011E-2</v>
      </c>
      <c r="D13" s="109"/>
    </row>
    <row r="14" spans="1:18" x14ac:dyDescent="0.4">
      <c r="C14" s="105"/>
      <c r="D14" s="104"/>
    </row>
    <row r="15" spans="1:18" ht="13.5" customHeight="1" outlineLevel="1" x14ac:dyDescent="0.4">
      <c r="B15" s="98" t="s">
        <v>243</v>
      </c>
      <c r="C15" s="120">
        <f>'BionTech Adjusted'!K57+'BionTech Adjusted'!K64</f>
        <v>219.1</v>
      </c>
      <c r="D15" s="104"/>
      <c r="E15" s="98" t="s">
        <v>244</v>
      </c>
    </row>
    <row r="16" spans="1:18" ht="13.5" customHeight="1" outlineLevel="1" x14ac:dyDescent="0.4">
      <c r="B16" s="98" t="s">
        <v>245</v>
      </c>
      <c r="C16" s="121">
        <f>'Public comps'!E5</f>
        <v>22351.437416825302</v>
      </c>
      <c r="D16" s="104"/>
      <c r="E16" s="98" t="s">
        <v>246</v>
      </c>
    </row>
    <row r="17" spans="2:18" x14ac:dyDescent="0.4">
      <c r="B17" s="98" t="s">
        <v>224</v>
      </c>
      <c r="C17" s="103">
        <f>C15/SUM(C15:C16)</f>
        <v>9.7073452861902616E-3</v>
      </c>
      <c r="D17" s="543" t="s">
        <v>247</v>
      </c>
    </row>
    <row r="18" spans="2:18" x14ac:dyDescent="0.4">
      <c r="B18" s="98" t="s">
        <v>248</v>
      </c>
      <c r="C18" s="103">
        <f>1-C17</f>
        <v>0.99029265471380978</v>
      </c>
      <c r="D18" s="543"/>
    </row>
    <row r="19" spans="2:18" ht="13.5" thickBot="1" x14ac:dyDescent="0.45">
      <c r="B19" s="111" t="s">
        <v>89</v>
      </c>
      <c r="C19" s="112">
        <f>C17*C13+C8*C18</f>
        <v>8.6676582743786118E-2</v>
      </c>
      <c r="D19" s="113"/>
    </row>
    <row r="20" spans="2:18" ht="13.5" thickTop="1" x14ac:dyDescent="0.4"/>
    <row r="23" spans="2:18" x14ac:dyDescent="0.4">
      <c r="L23" s="114" t="s">
        <v>249</v>
      </c>
    </row>
    <row r="24" spans="2:18" x14ac:dyDescent="0.4">
      <c r="N24" s="305" t="s">
        <v>224</v>
      </c>
      <c r="O24" s="118"/>
      <c r="P24" s="118"/>
      <c r="Q24" s="118"/>
      <c r="R24" s="118"/>
    </row>
    <row r="25" spans="2:18" x14ac:dyDescent="0.4">
      <c r="M25" s="214">
        <f>C19</f>
        <v>8.6676582743786118E-2</v>
      </c>
      <c r="N25" s="306">
        <v>9.7073452861902616E-3</v>
      </c>
      <c r="O25" s="306">
        <f>N25+0.04</f>
        <v>4.9707345286190266E-2</v>
      </c>
      <c r="P25" s="306">
        <f>O25+0.04</f>
        <v>8.970734528619026E-2</v>
      </c>
      <c r="Q25" s="306">
        <f>P25+0.04</f>
        <v>0.12970734528619027</v>
      </c>
      <c r="R25" s="306">
        <f>Q25+0.04</f>
        <v>0.16970734528619028</v>
      </c>
    </row>
    <row r="26" spans="2:18" ht="13.5" customHeight="1" x14ac:dyDescent="0.4">
      <c r="L26" s="544" t="s">
        <v>250</v>
      </c>
      <c r="M26" s="307">
        <f>M27-0.02</f>
        <v>3.4285714285714294E-2</v>
      </c>
      <c r="N26" s="124">
        <f t="dataTable" ref="N26:R30" dt2D="1" dtr="1" r1="C17" r2="C11" ca="1"/>
        <v>8.6404777075772793E-2</v>
      </c>
      <c r="O26" s="125">
        <v>8.3884117075772785E-2</v>
      </c>
      <c r="P26" s="125">
        <v>8.1363457075772791E-2</v>
      </c>
      <c r="Q26" s="125">
        <v>7.8842797075772797E-2</v>
      </c>
      <c r="R26" s="125">
        <v>7.6322137075772789E-2</v>
      </c>
    </row>
    <row r="27" spans="2:18" x14ac:dyDescent="0.4">
      <c r="L27" s="545"/>
      <c r="M27" s="307">
        <f>M28-0.02</f>
        <v>5.4285714285714298E-2</v>
      </c>
      <c r="N27" s="123">
        <v>8.6540679909779455E-2</v>
      </c>
      <c r="O27" s="212">
        <v>8.4580019909779453E-2</v>
      </c>
      <c r="P27" s="212">
        <v>8.261935990977945E-2</v>
      </c>
      <c r="Q27" s="212">
        <v>8.0658699909779447E-2</v>
      </c>
      <c r="R27" s="212">
        <v>7.8698039909779458E-2</v>
      </c>
    </row>
    <row r="28" spans="2:18" x14ac:dyDescent="0.4">
      <c r="L28" s="545"/>
      <c r="M28" s="307">
        <v>7.4285714285714302E-2</v>
      </c>
      <c r="N28" s="123">
        <v>8.6676582743786118E-2</v>
      </c>
      <c r="O28" s="212">
        <v>8.5275922743786106E-2</v>
      </c>
      <c r="P28" s="212">
        <v>8.3875262743786108E-2</v>
      </c>
      <c r="Q28" s="212">
        <v>8.2474602743786124E-2</v>
      </c>
      <c r="R28" s="212">
        <v>8.1073942743786126E-2</v>
      </c>
    </row>
    <row r="29" spans="2:18" x14ac:dyDescent="0.4">
      <c r="L29" s="545"/>
      <c r="M29" s="307">
        <f>M28+0.02</f>
        <v>9.4285714285714306E-2</v>
      </c>
      <c r="N29" s="123">
        <v>8.6812485577792781E-2</v>
      </c>
      <c r="O29" s="212">
        <v>8.5971825577792774E-2</v>
      </c>
      <c r="P29" s="212">
        <v>8.5131165577792781E-2</v>
      </c>
      <c r="Q29" s="212">
        <v>8.4290505577792774E-2</v>
      </c>
      <c r="R29" s="212">
        <v>8.3449845577792781E-2</v>
      </c>
    </row>
    <row r="30" spans="2:18" x14ac:dyDescent="0.4">
      <c r="L30" s="545"/>
      <c r="M30" s="307">
        <f>M29+0.02</f>
        <v>0.11428571428571431</v>
      </c>
      <c r="N30" s="123">
        <v>8.6948388411799443E-2</v>
      </c>
      <c r="O30" s="212">
        <v>8.6667728411799441E-2</v>
      </c>
      <c r="P30" s="212">
        <v>8.6387068411799439E-2</v>
      </c>
      <c r="Q30" s="212">
        <v>8.6106408411799451E-2</v>
      </c>
      <c r="R30" s="212">
        <v>8.5825748411799449E-2</v>
      </c>
    </row>
  </sheetData>
  <mergeCells count="3">
    <mergeCell ref="D17:D18"/>
    <mergeCell ref="L26:L30"/>
    <mergeCell ref="L6:L11"/>
  </mergeCells>
  <hyperlinks>
    <hyperlink ref="E7" r:id="rId1" xr:uid="{A2710B9D-79C3-47F4-8799-392D06CFBE5E}"/>
    <hyperlink ref="E5" r:id="rId2" xr:uid="{7C682967-69E7-44DE-AE57-7B09995A9026}"/>
    <hyperlink ref="E6" r:id="rId3" display="https://finance.yahoo.com/quote/BNTX/" xr:uid="{6E2DECA8-A5A4-4806-97C8-CC3752FEEAF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74E05-0587-4854-A7BB-5FA081996E43}">
  <sheetPr>
    <tabColor theme="3" tint="-0.499984740745262"/>
  </sheetPr>
  <dimension ref="A1"/>
  <sheetViews>
    <sheetView workbookViewId="0"/>
  </sheetViews>
  <sheetFormatPr defaultColWidth="8.6640625" defaultRowHeight="12.75"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EF589-1568-41A4-BAEF-99633AD10404}">
  <dimension ref="A2:AU146"/>
  <sheetViews>
    <sheetView showGridLines="0" zoomScale="75" zoomScaleNormal="100" workbookViewId="0">
      <pane xSplit="2" ySplit="2" topLeftCell="R78" activePane="bottomRight" state="frozen"/>
      <selection pane="topRight" activeCell="C1" sqref="C1"/>
      <selection pane="bottomLeft" activeCell="A3" sqref="A3"/>
      <selection pane="bottomRight" activeCell="E78" sqref="E78"/>
    </sheetView>
  </sheetViews>
  <sheetFormatPr defaultColWidth="9.1328125" defaultRowHeight="14.25" outlineLevelRow="1" outlineLevelCol="1" x14ac:dyDescent="0.45"/>
  <cols>
    <col min="1" max="1" width="3.33203125" style="24" customWidth="1"/>
    <col min="2" max="2" width="38.33203125" style="24" customWidth="1"/>
    <col min="3" max="4" width="10" style="24" customWidth="1" outlineLevel="1"/>
    <col min="5" max="10" width="10" style="24" bestFit="1" customWidth="1"/>
    <col min="11" max="17" width="9.33203125" style="24" bestFit="1" customWidth="1"/>
    <col min="18" max="18" width="9.1328125" style="24"/>
    <col min="19" max="31" width="9.33203125" style="24" bestFit="1" customWidth="1"/>
    <col min="32" max="32" width="9.1328125" style="24"/>
    <col min="33" max="38" width="10.1328125" style="24" bestFit="1" customWidth="1"/>
    <col min="39" max="42" width="9.6640625" style="24" bestFit="1" customWidth="1"/>
    <col min="43" max="45" width="9.33203125" style="24" bestFit="1" customWidth="1"/>
    <col min="46" max="16384" width="9.1328125" style="24"/>
  </cols>
  <sheetData>
    <row r="2" spans="1:45" x14ac:dyDescent="0.45">
      <c r="B2" s="26"/>
      <c r="C2" s="21">
        <v>2015</v>
      </c>
      <c r="D2" s="21">
        <v>2016</v>
      </c>
      <c r="E2" s="21">
        <v>2017</v>
      </c>
      <c r="F2" s="21">
        <f t="shared" ref="F2:Q2" si="0">E2+1</f>
        <v>2018</v>
      </c>
      <c r="G2" s="21">
        <f t="shared" si="0"/>
        <v>2019</v>
      </c>
      <c r="H2" s="21">
        <f t="shared" si="0"/>
        <v>2020</v>
      </c>
      <c r="I2" s="21">
        <f t="shared" si="0"/>
        <v>2021</v>
      </c>
      <c r="J2" s="21">
        <f t="shared" si="0"/>
        <v>2022</v>
      </c>
      <c r="K2" s="21">
        <f t="shared" si="0"/>
        <v>2023</v>
      </c>
      <c r="L2" s="22">
        <f t="shared" si="0"/>
        <v>2024</v>
      </c>
      <c r="M2" s="22">
        <f t="shared" si="0"/>
        <v>2025</v>
      </c>
      <c r="N2" s="22">
        <f t="shared" si="0"/>
        <v>2026</v>
      </c>
      <c r="O2" s="22">
        <f t="shared" si="0"/>
        <v>2027</v>
      </c>
      <c r="P2" s="22">
        <f t="shared" si="0"/>
        <v>2028</v>
      </c>
      <c r="Q2" s="22">
        <f t="shared" si="0"/>
        <v>2029</v>
      </c>
      <c r="S2" s="21">
        <v>2017</v>
      </c>
      <c r="T2" s="21">
        <f>S2+1</f>
        <v>2018</v>
      </c>
      <c r="U2" s="21">
        <f t="shared" ref="U2:AE2" si="1">T2+1</f>
        <v>2019</v>
      </c>
      <c r="V2" s="21">
        <f t="shared" si="1"/>
        <v>2020</v>
      </c>
      <c r="W2" s="21">
        <f t="shared" si="1"/>
        <v>2021</v>
      </c>
      <c r="X2" s="21">
        <f t="shared" si="1"/>
        <v>2022</v>
      </c>
      <c r="Y2" s="21">
        <f t="shared" si="1"/>
        <v>2023</v>
      </c>
      <c r="Z2" s="22">
        <f t="shared" si="1"/>
        <v>2024</v>
      </c>
      <c r="AA2" s="22">
        <f t="shared" si="1"/>
        <v>2025</v>
      </c>
      <c r="AB2" s="22">
        <f t="shared" si="1"/>
        <v>2026</v>
      </c>
      <c r="AC2" s="22">
        <f t="shared" si="1"/>
        <v>2027</v>
      </c>
      <c r="AD2" s="22">
        <f t="shared" si="1"/>
        <v>2028</v>
      </c>
      <c r="AE2" s="22">
        <f t="shared" si="1"/>
        <v>2029</v>
      </c>
      <c r="AG2" s="21">
        <v>2017</v>
      </c>
      <c r="AH2" s="21">
        <f t="shared" ref="AH2:AS2" si="2">AG2+1</f>
        <v>2018</v>
      </c>
      <c r="AI2" s="21">
        <f t="shared" si="2"/>
        <v>2019</v>
      </c>
      <c r="AJ2" s="21">
        <f t="shared" si="2"/>
        <v>2020</v>
      </c>
      <c r="AK2" s="21">
        <f t="shared" si="2"/>
        <v>2021</v>
      </c>
      <c r="AL2" s="21">
        <f t="shared" si="2"/>
        <v>2022</v>
      </c>
      <c r="AM2" s="21">
        <f t="shared" si="2"/>
        <v>2023</v>
      </c>
      <c r="AN2" s="22">
        <f t="shared" si="2"/>
        <v>2024</v>
      </c>
      <c r="AO2" s="22">
        <f t="shared" si="2"/>
        <v>2025</v>
      </c>
      <c r="AP2" s="22">
        <f t="shared" si="2"/>
        <v>2026</v>
      </c>
      <c r="AQ2" s="22">
        <f t="shared" si="2"/>
        <v>2027</v>
      </c>
      <c r="AR2" s="22">
        <f t="shared" si="2"/>
        <v>2028</v>
      </c>
      <c r="AS2" s="22">
        <f t="shared" si="2"/>
        <v>2029</v>
      </c>
    </row>
    <row r="3" spans="1:45" outlineLevel="1" x14ac:dyDescent="0.45">
      <c r="B3" s="24" t="s">
        <v>251</v>
      </c>
      <c r="C3" s="14"/>
      <c r="D3" s="14">
        <v>0.05</v>
      </c>
      <c r="E3" s="14">
        <v>0.05</v>
      </c>
      <c r="F3" s="14">
        <v>0.05</v>
      </c>
      <c r="G3" s="14">
        <v>0.05</v>
      </c>
      <c r="H3" s="14">
        <v>0.05</v>
      </c>
      <c r="I3" s="14">
        <v>0.05</v>
      </c>
      <c r="J3" s="14">
        <v>0.05</v>
      </c>
      <c r="K3" s="14">
        <v>0.05</v>
      </c>
      <c r="L3" s="14">
        <v>0.05</v>
      </c>
      <c r="M3" s="14">
        <v>0.05</v>
      </c>
      <c r="N3" s="14">
        <v>0.05</v>
      </c>
      <c r="O3" s="14">
        <v>0.05</v>
      </c>
      <c r="P3" s="14">
        <v>0.05</v>
      </c>
      <c r="Q3" s="14">
        <v>0.05</v>
      </c>
      <c r="AG3" s="24">
        <f t="shared" ref="AG3:AS3" si="3">E3</f>
        <v>0.05</v>
      </c>
      <c r="AH3" s="24">
        <f t="shared" si="3"/>
        <v>0.05</v>
      </c>
      <c r="AI3" s="24">
        <f t="shared" si="3"/>
        <v>0.05</v>
      </c>
      <c r="AJ3" s="24">
        <f t="shared" si="3"/>
        <v>0.05</v>
      </c>
      <c r="AK3" s="24">
        <f t="shared" si="3"/>
        <v>0.05</v>
      </c>
      <c r="AL3" s="24">
        <f t="shared" si="3"/>
        <v>0.05</v>
      </c>
      <c r="AM3" s="24">
        <f t="shared" si="3"/>
        <v>0.05</v>
      </c>
      <c r="AN3" s="24">
        <f t="shared" si="3"/>
        <v>0.05</v>
      </c>
      <c r="AO3" s="24">
        <f t="shared" si="3"/>
        <v>0.05</v>
      </c>
      <c r="AP3" s="24">
        <f t="shared" si="3"/>
        <v>0.05</v>
      </c>
      <c r="AQ3" s="24">
        <f t="shared" si="3"/>
        <v>0.05</v>
      </c>
      <c r="AR3" s="24">
        <f t="shared" si="3"/>
        <v>0.05</v>
      </c>
      <c r="AS3" s="24">
        <f t="shared" si="3"/>
        <v>0.05</v>
      </c>
    </row>
    <row r="4" spans="1:45" outlineLevel="1" x14ac:dyDescent="0.45">
      <c r="B4" s="538" t="s">
        <v>86</v>
      </c>
      <c r="C4" s="539"/>
      <c r="D4" s="539">
        <v>0.31</v>
      </c>
      <c r="E4" s="14">
        <f>-E16/E10</f>
        <v>-7.3435817095858242E-4</v>
      </c>
      <c r="F4" s="14">
        <f t="shared" ref="F4:K4" si="4">-F16/F10</f>
        <v>-1.1141233705945705E-2</v>
      </c>
      <c r="G4" s="14">
        <f t="shared" si="4"/>
        <v>1.1019283746556475E-3</v>
      </c>
      <c r="H4" s="14">
        <f t="shared" si="4"/>
        <v>1.953883495145633</v>
      </c>
      <c r="I4" s="14">
        <f t="shared" si="4"/>
        <v>0.31104175663120426</v>
      </c>
      <c r="J4" s="14">
        <f t="shared" si="4"/>
        <v>0.278397810594256</v>
      </c>
      <c r="K4" s="14">
        <f t="shared" si="4"/>
        <v>0.37050984936268827</v>
      </c>
    </row>
    <row r="5" spans="1:45" outlineLevel="1" x14ac:dyDescent="0.45"/>
    <row r="6" spans="1:45" ht="14.65" outlineLevel="1" thickBot="1" x14ac:dyDescent="0.5">
      <c r="B6" s="41"/>
      <c r="C6" s="41"/>
      <c r="D6" s="41"/>
      <c r="E6" s="41"/>
      <c r="F6" s="41"/>
      <c r="G6" s="41"/>
      <c r="H6" s="41"/>
      <c r="I6" s="41"/>
      <c r="J6" s="41"/>
      <c r="K6" s="41"/>
      <c r="L6" s="41"/>
      <c r="M6" s="41"/>
      <c r="N6" s="41"/>
      <c r="O6" s="41"/>
      <c r="P6" s="41"/>
      <c r="Q6" s="41"/>
      <c r="S6" s="41"/>
      <c r="T6" s="41"/>
      <c r="U6" s="41"/>
      <c r="V6" s="41"/>
      <c r="W6" s="41"/>
      <c r="X6" s="41"/>
      <c r="Y6" s="41"/>
      <c r="Z6" s="41"/>
      <c r="AA6" s="41"/>
      <c r="AB6" s="41"/>
      <c r="AC6" s="41"/>
      <c r="AD6" s="41"/>
      <c r="AE6" s="41"/>
      <c r="AG6" s="41"/>
      <c r="AH6" s="41"/>
      <c r="AI6" s="41"/>
      <c r="AJ6" s="41"/>
      <c r="AK6" s="41"/>
      <c r="AL6" s="41"/>
      <c r="AM6" s="41"/>
      <c r="AN6" s="41"/>
      <c r="AO6" s="41"/>
      <c r="AP6" s="41"/>
      <c r="AQ6" s="41"/>
      <c r="AR6" s="41"/>
      <c r="AS6" s="41"/>
    </row>
    <row r="7" spans="1:45" ht="14.65" outlineLevel="1" collapsed="1" thickTop="1" x14ac:dyDescent="0.45">
      <c r="A7" s="24" t="s">
        <v>14</v>
      </c>
      <c r="B7" s="42" t="s">
        <v>252</v>
      </c>
      <c r="C7" s="54"/>
      <c r="D7" s="54"/>
      <c r="E7" s="54"/>
      <c r="F7" s="54"/>
      <c r="G7" s="54"/>
      <c r="H7" s="54"/>
      <c r="I7" s="54"/>
      <c r="J7" s="54"/>
      <c r="K7" s="54"/>
      <c r="L7" s="54"/>
      <c r="M7" s="54"/>
      <c r="N7" s="54"/>
      <c r="O7" s="54"/>
      <c r="P7" s="54"/>
      <c r="Q7" s="54"/>
      <c r="S7" s="54"/>
      <c r="T7" s="54"/>
      <c r="U7" s="54"/>
      <c r="V7" s="54"/>
      <c r="W7" s="54"/>
      <c r="X7" s="54"/>
      <c r="Y7" s="54"/>
      <c r="Z7" s="54"/>
      <c r="AA7" s="54"/>
      <c r="AB7" s="54"/>
      <c r="AC7" s="54"/>
      <c r="AD7" s="54"/>
      <c r="AE7" s="54"/>
      <c r="AG7" s="54"/>
      <c r="AH7" s="54"/>
      <c r="AI7" s="54"/>
      <c r="AJ7" s="54"/>
      <c r="AK7" s="54"/>
      <c r="AL7" s="54"/>
      <c r="AM7" s="54"/>
      <c r="AN7" s="54"/>
      <c r="AO7" s="54"/>
      <c r="AP7" s="54"/>
      <c r="AQ7" s="54"/>
      <c r="AR7" s="54"/>
      <c r="AS7" s="54"/>
    </row>
    <row r="8" spans="1:45" outlineLevel="1" x14ac:dyDescent="0.45">
      <c r="B8" s="42" t="s">
        <v>96</v>
      </c>
      <c r="C8" s="23"/>
      <c r="D8" s="23"/>
      <c r="E8" s="23">
        <f>'BionTech Standardized'!E5</f>
        <v>61.597999999999999</v>
      </c>
      <c r="F8" s="23">
        <f>'BionTech Standardized'!F5</f>
        <v>127.575</v>
      </c>
      <c r="G8" s="23">
        <f>'BionTech Standardized'!G5</f>
        <v>108.60000000000001</v>
      </c>
      <c r="H8" s="23">
        <f>'BionTech Standardized'!H5</f>
        <v>482.3</v>
      </c>
      <c r="I8" s="23">
        <f>'BionTech Standardized'!I5</f>
        <v>18976.7</v>
      </c>
      <c r="J8" s="23">
        <f>'BionTech Standardized'!J5</f>
        <v>17310.599999999999</v>
      </c>
      <c r="K8" s="23">
        <f>'BionTech Standardized'!K5</f>
        <v>3819</v>
      </c>
      <c r="L8" s="23"/>
      <c r="M8" s="23"/>
      <c r="N8" s="23"/>
      <c r="O8" s="23"/>
      <c r="P8" s="23"/>
      <c r="Q8" s="23"/>
      <c r="S8" s="23"/>
      <c r="T8" s="23"/>
      <c r="U8" s="23"/>
      <c r="V8" s="23"/>
      <c r="W8" s="23"/>
      <c r="X8" s="23"/>
      <c r="Y8" s="23"/>
      <c r="Z8" s="23"/>
      <c r="AA8" s="23"/>
      <c r="AB8" s="23"/>
      <c r="AC8" s="23"/>
      <c r="AD8" s="23"/>
      <c r="AE8" s="23"/>
      <c r="AG8" s="23">
        <f>E8+S8</f>
        <v>61.597999999999999</v>
      </c>
      <c r="AH8" s="23">
        <f t="shared" ref="AH8:AH20" si="5">F8+T8</f>
        <v>127.575</v>
      </c>
      <c r="AI8" s="23">
        <f t="shared" ref="AI8:AI20" si="6">G8+U8</f>
        <v>108.60000000000001</v>
      </c>
      <c r="AJ8" s="23">
        <f t="shared" ref="AJ8:AJ20" si="7">H8+V8</f>
        <v>482.3</v>
      </c>
      <c r="AK8" s="23">
        <f t="shared" ref="AK8:AK20" si="8">I8+W8</f>
        <v>18976.7</v>
      </c>
      <c r="AL8" s="23">
        <f t="shared" ref="AL8:AL20" si="9">J8+X8</f>
        <v>17310.599999999999</v>
      </c>
      <c r="AM8" s="23">
        <f t="shared" ref="AM8:AM20" si="10">K8+Y8</f>
        <v>3819</v>
      </c>
      <c r="AN8" s="23">
        <f>'Revenue forecasts'!C46</f>
        <v>2800</v>
      </c>
      <c r="AO8" s="23">
        <f>'Revenue forecasts'!D46</f>
        <v>2250</v>
      </c>
      <c r="AP8" s="23">
        <f>'Revenue forecasts'!E46</f>
        <v>2177.5</v>
      </c>
      <c r="AQ8" s="23">
        <f>'Revenue forecasts'!F46</f>
        <v>1991.85</v>
      </c>
      <c r="AR8" s="23">
        <f>'Revenue forecasts'!G46</f>
        <v>2055.9250000000002</v>
      </c>
      <c r="AS8" s="23">
        <f>'Revenue forecasts'!H46</f>
        <v>2255.9250000000002</v>
      </c>
    </row>
    <row r="9" spans="1:45" outlineLevel="1" x14ac:dyDescent="0.45">
      <c r="B9" s="24" t="s">
        <v>253</v>
      </c>
      <c r="C9" s="25"/>
      <c r="D9" s="25"/>
      <c r="E9" s="25">
        <f>SUM('BionTech Standardized'!E6:E10)</f>
        <v>-122.87599999999998</v>
      </c>
      <c r="F9" s="27">
        <f>SUM('BionTech Standardized'!F6:F10)</f>
        <v>-181.429</v>
      </c>
      <c r="G9" s="27">
        <f>SUM('BionTech Standardized'!G6:G10)</f>
        <v>-290.10000000000002</v>
      </c>
      <c r="H9" s="27">
        <f>SUM('BionTech Standardized'!H6:H10)</f>
        <v>-564.69999999999993</v>
      </c>
      <c r="I9" s="27">
        <f>SUM('BionTech Standardized'!I6:I10)</f>
        <v>-3692.8999999999996</v>
      </c>
      <c r="J9" s="27">
        <f>SUM('BionTech Standardized'!J6:J10)</f>
        <v>-4667.8999999999996</v>
      </c>
      <c r="K9" s="27">
        <f>SUM('BionTech Standardized'!K6:K10)</f>
        <v>-3128.6</v>
      </c>
      <c r="L9" s="27"/>
      <c r="M9" s="27"/>
      <c r="N9" s="27"/>
      <c r="O9" s="27"/>
      <c r="P9" s="27"/>
      <c r="Q9" s="27"/>
      <c r="T9" s="27"/>
      <c r="U9" s="27"/>
      <c r="V9" s="27"/>
      <c r="W9" s="27"/>
      <c r="X9" s="27"/>
      <c r="Y9" s="27"/>
      <c r="Z9" s="27"/>
      <c r="AA9" s="27"/>
      <c r="AB9" s="27"/>
      <c r="AC9" s="27"/>
      <c r="AD9" s="27"/>
      <c r="AE9" s="27"/>
      <c r="AG9" s="27">
        <f>E9+S9</f>
        <v>-122.87599999999998</v>
      </c>
      <c r="AH9" s="27">
        <f t="shared" si="5"/>
        <v>-181.429</v>
      </c>
      <c r="AI9" s="27">
        <f t="shared" si="6"/>
        <v>-290.10000000000002</v>
      </c>
      <c r="AJ9" s="27">
        <f t="shared" si="7"/>
        <v>-564.69999999999993</v>
      </c>
      <c r="AK9" s="27">
        <f t="shared" si="8"/>
        <v>-3692.8999999999996</v>
      </c>
      <c r="AL9" s="27">
        <f t="shared" si="9"/>
        <v>-4667.8999999999996</v>
      </c>
      <c r="AM9" s="27">
        <f t="shared" si="10"/>
        <v>-3128.6</v>
      </c>
      <c r="AN9" s="27">
        <f t="shared" ref="AN9:AN20" si="11">L9+Z9</f>
        <v>0</v>
      </c>
      <c r="AO9" s="27">
        <f t="shared" ref="AO9:AO20" si="12">M9+AA9</f>
        <v>0</v>
      </c>
      <c r="AP9" s="27">
        <f t="shared" ref="AP9:AP20" si="13">N9+AB9</f>
        <v>0</v>
      </c>
      <c r="AQ9" s="27">
        <f t="shared" ref="AQ9:AQ20" si="14">O9+AC9</f>
        <v>0</v>
      </c>
      <c r="AR9" s="27">
        <f t="shared" ref="AR9:AR20" si="15">P9+AD9</f>
        <v>0</v>
      </c>
      <c r="AS9" s="27">
        <f t="shared" ref="AS9:AS20" si="16">Q9+AE9</f>
        <v>0</v>
      </c>
    </row>
    <row r="10" spans="1:45" s="26" customFormat="1" outlineLevel="1" x14ac:dyDescent="0.45">
      <c r="B10" s="36" t="s">
        <v>254</v>
      </c>
      <c r="C10" s="30"/>
      <c r="D10" s="30"/>
      <c r="E10" s="30">
        <f t="shared" ref="E10:K10" si="17">SUM(E8:E9)</f>
        <v>-61.277999999999977</v>
      </c>
      <c r="F10" s="26">
        <f t="shared" si="17"/>
        <v>-53.853999999999999</v>
      </c>
      <c r="G10" s="26">
        <f t="shared" si="17"/>
        <v>-181.5</v>
      </c>
      <c r="H10" s="26">
        <f t="shared" si="17"/>
        <v>-82.39999999999992</v>
      </c>
      <c r="I10" s="26">
        <f t="shared" si="17"/>
        <v>15283.800000000001</v>
      </c>
      <c r="J10" s="26">
        <f t="shared" si="17"/>
        <v>12642.699999999999</v>
      </c>
      <c r="K10" s="26">
        <f t="shared" si="17"/>
        <v>690.40000000000009</v>
      </c>
      <c r="S10" s="30">
        <f t="shared" ref="S10:AE10" si="18">SUM(S8:S9)</f>
        <v>0</v>
      </c>
      <c r="T10" s="30">
        <f t="shared" si="18"/>
        <v>0</v>
      </c>
      <c r="U10" s="30">
        <f t="shared" si="18"/>
        <v>0</v>
      </c>
      <c r="V10" s="30">
        <f t="shared" si="18"/>
        <v>0</v>
      </c>
      <c r="W10" s="30">
        <f t="shared" si="18"/>
        <v>0</v>
      </c>
      <c r="X10" s="30">
        <f t="shared" si="18"/>
        <v>0</v>
      </c>
      <c r="Y10" s="30">
        <f t="shared" si="18"/>
        <v>0</v>
      </c>
      <c r="Z10" s="30">
        <f t="shared" si="18"/>
        <v>0</v>
      </c>
      <c r="AA10" s="30">
        <f t="shared" si="18"/>
        <v>0</v>
      </c>
      <c r="AB10" s="30">
        <f t="shared" si="18"/>
        <v>0</v>
      </c>
      <c r="AC10" s="30">
        <f t="shared" si="18"/>
        <v>0</v>
      </c>
      <c r="AD10" s="30">
        <f t="shared" si="18"/>
        <v>0</v>
      </c>
      <c r="AE10" s="30">
        <f t="shared" si="18"/>
        <v>0</v>
      </c>
      <c r="AG10" s="26">
        <f t="shared" ref="AG10:AS10" si="19">SUM(AG8:AG9)</f>
        <v>-61.277999999999977</v>
      </c>
      <c r="AH10" s="26">
        <f t="shared" si="19"/>
        <v>-53.853999999999999</v>
      </c>
      <c r="AI10" s="26">
        <f t="shared" si="19"/>
        <v>-181.5</v>
      </c>
      <c r="AJ10" s="26">
        <f t="shared" si="19"/>
        <v>-82.39999999999992</v>
      </c>
      <c r="AK10" s="26">
        <f t="shared" si="19"/>
        <v>15283.800000000001</v>
      </c>
      <c r="AL10" s="26">
        <f t="shared" si="19"/>
        <v>12642.699999999999</v>
      </c>
      <c r="AM10" s="26">
        <f t="shared" si="19"/>
        <v>690.40000000000009</v>
      </c>
      <c r="AN10" s="26">
        <f t="shared" si="19"/>
        <v>2800</v>
      </c>
      <c r="AO10" s="26">
        <f t="shared" si="19"/>
        <v>2250</v>
      </c>
      <c r="AP10" s="26">
        <f t="shared" si="19"/>
        <v>2177.5</v>
      </c>
      <c r="AQ10" s="26">
        <f t="shared" si="19"/>
        <v>1991.85</v>
      </c>
      <c r="AR10" s="26">
        <f t="shared" si="19"/>
        <v>2055.9250000000002</v>
      </c>
      <c r="AS10" s="26">
        <f t="shared" si="19"/>
        <v>2255.9250000000002</v>
      </c>
    </row>
    <row r="11" spans="1:45" outlineLevel="1" x14ac:dyDescent="0.45">
      <c r="B11" s="24" t="s">
        <v>255</v>
      </c>
      <c r="C11" s="25"/>
      <c r="D11" s="95"/>
      <c r="E11" s="25">
        <f>'BionTech Standardized'!E13</f>
        <v>0</v>
      </c>
      <c r="F11" s="25">
        <f>'BionTech Standardized'!F13</f>
        <v>0</v>
      </c>
      <c r="G11" s="25">
        <f>'BionTech Standardized'!G13</f>
        <v>0</v>
      </c>
      <c r="H11" s="25">
        <f>'BionTech Standardized'!H13</f>
        <v>0</v>
      </c>
      <c r="I11" s="25">
        <f>'BionTech Standardized'!I13</f>
        <v>0</v>
      </c>
      <c r="J11" s="25">
        <f>'BionTech Standardized'!J13</f>
        <v>216.8</v>
      </c>
      <c r="K11" s="25">
        <f>'BionTech Standardized'!K13</f>
        <v>162</v>
      </c>
      <c r="L11" s="25"/>
      <c r="M11" s="25"/>
      <c r="N11" s="25"/>
      <c r="O11" s="25"/>
      <c r="P11" s="25"/>
      <c r="Q11" s="25"/>
      <c r="S11" s="25"/>
      <c r="T11" s="25"/>
      <c r="U11" s="25"/>
      <c r="V11" s="25"/>
      <c r="W11" s="25"/>
      <c r="X11" s="25"/>
      <c r="Y11" s="25"/>
      <c r="Z11" s="25"/>
      <c r="AA11" s="25"/>
      <c r="AB11" s="25"/>
      <c r="AC11" s="25"/>
      <c r="AD11" s="25"/>
      <c r="AE11" s="25"/>
      <c r="AG11" s="25">
        <f t="shared" ref="AG11:AG20" si="20">E11+S11</f>
        <v>0</v>
      </c>
      <c r="AH11" s="25">
        <f t="shared" si="5"/>
        <v>0</v>
      </c>
      <c r="AI11" s="25">
        <f t="shared" si="6"/>
        <v>0</v>
      </c>
      <c r="AJ11" s="25">
        <f t="shared" si="7"/>
        <v>0</v>
      </c>
      <c r="AK11" s="25">
        <f t="shared" si="8"/>
        <v>0</v>
      </c>
      <c r="AL11" s="25">
        <f t="shared" si="9"/>
        <v>216.8</v>
      </c>
      <c r="AM11" s="25">
        <f t="shared" si="10"/>
        <v>162</v>
      </c>
      <c r="AN11" s="25">
        <f t="shared" si="11"/>
        <v>0</v>
      </c>
      <c r="AO11" s="25">
        <f t="shared" si="12"/>
        <v>0</v>
      </c>
      <c r="AP11" s="25">
        <f t="shared" si="13"/>
        <v>0</v>
      </c>
      <c r="AQ11" s="25">
        <f t="shared" si="14"/>
        <v>0</v>
      </c>
      <c r="AR11" s="25">
        <f t="shared" si="15"/>
        <v>0</v>
      </c>
      <c r="AS11" s="25">
        <f t="shared" si="16"/>
        <v>0</v>
      </c>
    </row>
    <row r="12" spans="1:45" outlineLevel="1" x14ac:dyDescent="0.45">
      <c r="B12" s="24" t="s">
        <v>256</v>
      </c>
      <c r="C12" s="25"/>
      <c r="D12" s="25"/>
      <c r="E12" s="25">
        <f>'BionTech Standardized'!E14</f>
        <v>0</v>
      </c>
      <c r="F12" s="25">
        <f>'BionTech Standardized'!F14</f>
        <v>0</v>
      </c>
      <c r="G12" s="25">
        <f>'BionTech Standardized'!G14</f>
        <v>0</v>
      </c>
      <c r="H12" s="25">
        <f>'BionTech Standardized'!H14</f>
        <v>0</v>
      </c>
      <c r="I12" s="25">
        <f>'BionTech Standardized'!I14</f>
        <v>0</v>
      </c>
      <c r="J12" s="25">
        <f>'BionTech Standardized'!J14</f>
        <v>0</v>
      </c>
      <c r="K12" s="25">
        <f>'BionTech Standardized'!K14</f>
        <v>0</v>
      </c>
      <c r="L12" s="25"/>
      <c r="M12" s="25"/>
      <c r="N12" s="25"/>
      <c r="O12" s="25"/>
      <c r="P12" s="25"/>
      <c r="Q12" s="25"/>
      <c r="S12" s="25"/>
      <c r="T12" s="25"/>
      <c r="U12" s="25"/>
      <c r="V12" s="25"/>
      <c r="W12" s="25"/>
      <c r="X12" s="25"/>
      <c r="Y12" s="25"/>
      <c r="Z12" s="25"/>
      <c r="AA12" s="25"/>
      <c r="AB12" s="25"/>
      <c r="AC12" s="25"/>
      <c r="AD12" s="25"/>
      <c r="AE12" s="25"/>
      <c r="AG12" s="25">
        <f t="shared" si="20"/>
        <v>0</v>
      </c>
      <c r="AH12" s="25">
        <f t="shared" si="5"/>
        <v>0</v>
      </c>
      <c r="AI12" s="25">
        <f t="shared" si="6"/>
        <v>0</v>
      </c>
      <c r="AJ12" s="25">
        <f t="shared" si="7"/>
        <v>0</v>
      </c>
      <c r="AK12" s="25">
        <f t="shared" si="8"/>
        <v>0</v>
      </c>
      <c r="AL12" s="25">
        <f t="shared" si="9"/>
        <v>0</v>
      </c>
      <c r="AM12" s="25">
        <f t="shared" si="10"/>
        <v>0</v>
      </c>
      <c r="AN12" s="25">
        <f t="shared" si="11"/>
        <v>0</v>
      </c>
      <c r="AO12" s="25">
        <f t="shared" si="12"/>
        <v>0</v>
      </c>
      <c r="AP12" s="25">
        <f t="shared" si="13"/>
        <v>0</v>
      </c>
      <c r="AQ12" s="25">
        <f t="shared" si="14"/>
        <v>0</v>
      </c>
      <c r="AR12" s="25">
        <f t="shared" si="15"/>
        <v>0</v>
      </c>
      <c r="AS12" s="25">
        <f t="shared" si="16"/>
        <v>0</v>
      </c>
    </row>
    <row r="13" spans="1:45" outlineLevel="1" x14ac:dyDescent="0.45">
      <c r="B13" s="43" t="s">
        <v>257</v>
      </c>
      <c r="C13" s="25"/>
      <c r="D13" s="25"/>
      <c r="E13" s="25">
        <f>'BionTech Standardized'!E11</f>
        <v>2.133</v>
      </c>
      <c r="F13" s="25">
        <f>'BionTech Standardized'!F11</f>
        <v>8.0459999999999994</v>
      </c>
      <c r="G13" s="25">
        <f>'BionTech Standardized'!G11</f>
        <v>4.0999999999999996</v>
      </c>
      <c r="H13" s="25">
        <f>'BionTech Standardized'!H11</f>
        <v>1.6</v>
      </c>
      <c r="I13" s="25">
        <f>'BionTech Standardized'!I11</f>
        <v>67.7</v>
      </c>
      <c r="J13" s="25">
        <f>'BionTech Standardized'!J11</f>
        <v>113.5</v>
      </c>
      <c r="K13" s="25">
        <f>'BionTech Standardized'!K11</f>
        <v>357.6</v>
      </c>
      <c r="L13" s="25"/>
      <c r="M13" s="25"/>
      <c r="N13" s="25"/>
      <c r="O13" s="25"/>
      <c r="P13" s="25"/>
      <c r="Q13" s="25"/>
      <c r="S13" s="25"/>
      <c r="T13" s="25"/>
      <c r="U13" s="25"/>
      <c r="V13" s="25"/>
      <c r="W13" s="25"/>
      <c r="X13" s="25"/>
      <c r="Y13" s="25"/>
      <c r="Z13" s="25"/>
      <c r="AA13" s="25"/>
      <c r="AB13" s="25"/>
      <c r="AC13" s="25"/>
      <c r="AD13" s="25"/>
      <c r="AE13" s="25"/>
      <c r="AG13" s="25">
        <f t="shared" si="20"/>
        <v>2.133</v>
      </c>
      <c r="AH13" s="25">
        <f t="shared" si="5"/>
        <v>8.0459999999999994</v>
      </c>
      <c r="AI13" s="25">
        <f t="shared" si="6"/>
        <v>4.0999999999999996</v>
      </c>
      <c r="AJ13" s="25">
        <f t="shared" si="7"/>
        <v>1.6</v>
      </c>
      <c r="AK13" s="25">
        <f t="shared" si="8"/>
        <v>67.7</v>
      </c>
      <c r="AL13" s="25">
        <f t="shared" si="9"/>
        <v>113.5</v>
      </c>
      <c r="AM13" s="25">
        <f t="shared" si="10"/>
        <v>357.6</v>
      </c>
      <c r="AN13" s="25">
        <f t="shared" si="11"/>
        <v>0</v>
      </c>
      <c r="AO13" s="25">
        <f t="shared" si="12"/>
        <v>0</v>
      </c>
      <c r="AP13" s="25">
        <f t="shared" si="13"/>
        <v>0</v>
      </c>
      <c r="AQ13" s="25">
        <f t="shared" si="14"/>
        <v>0</v>
      </c>
      <c r="AR13" s="25">
        <f t="shared" si="15"/>
        <v>0</v>
      </c>
      <c r="AS13" s="25">
        <f t="shared" si="16"/>
        <v>0</v>
      </c>
    </row>
    <row r="14" spans="1:45" outlineLevel="1" x14ac:dyDescent="0.45">
      <c r="B14" s="43" t="s">
        <v>258</v>
      </c>
      <c r="C14" s="25"/>
      <c r="D14" s="25"/>
      <c r="E14" s="25">
        <f>'BionTech Standardized'!E12</f>
        <v>-26.759</v>
      </c>
      <c r="F14" s="25">
        <f>'BionTech Standardized'!F12</f>
        <v>-1.855</v>
      </c>
      <c r="G14" s="25">
        <f>'BionTech Standardized'!G12</f>
        <v>-2</v>
      </c>
      <c r="H14" s="25">
        <f>'BionTech Standardized'!H12</f>
        <v>-65</v>
      </c>
      <c r="I14" s="25">
        <f>'BionTech Standardized'!I12</f>
        <v>-305.10000000000002</v>
      </c>
      <c r="J14" s="25">
        <f>'BionTech Standardized'!J12</f>
        <v>-18.899999999999999</v>
      </c>
      <c r="K14" s="25">
        <f>'BionTech Standardized'!K12</f>
        <v>-23.9</v>
      </c>
      <c r="L14" s="27"/>
      <c r="M14" s="27"/>
      <c r="N14" s="27"/>
      <c r="O14" s="27"/>
      <c r="P14" s="27"/>
      <c r="Q14" s="27"/>
      <c r="S14" s="27"/>
      <c r="T14" s="27"/>
      <c r="U14" s="27"/>
      <c r="V14" s="27"/>
      <c r="W14" s="27"/>
      <c r="X14" s="27"/>
      <c r="Y14" s="27"/>
      <c r="Z14" s="27"/>
      <c r="AA14" s="27"/>
      <c r="AB14" s="27"/>
      <c r="AC14" s="27"/>
      <c r="AD14" s="27"/>
      <c r="AE14" s="27"/>
      <c r="AG14" s="27">
        <f t="shared" si="20"/>
        <v>-26.759</v>
      </c>
      <c r="AH14" s="27">
        <f t="shared" si="5"/>
        <v>-1.855</v>
      </c>
      <c r="AI14" s="27">
        <f t="shared" si="6"/>
        <v>-2</v>
      </c>
      <c r="AJ14" s="27">
        <f t="shared" si="7"/>
        <v>-65</v>
      </c>
      <c r="AK14" s="27">
        <f t="shared" si="8"/>
        <v>-305.10000000000002</v>
      </c>
      <c r="AL14" s="27">
        <f t="shared" si="9"/>
        <v>-18.899999999999999</v>
      </c>
      <c r="AM14" s="27">
        <f t="shared" si="10"/>
        <v>-23.9</v>
      </c>
      <c r="AN14" s="27">
        <f t="shared" si="11"/>
        <v>0</v>
      </c>
      <c r="AO14" s="27">
        <f t="shared" si="12"/>
        <v>0</v>
      </c>
      <c r="AP14" s="27">
        <f t="shared" si="13"/>
        <v>0</v>
      </c>
      <c r="AQ14" s="27">
        <f t="shared" si="14"/>
        <v>0</v>
      </c>
      <c r="AR14" s="27">
        <f t="shared" si="15"/>
        <v>0</v>
      </c>
      <c r="AS14" s="27">
        <f t="shared" si="16"/>
        <v>0</v>
      </c>
    </row>
    <row r="15" spans="1:45" outlineLevel="1" x14ac:dyDescent="0.45">
      <c r="B15" s="36" t="s">
        <v>259</v>
      </c>
      <c r="C15" s="36"/>
      <c r="D15" s="36"/>
      <c r="E15" s="36">
        <f t="shared" ref="E15:K15" si="21">SUM(E10:E14)</f>
        <v>-85.903999999999968</v>
      </c>
      <c r="F15" s="36">
        <f t="shared" si="21"/>
        <v>-47.662999999999997</v>
      </c>
      <c r="G15" s="36">
        <f t="shared" si="21"/>
        <v>-179.4</v>
      </c>
      <c r="H15" s="36">
        <f t="shared" si="21"/>
        <v>-145.79999999999993</v>
      </c>
      <c r="I15" s="36">
        <f t="shared" si="21"/>
        <v>15046.400000000001</v>
      </c>
      <c r="J15" s="36">
        <f t="shared" si="21"/>
        <v>12954.099999999999</v>
      </c>
      <c r="K15" s="36">
        <f t="shared" si="21"/>
        <v>1186.0999999999999</v>
      </c>
      <c r="L15" s="32"/>
      <c r="M15" s="32"/>
      <c r="N15" s="32"/>
      <c r="O15" s="32"/>
      <c r="P15" s="32"/>
      <c r="Q15" s="32"/>
      <c r="S15" s="32">
        <f t="shared" ref="S15:AE15" si="22">SUM(S10:S14)</f>
        <v>0</v>
      </c>
      <c r="T15" s="32">
        <f t="shared" si="22"/>
        <v>0</v>
      </c>
      <c r="U15" s="32">
        <f t="shared" si="22"/>
        <v>0</v>
      </c>
      <c r="V15" s="32">
        <f t="shared" si="22"/>
        <v>0</v>
      </c>
      <c r="W15" s="32">
        <f t="shared" si="22"/>
        <v>0</v>
      </c>
      <c r="X15" s="32">
        <f t="shared" si="22"/>
        <v>0</v>
      </c>
      <c r="Y15" s="32">
        <f>SUM(Y10:Y14)</f>
        <v>0</v>
      </c>
      <c r="Z15" s="32">
        <f t="shared" si="22"/>
        <v>0</v>
      </c>
      <c r="AA15" s="32">
        <f t="shared" si="22"/>
        <v>0</v>
      </c>
      <c r="AB15" s="32">
        <f t="shared" si="22"/>
        <v>0</v>
      </c>
      <c r="AC15" s="32">
        <f t="shared" si="22"/>
        <v>0</v>
      </c>
      <c r="AD15" s="32">
        <f t="shared" si="22"/>
        <v>0</v>
      </c>
      <c r="AE15" s="32">
        <f t="shared" si="22"/>
        <v>0</v>
      </c>
      <c r="AG15" s="32">
        <f t="shared" si="20"/>
        <v>-85.903999999999968</v>
      </c>
      <c r="AH15" s="32">
        <f t="shared" si="5"/>
        <v>-47.662999999999997</v>
      </c>
      <c r="AI15" s="32">
        <f t="shared" si="6"/>
        <v>-179.4</v>
      </c>
      <c r="AJ15" s="32">
        <f t="shared" si="7"/>
        <v>-145.79999999999993</v>
      </c>
      <c r="AK15" s="32">
        <f t="shared" si="8"/>
        <v>15046.400000000001</v>
      </c>
      <c r="AL15" s="32">
        <f t="shared" si="9"/>
        <v>12954.099999999999</v>
      </c>
      <c r="AM15" s="32">
        <f t="shared" si="10"/>
        <v>1186.0999999999999</v>
      </c>
      <c r="AN15" s="32">
        <f t="shared" si="11"/>
        <v>0</v>
      </c>
      <c r="AO15" s="32">
        <f t="shared" si="12"/>
        <v>0</v>
      </c>
      <c r="AP15" s="32">
        <f t="shared" si="13"/>
        <v>0</v>
      </c>
      <c r="AQ15" s="32">
        <f t="shared" si="14"/>
        <v>0</v>
      </c>
      <c r="AR15" s="32">
        <f t="shared" si="15"/>
        <v>0</v>
      </c>
      <c r="AS15" s="32">
        <f t="shared" si="16"/>
        <v>0</v>
      </c>
    </row>
    <row r="16" spans="1:45" outlineLevel="1" x14ac:dyDescent="0.45">
      <c r="B16" s="24" t="s">
        <v>260</v>
      </c>
      <c r="C16" s="25"/>
      <c r="D16" s="25"/>
      <c r="E16" s="25">
        <f>'BionTech Standardized'!E15</f>
        <v>-4.4999999999999998E-2</v>
      </c>
      <c r="F16" s="27">
        <f>'BionTech Standardized'!F15</f>
        <v>-0.6</v>
      </c>
      <c r="G16" s="27">
        <f>'BionTech Standardized'!G15</f>
        <v>0.2</v>
      </c>
      <c r="H16" s="27">
        <f>'BionTech Standardized'!H15</f>
        <v>161</v>
      </c>
      <c r="I16" s="27">
        <f>'BionTech Standardized'!I15</f>
        <v>-4753.8999999999996</v>
      </c>
      <c r="J16" s="27">
        <f>'BionTech Standardized'!J15</f>
        <v>-3519.7</v>
      </c>
      <c r="K16" s="27">
        <f>'BionTech Standardized'!K15</f>
        <v>-255.8</v>
      </c>
      <c r="L16" s="27"/>
      <c r="M16" s="27"/>
      <c r="N16" s="27"/>
      <c r="O16" s="27"/>
      <c r="P16" s="27"/>
      <c r="Q16" s="27"/>
      <c r="S16" s="27"/>
      <c r="T16" s="27"/>
      <c r="U16" s="27"/>
      <c r="V16" s="27"/>
      <c r="W16" s="27"/>
      <c r="X16" s="27"/>
      <c r="Y16" s="27"/>
      <c r="Z16" s="27"/>
      <c r="AA16" s="27"/>
      <c r="AB16" s="27"/>
      <c r="AC16" s="27"/>
      <c r="AD16" s="27"/>
      <c r="AE16" s="27"/>
      <c r="AG16" s="27">
        <f t="shared" si="20"/>
        <v>-4.4999999999999998E-2</v>
      </c>
      <c r="AH16" s="27">
        <f t="shared" si="5"/>
        <v>-0.6</v>
      </c>
      <c r="AI16" s="27">
        <f t="shared" si="6"/>
        <v>0.2</v>
      </c>
      <c r="AJ16" s="27">
        <f t="shared" si="7"/>
        <v>161</v>
      </c>
      <c r="AK16" s="27">
        <f t="shared" si="8"/>
        <v>-4753.8999999999996</v>
      </c>
      <c r="AL16" s="27">
        <f t="shared" si="9"/>
        <v>-3519.7</v>
      </c>
      <c r="AM16" s="27">
        <f t="shared" si="10"/>
        <v>-255.8</v>
      </c>
      <c r="AN16" s="27">
        <f t="shared" si="11"/>
        <v>0</v>
      </c>
      <c r="AO16" s="27">
        <f t="shared" si="12"/>
        <v>0</v>
      </c>
      <c r="AP16" s="27">
        <f t="shared" si="13"/>
        <v>0</v>
      </c>
      <c r="AQ16" s="27">
        <f t="shared" si="14"/>
        <v>0</v>
      </c>
      <c r="AR16" s="27">
        <f t="shared" si="15"/>
        <v>0</v>
      </c>
      <c r="AS16" s="27">
        <f t="shared" si="16"/>
        <v>0</v>
      </c>
    </row>
    <row r="17" spans="1:45" outlineLevel="1" x14ac:dyDescent="0.45">
      <c r="B17" s="36" t="s">
        <v>261</v>
      </c>
      <c r="C17" s="36"/>
      <c r="D17" s="36"/>
      <c r="E17" s="36">
        <f t="shared" ref="E17:K17" si="23">SUM(E15:E16)</f>
        <v>-85.94899999999997</v>
      </c>
      <c r="F17" s="32">
        <f t="shared" si="23"/>
        <v>-48.262999999999998</v>
      </c>
      <c r="G17" s="32">
        <f t="shared" si="23"/>
        <v>-179.20000000000002</v>
      </c>
      <c r="H17" s="32">
        <f t="shared" si="23"/>
        <v>15.200000000000074</v>
      </c>
      <c r="I17" s="32">
        <f t="shared" si="23"/>
        <v>10292.500000000002</v>
      </c>
      <c r="J17" s="32">
        <f t="shared" si="23"/>
        <v>9434.3999999999978</v>
      </c>
      <c r="K17" s="32">
        <f t="shared" si="23"/>
        <v>930.3</v>
      </c>
      <c r="L17" s="32"/>
      <c r="M17" s="32"/>
      <c r="N17" s="32"/>
      <c r="O17" s="32"/>
      <c r="P17" s="32"/>
      <c r="Q17" s="32"/>
      <c r="S17" s="32">
        <f>SUM(S15:S16)</f>
        <v>0</v>
      </c>
      <c r="T17" s="32">
        <f t="shared" ref="T17:AE17" si="24">SUM(T15:T16)</f>
        <v>0</v>
      </c>
      <c r="U17" s="32">
        <f t="shared" si="24"/>
        <v>0</v>
      </c>
      <c r="V17" s="32">
        <f t="shared" si="24"/>
        <v>0</v>
      </c>
      <c r="W17" s="32">
        <f t="shared" si="24"/>
        <v>0</v>
      </c>
      <c r="X17" s="32">
        <f t="shared" si="24"/>
        <v>0</v>
      </c>
      <c r="Y17" s="32">
        <f t="shared" si="24"/>
        <v>0</v>
      </c>
      <c r="Z17" s="32">
        <f t="shared" si="24"/>
        <v>0</v>
      </c>
      <c r="AA17" s="32">
        <f t="shared" si="24"/>
        <v>0</v>
      </c>
      <c r="AB17" s="32">
        <f t="shared" si="24"/>
        <v>0</v>
      </c>
      <c r="AC17" s="32">
        <f t="shared" si="24"/>
        <v>0</v>
      </c>
      <c r="AD17" s="32">
        <f t="shared" si="24"/>
        <v>0</v>
      </c>
      <c r="AE17" s="32">
        <f t="shared" si="24"/>
        <v>0</v>
      </c>
      <c r="AG17" s="32">
        <f t="shared" si="20"/>
        <v>-85.94899999999997</v>
      </c>
      <c r="AH17" s="32">
        <f t="shared" si="5"/>
        <v>-48.262999999999998</v>
      </c>
      <c r="AI17" s="32">
        <f t="shared" si="6"/>
        <v>-179.20000000000002</v>
      </c>
      <c r="AJ17" s="32">
        <f t="shared" si="7"/>
        <v>15.200000000000074</v>
      </c>
      <c r="AK17" s="32">
        <f t="shared" si="8"/>
        <v>10292.500000000002</v>
      </c>
      <c r="AL17" s="32">
        <f t="shared" si="9"/>
        <v>9434.3999999999978</v>
      </c>
      <c r="AM17" s="32">
        <f t="shared" si="10"/>
        <v>930.3</v>
      </c>
      <c r="AN17" s="32">
        <f t="shared" si="11"/>
        <v>0</v>
      </c>
      <c r="AO17" s="32">
        <f t="shared" si="12"/>
        <v>0</v>
      </c>
      <c r="AP17" s="32">
        <f t="shared" si="13"/>
        <v>0</v>
      </c>
      <c r="AQ17" s="32">
        <f t="shared" si="14"/>
        <v>0</v>
      </c>
      <c r="AR17" s="32">
        <f t="shared" si="15"/>
        <v>0</v>
      </c>
      <c r="AS17" s="32">
        <f t="shared" si="16"/>
        <v>0</v>
      </c>
    </row>
    <row r="18" spans="1:45" outlineLevel="1" x14ac:dyDescent="0.45">
      <c r="B18" s="24" t="s">
        <v>262</v>
      </c>
      <c r="C18" s="32"/>
      <c r="D18" s="32"/>
      <c r="E18" s="32">
        <f>'BionTech Standardized'!E16</f>
        <v>0.29699999999999999</v>
      </c>
      <c r="F18" s="32">
        <f>'BionTech Standardized'!F16</f>
        <v>0.24299999999999999</v>
      </c>
      <c r="G18" s="32">
        <f>'BionTech Standardized'!G16</f>
        <v>1E-4</v>
      </c>
      <c r="H18" s="32">
        <f>'BionTech Standardized'!H16</f>
        <v>0</v>
      </c>
      <c r="I18" s="32">
        <f>'BionTech Standardized'!I16</f>
        <v>0</v>
      </c>
      <c r="J18" s="32">
        <f>'BionTech Standardized'!J16</f>
        <v>0</v>
      </c>
      <c r="K18" s="32">
        <f>'BionTech Standardized'!K16</f>
        <v>0</v>
      </c>
      <c r="L18" s="32"/>
      <c r="M18" s="32"/>
      <c r="N18" s="32"/>
      <c r="O18" s="32"/>
      <c r="P18" s="32"/>
      <c r="Q18" s="32"/>
      <c r="S18" s="32"/>
      <c r="T18" s="32"/>
      <c r="U18" s="32"/>
      <c r="V18" s="32"/>
      <c r="W18" s="32"/>
      <c r="X18" s="32"/>
      <c r="Y18" s="32"/>
      <c r="Z18" s="32"/>
      <c r="AA18" s="32"/>
      <c r="AB18" s="32"/>
      <c r="AC18" s="32"/>
      <c r="AD18" s="32"/>
      <c r="AE18" s="32"/>
      <c r="AG18" s="32"/>
      <c r="AH18" s="32"/>
      <c r="AI18" s="32"/>
      <c r="AJ18" s="32"/>
      <c r="AK18" s="32"/>
      <c r="AL18" s="32"/>
      <c r="AM18" s="32"/>
      <c r="AN18" s="32"/>
      <c r="AO18" s="32"/>
      <c r="AP18" s="32"/>
      <c r="AQ18" s="32"/>
      <c r="AR18" s="32"/>
      <c r="AS18" s="32"/>
    </row>
    <row r="19" spans="1:45" outlineLevel="1" x14ac:dyDescent="0.45">
      <c r="B19" s="34" t="s">
        <v>263</v>
      </c>
      <c r="C19" s="25"/>
      <c r="D19" s="25"/>
      <c r="E19" s="25">
        <f>'BionTech Standardized'!E17</f>
        <v>0</v>
      </c>
      <c r="F19" s="27">
        <f>'BionTech Standardized'!F17</f>
        <v>0</v>
      </c>
      <c r="G19" s="27">
        <f>'BionTech Standardized'!G17</f>
        <v>0</v>
      </c>
      <c r="H19" s="27">
        <f>'BionTech Standardized'!H17</f>
        <v>0</v>
      </c>
      <c r="I19" s="27">
        <f>'BionTech Standardized'!I17</f>
        <v>0</v>
      </c>
      <c r="J19" s="27">
        <f>'BionTech Standardized'!J17</f>
        <v>0</v>
      </c>
      <c r="K19" s="27">
        <f>'BionTech Standardized'!K17</f>
        <v>0</v>
      </c>
      <c r="L19" s="27"/>
      <c r="M19" s="27"/>
      <c r="N19" s="27"/>
      <c r="O19" s="27"/>
      <c r="P19" s="27"/>
      <c r="Q19" s="27"/>
      <c r="S19" s="27"/>
      <c r="T19" s="27"/>
      <c r="U19" s="27"/>
      <c r="V19" s="27"/>
      <c r="W19" s="27"/>
      <c r="X19" s="27"/>
      <c r="Y19" s="27"/>
      <c r="Z19" s="27"/>
      <c r="AA19" s="27"/>
      <c r="AB19" s="27"/>
      <c r="AC19" s="27"/>
      <c r="AD19" s="27"/>
      <c r="AE19" s="27"/>
      <c r="AG19" s="27">
        <f t="shared" si="20"/>
        <v>0</v>
      </c>
      <c r="AH19" s="27">
        <f t="shared" si="5"/>
        <v>0</v>
      </c>
      <c r="AI19" s="27">
        <f t="shared" si="6"/>
        <v>0</v>
      </c>
      <c r="AJ19" s="27">
        <f t="shared" si="7"/>
        <v>0</v>
      </c>
      <c r="AK19" s="27">
        <f t="shared" si="8"/>
        <v>0</v>
      </c>
      <c r="AL19" s="27">
        <f t="shared" si="9"/>
        <v>0</v>
      </c>
      <c r="AM19" s="27">
        <f t="shared" si="10"/>
        <v>0</v>
      </c>
      <c r="AN19" s="27">
        <f t="shared" si="11"/>
        <v>0</v>
      </c>
      <c r="AO19" s="27">
        <f t="shared" si="12"/>
        <v>0</v>
      </c>
      <c r="AP19" s="27">
        <f t="shared" si="13"/>
        <v>0</v>
      </c>
      <c r="AQ19" s="27">
        <f t="shared" si="14"/>
        <v>0</v>
      </c>
      <c r="AR19" s="27">
        <f t="shared" si="15"/>
        <v>0</v>
      </c>
      <c r="AS19" s="27">
        <f t="shared" si="16"/>
        <v>0</v>
      </c>
    </row>
    <row r="20" spans="1:45" s="26" customFormat="1" ht="14.65" outlineLevel="1" thickBot="1" x14ac:dyDescent="0.5">
      <c r="B20" s="72" t="s">
        <v>264</v>
      </c>
      <c r="C20" s="442"/>
      <c r="D20" s="442"/>
      <c r="E20" s="442">
        <f t="shared" ref="E20:K20" si="25">SUM(E17:E19)</f>
        <v>-85.651999999999973</v>
      </c>
      <c r="F20" s="442">
        <f t="shared" si="25"/>
        <v>-48.019999999999996</v>
      </c>
      <c r="G20" s="442">
        <f t="shared" si="25"/>
        <v>-179.19990000000001</v>
      </c>
      <c r="H20" s="442">
        <f t="shared" si="25"/>
        <v>15.200000000000074</v>
      </c>
      <c r="I20" s="442">
        <f t="shared" si="25"/>
        <v>10292.500000000002</v>
      </c>
      <c r="J20" s="442">
        <f t="shared" si="25"/>
        <v>9434.3999999999978</v>
      </c>
      <c r="K20" s="442">
        <f t="shared" si="25"/>
        <v>930.3</v>
      </c>
      <c r="L20" s="53"/>
      <c r="M20" s="53"/>
      <c r="N20" s="53"/>
      <c r="O20" s="53"/>
      <c r="P20" s="53"/>
      <c r="Q20" s="53"/>
      <c r="S20" s="53">
        <f t="shared" ref="S20:AE20" si="26">SUM(S17:S19)</f>
        <v>0</v>
      </c>
      <c r="T20" s="53">
        <f t="shared" si="26"/>
        <v>0</v>
      </c>
      <c r="U20" s="53">
        <f t="shared" si="26"/>
        <v>0</v>
      </c>
      <c r="V20" s="53">
        <f t="shared" si="26"/>
        <v>0</v>
      </c>
      <c r="W20" s="53">
        <f t="shared" si="26"/>
        <v>0</v>
      </c>
      <c r="X20" s="53">
        <f t="shared" si="26"/>
        <v>0</v>
      </c>
      <c r="Y20" s="53">
        <f t="shared" si="26"/>
        <v>0</v>
      </c>
      <c r="Z20" s="53">
        <f t="shared" si="26"/>
        <v>0</v>
      </c>
      <c r="AA20" s="53">
        <f t="shared" si="26"/>
        <v>0</v>
      </c>
      <c r="AB20" s="53">
        <f t="shared" si="26"/>
        <v>0</v>
      </c>
      <c r="AC20" s="53">
        <f t="shared" si="26"/>
        <v>0</v>
      </c>
      <c r="AD20" s="53">
        <f t="shared" si="26"/>
        <v>0</v>
      </c>
      <c r="AE20" s="53">
        <f t="shared" si="26"/>
        <v>0</v>
      </c>
      <c r="AG20" s="53">
        <f t="shared" si="20"/>
        <v>-85.651999999999973</v>
      </c>
      <c r="AH20" s="53">
        <f t="shared" si="5"/>
        <v>-48.019999999999996</v>
      </c>
      <c r="AI20" s="53">
        <f t="shared" si="6"/>
        <v>-179.19990000000001</v>
      </c>
      <c r="AJ20" s="53">
        <f t="shared" si="7"/>
        <v>15.200000000000074</v>
      </c>
      <c r="AK20" s="53">
        <f t="shared" si="8"/>
        <v>10292.500000000002</v>
      </c>
      <c r="AL20" s="53">
        <f t="shared" si="9"/>
        <v>9434.3999999999978</v>
      </c>
      <c r="AM20" s="53">
        <f t="shared" si="10"/>
        <v>930.3</v>
      </c>
      <c r="AN20" s="53">
        <f t="shared" si="11"/>
        <v>0</v>
      </c>
      <c r="AO20" s="53">
        <f t="shared" si="12"/>
        <v>0</v>
      </c>
      <c r="AP20" s="53">
        <f t="shared" si="13"/>
        <v>0</v>
      </c>
      <c r="AQ20" s="53">
        <f t="shared" si="14"/>
        <v>0</v>
      </c>
      <c r="AR20" s="53">
        <f t="shared" si="15"/>
        <v>0</v>
      </c>
      <c r="AS20" s="53">
        <f t="shared" si="16"/>
        <v>0</v>
      </c>
    </row>
    <row r="21" spans="1:45" ht="15" outlineLevel="1" thickTop="1" thickBot="1" x14ac:dyDescent="0.5">
      <c r="B21" s="45"/>
      <c r="C21" s="45"/>
      <c r="D21" s="45"/>
      <c r="E21" s="45"/>
      <c r="F21" s="45"/>
      <c r="G21" s="45"/>
      <c r="H21" s="45"/>
      <c r="I21" s="45"/>
      <c r="J21" s="45"/>
      <c r="K21" s="45"/>
      <c r="L21" s="45"/>
      <c r="M21" s="45"/>
      <c r="N21" s="45"/>
      <c r="O21" s="45"/>
      <c r="P21" s="45"/>
      <c r="Q21" s="45"/>
      <c r="S21" s="45"/>
      <c r="T21" s="45"/>
      <c r="U21" s="45"/>
      <c r="V21" s="45"/>
      <c r="W21" s="45"/>
      <c r="X21" s="45"/>
      <c r="Y21" s="45"/>
      <c r="Z21" s="45"/>
      <c r="AA21" s="45"/>
      <c r="AB21" s="45"/>
      <c r="AC21" s="45"/>
      <c r="AD21" s="45"/>
      <c r="AE21" s="45"/>
      <c r="AG21" s="45"/>
      <c r="AH21" s="45"/>
      <c r="AI21" s="45"/>
      <c r="AJ21" s="45"/>
      <c r="AK21" s="45"/>
      <c r="AL21" s="45"/>
      <c r="AM21" s="45"/>
      <c r="AN21" s="45"/>
      <c r="AO21" s="45"/>
      <c r="AP21" s="45"/>
      <c r="AQ21" s="45"/>
      <c r="AR21" s="45"/>
      <c r="AS21" s="45"/>
    </row>
    <row r="22" spans="1:45" ht="14.65" outlineLevel="1" thickTop="1" x14ac:dyDescent="0.45">
      <c r="A22" s="24" t="s">
        <v>14</v>
      </c>
      <c r="B22" s="32" t="s">
        <v>265</v>
      </c>
      <c r="C22" s="54"/>
      <c r="D22" s="54"/>
      <c r="E22" s="54"/>
      <c r="F22" s="54"/>
      <c r="G22" s="54"/>
      <c r="H22" s="54"/>
      <c r="I22" s="54"/>
      <c r="J22" s="54"/>
      <c r="K22" s="54"/>
      <c r="L22" s="54"/>
      <c r="M22" s="54"/>
      <c r="N22" s="54"/>
      <c r="O22" s="54"/>
      <c r="P22" s="54"/>
      <c r="Q22" s="54"/>
      <c r="S22" s="46"/>
      <c r="T22" s="46"/>
      <c r="U22" s="46"/>
      <c r="V22" s="46"/>
      <c r="W22" s="46"/>
      <c r="X22" s="46"/>
      <c r="Y22" s="46"/>
      <c r="Z22" s="46"/>
      <c r="AA22" s="46"/>
      <c r="AB22" s="46"/>
      <c r="AC22" s="46"/>
      <c r="AD22" s="46"/>
      <c r="AE22" s="46"/>
      <c r="AG22" s="46"/>
      <c r="AH22" s="46"/>
      <c r="AI22" s="46"/>
      <c r="AJ22" s="46"/>
      <c r="AK22" s="46"/>
      <c r="AL22" s="46"/>
      <c r="AM22" s="46"/>
      <c r="AN22" s="46"/>
      <c r="AO22" s="46"/>
      <c r="AP22" s="46"/>
      <c r="AQ22" s="46"/>
      <c r="AR22" s="46"/>
      <c r="AS22" s="46"/>
    </row>
    <row r="23" spans="1:45" outlineLevel="1" x14ac:dyDescent="0.45">
      <c r="B23" s="24" t="s">
        <v>266</v>
      </c>
      <c r="C23" s="46"/>
      <c r="D23" s="46"/>
      <c r="E23" s="46"/>
      <c r="F23" s="46"/>
      <c r="G23" s="46"/>
      <c r="H23" s="46"/>
      <c r="I23" s="46"/>
      <c r="J23" s="46"/>
      <c r="K23" s="46"/>
      <c r="L23" s="46"/>
      <c r="M23" s="46"/>
      <c r="N23" s="46"/>
      <c r="O23" s="46"/>
      <c r="P23" s="46"/>
      <c r="Q23" s="46"/>
      <c r="S23" s="46"/>
      <c r="T23" s="46"/>
      <c r="U23" s="46"/>
      <c r="V23" s="46"/>
      <c r="W23" s="46"/>
      <c r="X23" s="46"/>
      <c r="Y23" s="46"/>
      <c r="Z23" s="46"/>
      <c r="AA23" s="46"/>
      <c r="AB23" s="46"/>
      <c r="AC23" s="46"/>
      <c r="AD23" s="46"/>
      <c r="AE23" s="46"/>
      <c r="AG23" s="46"/>
      <c r="AH23" s="46"/>
      <c r="AI23" s="46"/>
      <c r="AJ23" s="46"/>
      <c r="AK23" s="46"/>
      <c r="AL23" s="46"/>
      <c r="AM23" s="46"/>
      <c r="AN23" s="46"/>
      <c r="AO23" s="46"/>
      <c r="AP23" s="46"/>
      <c r="AQ23" s="46"/>
      <c r="AR23" s="46"/>
      <c r="AS23" s="46"/>
    </row>
    <row r="24" spans="1:45" outlineLevel="1" x14ac:dyDescent="0.45">
      <c r="B24" s="47" t="s">
        <v>267</v>
      </c>
      <c r="C24" s="25"/>
      <c r="D24" s="25"/>
      <c r="E24" s="25">
        <v>-9.3000000000000007</v>
      </c>
      <c r="F24" s="25">
        <v>-13.7</v>
      </c>
      <c r="G24" s="25">
        <v>-17.399999999999999</v>
      </c>
      <c r="H24" s="25">
        <v>-59.3</v>
      </c>
      <c r="I24" s="25">
        <v>-2911.5</v>
      </c>
      <c r="J24" s="25">
        <v>-2995</v>
      </c>
      <c r="K24" s="25">
        <v>-599.79999999999995</v>
      </c>
      <c r="L24" s="25"/>
      <c r="M24" s="25"/>
      <c r="N24" s="25"/>
      <c r="O24" s="25"/>
      <c r="P24" s="25"/>
      <c r="Q24" s="25"/>
      <c r="S24" s="25"/>
      <c r="T24" s="25"/>
      <c r="U24" s="25"/>
      <c r="V24" s="25"/>
      <c r="W24" s="25"/>
      <c r="X24" s="25"/>
      <c r="Y24" s="25"/>
      <c r="Z24" s="25"/>
      <c r="AA24" s="25"/>
      <c r="AB24" s="25"/>
      <c r="AC24" s="25"/>
      <c r="AD24" s="25"/>
      <c r="AE24" s="25"/>
      <c r="AG24" s="25">
        <f t="shared" ref="AG24:AS25" si="27">E24+S24</f>
        <v>-9.3000000000000007</v>
      </c>
      <c r="AH24" s="25">
        <f t="shared" si="27"/>
        <v>-13.7</v>
      </c>
      <c r="AI24" s="25">
        <f t="shared" si="27"/>
        <v>-17.399999999999999</v>
      </c>
      <c r="AJ24" s="25">
        <f t="shared" si="27"/>
        <v>-59.3</v>
      </c>
      <c r="AK24" s="25">
        <f t="shared" si="27"/>
        <v>-2911.5</v>
      </c>
      <c r="AL24" s="25">
        <f t="shared" si="27"/>
        <v>-2995</v>
      </c>
      <c r="AM24" s="25">
        <f t="shared" si="27"/>
        <v>-599.79999999999995</v>
      </c>
      <c r="AN24" s="25">
        <f t="shared" si="27"/>
        <v>0</v>
      </c>
      <c r="AO24" s="25">
        <f t="shared" si="27"/>
        <v>0</v>
      </c>
      <c r="AP24" s="25">
        <f t="shared" si="27"/>
        <v>0</v>
      </c>
      <c r="AQ24" s="25">
        <f t="shared" si="27"/>
        <v>0</v>
      </c>
      <c r="AR24" s="25">
        <f t="shared" si="27"/>
        <v>0</v>
      </c>
      <c r="AS24" s="25">
        <f t="shared" si="27"/>
        <v>0</v>
      </c>
    </row>
    <row r="25" spans="1:45" outlineLevel="1" x14ac:dyDescent="0.45">
      <c r="B25" s="47" t="s">
        <v>268</v>
      </c>
      <c r="C25" s="25"/>
      <c r="D25" s="25"/>
      <c r="E25" s="25">
        <v>-30.1</v>
      </c>
      <c r="F25" s="25">
        <v>-29.4</v>
      </c>
      <c r="G25" s="25">
        <v>-48.2</v>
      </c>
      <c r="H25" s="25">
        <v>-108.5</v>
      </c>
      <c r="I25" s="25">
        <v>-327.2</v>
      </c>
      <c r="J25" s="25">
        <v>-541.20000000000005</v>
      </c>
      <c r="K25" s="25">
        <v>-557.70000000000005</v>
      </c>
      <c r="L25" s="25"/>
      <c r="M25" s="25"/>
      <c r="N25" s="25"/>
      <c r="O25" s="25"/>
      <c r="P25" s="25"/>
      <c r="Q25" s="25"/>
      <c r="S25" s="25"/>
      <c r="T25" s="25"/>
      <c r="U25" s="25"/>
      <c r="V25" s="25"/>
      <c r="W25" s="25"/>
      <c r="X25" s="25"/>
      <c r="Y25" s="25"/>
      <c r="Z25" s="25"/>
      <c r="AA25" s="25"/>
      <c r="AB25" s="25"/>
      <c r="AC25" s="25"/>
      <c r="AD25" s="25"/>
      <c r="AE25" s="25"/>
      <c r="AG25" s="25">
        <f t="shared" si="27"/>
        <v>-30.1</v>
      </c>
      <c r="AH25" s="25">
        <f t="shared" si="27"/>
        <v>-29.4</v>
      </c>
      <c r="AI25" s="25">
        <f t="shared" si="27"/>
        <v>-48.2</v>
      </c>
      <c r="AJ25" s="25">
        <f t="shared" si="27"/>
        <v>-108.5</v>
      </c>
      <c r="AK25" s="25">
        <f t="shared" si="27"/>
        <v>-327.2</v>
      </c>
      <c r="AL25" s="25">
        <f t="shared" si="27"/>
        <v>-541.20000000000005</v>
      </c>
      <c r="AM25" s="25">
        <f t="shared" si="27"/>
        <v>-557.70000000000005</v>
      </c>
      <c r="AN25" s="25">
        <f t="shared" si="27"/>
        <v>0</v>
      </c>
      <c r="AO25" s="25">
        <f t="shared" si="27"/>
        <v>0</v>
      </c>
      <c r="AP25" s="25">
        <f t="shared" si="27"/>
        <v>0</v>
      </c>
      <c r="AQ25" s="25">
        <f t="shared" si="27"/>
        <v>0</v>
      </c>
      <c r="AR25" s="25">
        <f t="shared" si="27"/>
        <v>0</v>
      </c>
      <c r="AS25" s="25">
        <f t="shared" si="27"/>
        <v>0</v>
      </c>
    </row>
    <row r="26" spans="1:45" outlineLevel="1" x14ac:dyDescent="0.45">
      <c r="B26" s="47" t="s">
        <v>269</v>
      </c>
      <c r="E26" s="24">
        <v>-85.5</v>
      </c>
      <c r="F26" s="24">
        <v>-143</v>
      </c>
      <c r="G26" s="24">
        <v>-226.5</v>
      </c>
      <c r="H26" s="24">
        <v>-645</v>
      </c>
      <c r="I26" s="24">
        <v>-949.2</v>
      </c>
      <c r="J26" s="24">
        <v>-1537</v>
      </c>
      <c r="K26" s="24">
        <v>-1783.1</v>
      </c>
      <c r="AG26" s="24">
        <f t="shared" ref="AG26:AM26" si="28">E26</f>
        <v>-85.5</v>
      </c>
      <c r="AH26" s="24">
        <f t="shared" si="28"/>
        <v>-143</v>
      </c>
      <c r="AI26" s="24">
        <f t="shared" si="28"/>
        <v>-226.5</v>
      </c>
      <c r="AJ26" s="24">
        <f t="shared" si="28"/>
        <v>-645</v>
      </c>
      <c r="AK26" s="24">
        <f t="shared" si="28"/>
        <v>-949.2</v>
      </c>
      <c r="AL26" s="24">
        <f t="shared" si="28"/>
        <v>-1537</v>
      </c>
      <c r="AM26" s="24">
        <f t="shared" si="28"/>
        <v>-1783.1</v>
      </c>
    </row>
    <row r="27" spans="1:45" ht="29" customHeight="1" outlineLevel="1" x14ac:dyDescent="0.45">
      <c r="B27" s="47" t="s">
        <v>270</v>
      </c>
      <c r="C27" s="25"/>
      <c r="D27" s="25"/>
      <c r="E27" s="25">
        <v>2.1</v>
      </c>
      <c r="F27" s="25">
        <v>4.7</v>
      </c>
      <c r="G27" s="25">
        <v>2</v>
      </c>
      <c r="H27" s="25">
        <v>248.1</v>
      </c>
      <c r="I27" s="25">
        <v>495</v>
      </c>
      <c r="J27" s="25">
        <v>405.3</v>
      </c>
      <c r="K27" s="25">
        <v>-188</v>
      </c>
      <c r="L27" s="25"/>
      <c r="M27" s="25"/>
      <c r="N27" s="25"/>
      <c r="O27" s="25"/>
      <c r="P27" s="25"/>
      <c r="Q27" s="25"/>
      <c r="S27" s="25"/>
      <c r="T27" s="25"/>
      <c r="U27" s="25"/>
      <c r="V27" s="25"/>
      <c r="W27" s="25"/>
      <c r="X27" s="25"/>
      <c r="Y27" s="25"/>
      <c r="Z27" s="25"/>
      <c r="AA27" s="25"/>
      <c r="AB27" s="25"/>
      <c r="AC27" s="25"/>
      <c r="AD27" s="25"/>
      <c r="AE27" s="25"/>
      <c r="AG27" s="25">
        <f t="shared" ref="AG27:AS27" si="29">E27+S27</f>
        <v>2.1</v>
      </c>
      <c r="AH27" s="25">
        <f t="shared" si="29"/>
        <v>4.7</v>
      </c>
      <c r="AI27" s="25">
        <f t="shared" si="29"/>
        <v>2</v>
      </c>
      <c r="AJ27" s="25">
        <f t="shared" si="29"/>
        <v>248.1</v>
      </c>
      <c r="AK27" s="25">
        <f t="shared" si="29"/>
        <v>495</v>
      </c>
      <c r="AL27" s="25">
        <f t="shared" si="29"/>
        <v>405.3</v>
      </c>
      <c r="AM27" s="25">
        <f t="shared" si="29"/>
        <v>-188</v>
      </c>
      <c r="AN27" s="25">
        <f t="shared" si="29"/>
        <v>0</v>
      </c>
      <c r="AO27" s="25">
        <f t="shared" si="29"/>
        <v>0</v>
      </c>
      <c r="AP27" s="25">
        <f t="shared" si="29"/>
        <v>0</v>
      </c>
      <c r="AQ27" s="25">
        <f t="shared" si="29"/>
        <v>0</v>
      </c>
      <c r="AR27" s="25">
        <f t="shared" si="29"/>
        <v>0</v>
      </c>
      <c r="AS27" s="25">
        <f t="shared" si="29"/>
        <v>0</v>
      </c>
    </row>
    <row r="28" spans="1:45" outlineLevel="1" x14ac:dyDescent="0.45">
      <c r="B28" s="24" t="s">
        <v>271</v>
      </c>
    </row>
    <row r="29" spans="1:45" outlineLevel="1" x14ac:dyDescent="0.45">
      <c r="B29" s="47" t="s">
        <v>272</v>
      </c>
      <c r="C29" s="25"/>
      <c r="D29" s="25"/>
      <c r="E29" s="25"/>
      <c r="F29" s="25"/>
      <c r="G29" s="25"/>
      <c r="H29" s="25"/>
      <c r="I29" s="25"/>
      <c r="J29" s="25"/>
      <c r="K29" s="25"/>
      <c r="L29" s="25"/>
      <c r="M29" s="25"/>
      <c r="N29" s="25"/>
      <c r="O29" s="25"/>
      <c r="P29" s="25"/>
      <c r="Q29" s="25"/>
      <c r="S29" s="25"/>
      <c r="T29" s="25"/>
      <c r="U29" s="25"/>
      <c r="V29" s="25"/>
      <c r="W29" s="25"/>
      <c r="X29" s="25"/>
      <c r="Y29" s="25"/>
      <c r="Z29" s="25"/>
      <c r="AA29" s="25"/>
      <c r="AB29" s="25"/>
      <c r="AC29" s="25"/>
      <c r="AD29" s="25"/>
      <c r="AE29" s="25"/>
      <c r="AG29" s="25">
        <f t="shared" ref="AG29:AS31" si="30">E29+S29</f>
        <v>0</v>
      </c>
      <c r="AH29" s="25">
        <f t="shared" si="30"/>
        <v>0</v>
      </c>
      <c r="AI29" s="25">
        <f t="shared" si="30"/>
        <v>0</v>
      </c>
      <c r="AJ29" s="25">
        <f t="shared" si="30"/>
        <v>0</v>
      </c>
      <c r="AK29" s="25">
        <f t="shared" si="30"/>
        <v>0</v>
      </c>
      <c r="AL29" s="25">
        <f t="shared" si="30"/>
        <v>0</v>
      </c>
      <c r="AM29" s="25">
        <f t="shared" si="30"/>
        <v>0</v>
      </c>
      <c r="AN29" s="25">
        <f t="shared" si="30"/>
        <v>0</v>
      </c>
      <c r="AO29" s="25">
        <f t="shared" si="30"/>
        <v>0</v>
      </c>
      <c r="AP29" s="25">
        <f t="shared" si="30"/>
        <v>0</v>
      </c>
      <c r="AQ29" s="25">
        <f t="shared" si="30"/>
        <v>0</v>
      </c>
      <c r="AR29" s="25">
        <f t="shared" si="30"/>
        <v>0</v>
      </c>
      <c r="AS29" s="25">
        <f t="shared" si="30"/>
        <v>0</v>
      </c>
    </row>
    <row r="30" spans="1:45" outlineLevel="1" x14ac:dyDescent="0.45">
      <c r="B30" s="47" t="s">
        <v>273</v>
      </c>
      <c r="C30" s="25"/>
      <c r="D30" s="25"/>
      <c r="E30" s="25"/>
      <c r="F30" s="25"/>
      <c r="G30" s="25"/>
      <c r="H30" s="25"/>
      <c r="I30" s="25"/>
      <c r="J30" s="25"/>
      <c r="K30" s="25"/>
      <c r="L30" s="25"/>
      <c r="M30" s="25"/>
      <c r="N30" s="25"/>
      <c r="O30" s="25"/>
      <c r="P30" s="25"/>
      <c r="Q30" s="25"/>
      <c r="S30" s="25"/>
      <c r="T30" s="25"/>
      <c r="U30" s="25"/>
      <c r="V30" s="25"/>
      <c r="W30" s="25"/>
      <c r="X30" s="25"/>
      <c r="Y30" s="25"/>
      <c r="Z30" s="25"/>
      <c r="AA30" s="25"/>
      <c r="AB30" s="25"/>
      <c r="AC30" s="25"/>
      <c r="AD30" s="25"/>
      <c r="AE30" s="25"/>
      <c r="AG30" s="25">
        <f t="shared" si="30"/>
        <v>0</v>
      </c>
      <c r="AH30" s="25">
        <f t="shared" si="30"/>
        <v>0</v>
      </c>
      <c r="AI30" s="25">
        <f t="shared" si="30"/>
        <v>0</v>
      </c>
      <c r="AJ30" s="25">
        <f t="shared" si="30"/>
        <v>0</v>
      </c>
      <c r="AK30" s="25">
        <f t="shared" si="30"/>
        <v>0</v>
      </c>
      <c r="AL30" s="25">
        <f t="shared" si="30"/>
        <v>0</v>
      </c>
      <c r="AM30" s="25">
        <f t="shared" si="30"/>
        <v>0</v>
      </c>
      <c r="AN30" s="25">
        <f t="shared" si="30"/>
        <v>0</v>
      </c>
      <c r="AO30" s="25">
        <f t="shared" si="30"/>
        <v>0</v>
      </c>
      <c r="AP30" s="25">
        <f t="shared" si="30"/>
        <v>0</v>
      </c>
      <c r="AQ30" s="25">
        <f t="shared" si="30"/>
        <v>0</v>
      </c>
      <c r="AR30" s="25">
        <f t="shared" si="30"/>
        <v>0</v>
      </c>
      <c r="AS30" s="25">
        <f t="shared" si="30"/>
        <v>0</v>
      </c>
    </row>
    <row r="31" spans="1:45" ht="14.75" customHeight="1" outlineLevel="1" thickBot="1" x14ac:dyDescent="0.5">
      <c r="B31" s="446" t="s">
        <v>274</v>
      </c>
      <c r="C31" s="48"/>
      <c r="D31" s="48"/>
      <c r="E31" s="48">
        <v>10.5</v>
      </c>
      <c r="F31" s="48">
        <v>22</v>
      </c>
      <c r="G31" s="48">
        <v>33.9</v>
      </c>
      <c r="H31" s="48">
        <v>38.700000000000003</v>
      </c>
      <c r="I31" s="48">
        <v>75.2</v>
      </c>
      <c r="J31" s="48">
        <v>123.3</v>
      </c>
      <c r="K31" s="48">
        <v>183.4</v>
      </c>
      <c r="L31" s="25"/>
      <c r="M31" s="25"/>
      <c r="N31" s="25"/>
      <c r="O31" s="25"/>
      <c r="P31" s="25"/>
      <c r="Q31" s="25"/>
      <c r="S31" s="25"/>
      <c r="T31" s="25"/>
      <c r="U31" s="25"/>
      <c r="V31" s="25"/>
      <c r="W31" s="25"/>
      <c r="X31" s="25"/>
      <c r="Y31" s="25"/>
      <c r="Z31" s="25"/>
      <c r="AA31" s="25"/>
      <c r="AB31" s="25"/>
      <c r="AC31" s="25"/>
      <c r="AD31" s="25"/>
      <c r="AE31" s="25"/>
      <c r="AG31" s="25">
        <f t="shared" si="30"/>
        <v>10.5</v>
      </c>
      <c r="AH31" s="25">
        <f t="shared" si="30"/>
        <v>22</v>
      </c>
      <c r="AI31" s="25">
        <f t="shared" si="30"/>
        <v>33.9</v>
      </c>
      <c r="AJ31" s="25">
        <f t="shared" si="30"/>
        <v>38.700000000000003</v>
      </c>
      <c r="AK31" s="25">
        <f t="shared" si="30"/>
        <v>75.2</v>
      </c>
      <c r="AL31" s="25">
        <f t="shared" si="30"/>
        <v>123.3</v>
      </c>
      <c r="AM31" s="25">
        <f t="shared" si="30"/>
        <v>183.4</v>
      </c>
      <c r="AN31" s="25">
        <f t="shared" si="30"/>
        <v>0</v>
      </c>
      <c r="AO31" s="25">
        <f t="shared" si="30"/>
        <v>0</v>
      </c>
      <c r="AP31" s="25">
        <f t="shared" si="30"/>
        <v>0</v>
      </c>
      <c r="AQ31" s="25">
        <f t="shared" si="30"/>
        <v>0</v>
      </c>
      <c r="AR31" s="25">
        <f t="shared" si="30"/>
        <v>0</v>
      </c>
      <c r="AS31" s="25">
        <f t="shared" si="30"/>
        <v>0</v>
      </c>
    </row>
    <row r="32" spans="1:45" ht="29.25" outlineLevel="1" thickTop="1" thickBot="1" x14ac:dyDescent="0.5">
      <c r="B32" s="215" t="s">
        <v>275</v>
      </c>
      <c r="C32" s="48"/>
      <c r="D32" s="48"/>
      <c r="E32" s="48"/>
      <c r="F32" s="48"/>
      <c r="G32" s="48"/>
      <c r="H32" s="48"/>
      <c r="I32" s="48"/>
      <c r="J32" s="48"/>
      <c r="K32" s="48"/>
      <c r="L32" s="48"/>
      <c r="M32" s="48"/>
      <c r="N32" s="48"/>
      <c r="O32" s="48"/>
      <c r="P32" s="48"/>
      <c r="Q32" s="48"/>
      <c r="S32" s="48"/>
      <c r="T32" s="48"/>
      <c r="U32" s="48"/>
      <c r="V32" s="48"/>
      <c r="W32" s="48"/>
      <c r="X32" s="48"/>
      <c r="Y32" s="48"/>
      <c r="Z32" s="48"/>
      <c r="AA32" s="48"/>
      <c r="AB32" s="48"/>
      <c r="AC32" s="48"/>
      <c r="AD32" s="48"/>
      <c r="AE32" s="48"/>
      <c r="AG32" s="48">
        <f t="shared" ref="AG32:AS32" si="31">E32+S32</f>
        <v>0</v>
      </c>
      <c r="AH32" s="48">
        <f t="shared" si="31"/>
        <v>0</v>
      </c>
      <c r="AI32" s="48">
        <f t="shared" si="31"/>
        <v>0</v>
      </c>
      <c r="AJ32" s="48">
        <f t="shared" si="31"/>
        <v>0</v>
      </c>
      <c r="AK32" s="48">
        <f t="shared" si="31"/>
        <v>0</v>
      </c>
      <c r="AL32" s="48">
        <f t="shared" si="31"/>
        <v>0</v>
      </c>
      <c r="AM32" s="48">
        <f t="shared" si="31"/>
        <v>0</v>
      </c>
      <c r="AN32" s="48">
        <f t="shared" si="31"/>
        <v>0</v>
      </c>
      <c r="AO32" s="48">
        <f t="shared" si="31"/>
        <v>0</v>
      </c>
      <c r="AP32" s="48">
        <f t="shared" si="31"/>
        <v>0</v>
      </c>
      <c r="AQ32" s="48">
        <f t="shared" si="31"/>
        <v>0</v>
      </c>
      <c r="AR32" s="48">
        <f t="shared" si="31"/>
        <v>0</v>
      </c>
      <c r="AS32" s="48">
        <f t="shared" si="31"/>
        <v>0</v>
      </c>
    </row>
    <row r="33" spans="1:45" ht="15" outlineLevel="1" thickTop="1" thickBot="1" x14ac:dyDescent="0.5">
      <c r="B33" s="41"/>
      <c r="C33" s="41"/>
      <c r="D33" s="41"/>
      <c r="E33" s="41"/>
      <c r="F33" s="41"/>
      <c r="G33" s="41"/>
      <c r="H33" s="41"/>
      <c r="I33" s="41"/>
      <c r="J33" s="41"/>
      <c r="K33" s="41"/>
      <c r="L33" s="41"/>
      <c r="M33" s="41"/>
      <c r="N33" s="41"/>
      <c r="O33" s="41"/>
      <c r="P33" s="41"/>
      <c r="Q33" s="41"/>
      <c r="S33" s="41"/>
      <c r="T33" s="41"/>
      <c r="U33" s="41"/>
      <c r="V33" s="41"/>
      <c r="W33" s="41"/>
      <c r="X33" s="41"/>
      <c r="Y33" s="41"/>
      <c r="Z33" s="41"/>
      <c r="AA33" s="41"/>
      <c r="AB33" s="41"/>
      <c r="AC33" s="41"/>
      <c r="AD33" s="41"/>
      <c r="AE33" s="41"/>
      <c r="AG33" s="41"/>
      <c r="AH33" s="41"/>
      <c r="AI33" s="41"/>
      <c r="AJ33" s="41"/>
      <c r="AK33" s="41"/>
      <c r="AL33" s="41"/>
      <c r="AM33" s="41"/>
      <c r="AN33" s="41"/>
      <c r="AO33" s="41"/>
      <c r="AP33" s="41"/>
      <c r="AQ33" s="41"/>
      <c r="AR33" s="41"/>
      <c r="AS33" s="41"/>
    </row>
    <row r="34" spans="1:45" ht="14.65" thickTop="1" x14ac:dyDescent="0.45">
      <c r="A34" s="24" t="s">
        <v>14</v>
      </c>
      <c r="B34" s="32" t="s">
        <v>276</v>
      </c>
      <c r="C34" s="54"/>
      <c r="D34" s="54"/>
      <c r="E34" s="54"/>
      <c r="F34" s="54"/>
      <c r="G34" s="54"/>
      <c r="H34" s="54"/>
      <c r="I34" s="54"/>
      <c r="J34" s="54"/>
      <c r="K34" s="54"/>
      <c r="L34" s="54"/>
      <c r="M34" s="54"/>
      <c r="N34" s="54"/>
      <c r="O34" s="54"/>
      <c r="P34" s="54"/>
      <c r="Q34" s="54"/>
      <c r="S34" s="46"/>
      <c r="T34" s="46"/>
      <c r="U34" s="46"/>
      <c r="V34" s="46"/>
      <c r="W34" s="46"/>
      <c r="X34" s="46"/>
      <c r="Y34" s="46"/>
      <c r="Z34" s="46"/>
      <c r="AA34" s="46"/>
      <c r="AB34" s="46"/>
      <c r="AC34" s="46"/>
      <c r="AD34" s="46"/>
      <c r="AE34" s="46"/>
      <c r="AG34" s="46"/>
      <c r="AH34" s="46"/>
      <c r="AI34" s="46"/>
      <c r="AJ34" s="46"/>
      <c r="AK34" s="46"/>
      <c r="AL34" s="46"/>
      <c r="AM34" s="46"/>
      <c r="AN34" s="46"/>
      <c r="AO34" s="46"/>
      <c r="AP34" s="46"/>
      <c r="AQ34" s="46"/>
      <c r="AR34" s="46"/>
      <c r="AS34" s="46"/>
    </row>
    <row r="35" spans="1:45" x14ac:dyDescent="0.45">
      <c r="B35" s="24" t="s">
        <v>277</v>
      </c>
      <c r="C35" s="46"/>
      <c r="D35" s="46"/>
      <c r="E35" s="46"/>
      <c r="F35" s="46"/>
      <c r="G35" s="46"/>
      <c r="H35" s="46"/>
      <c r="I35" s="46"/>
      <c r="J35" s="46"/>
      <c r="K35" s="46"/>
      <c r="L35" s="46"/>
      <c r="M35" s="46"/>
      <c r="N35" s="46"/>
      <c r="O35" s="46"/>
      <c r="P35" s="46"/>
      <c r="Q35" s="46"/>
      <c r="S35" s="46"/>
      <c r="T35" s="46"/>
      <c r="U35" s="46"/>
      <c r="V35" s="46"/>
      <c r="W35" s="46"/>
      <c r="X35" s="46"/>
      <c r="Y35" s="46"/>
      <c r="Z35" s="46"/>
      <c r="AA35" s="46"/>
      <c r="AB35" s="46"/>
      <c r="AC35" s="46"/>
      <c r="AD35" s="46"/>
      <c r="AE35" s="46"/>
      <c r="AG35" s="46"/>
      <c r="AH35" s="46"/>
      <c r="AI35" s="46"/>
      <c r="AJ35" s="46"/>
      <c r="AK35" s="46"/>
      <c r="AL35" s="46"/>
      <c r="AM35" s="46"/>
      <c r="AN35" s="46"/>
      <c r="AO35" s="46"/>
      <c r="AP35" s="46"/>
      <c r="AQ35" s="46"/>
      <c r="AR35" s="46"/>
      <c r="AS35" s="46"/>
    </row>
    <row r="36" spans="1:45" x14ac:dyDescent="0.45">
      <c r="B36" s="34" t="s">
        <v>278</v>
      </c>
      <c r="C36" s="25"/>
      <c r="D36" s="25">
        <f>SUM('BionTech Standardized'!D35)</f>
        <v>60.584000000000003</v>
      </c>
      <c r="E36" s="25">
        <f>SUM('BionTech Standardized'!E35)</f>
        <v>101.521</v>
      </c>
      <c r="F36" s="25">
        <f>SUM('BionTech Standardized'!F35)</f>
        <v>115.96600000000001</v>
      </c>
      <c r="G36" s="25">
        <f>SUM('BionTech Standardized'!G35)</f>
        <v>148.06200000000001</v>
      </c>
      <c r="H36" s="25">
        <f>SUM('BionTech Standardized'!H35)</f>
        <v>327</v>
      </c>
      <c r="I36" s="25">
        <f>SUM('BionTech Standardized'!I35)</f>
        <v>534.79999999999995</v>
      </c>
      <c r="J36" s="25">
        <f>SUM('BionTech Standardized'!J35)</f>
        <v>827.6</v>
      </c>
      <c r="K36" s="25">
        <f>SUM('BionTech Standardized'!K35)</f>
        <v>1055</v>
      </c>
      <c r="M36" s="25"/>
      <c r="N36" s="25"/>
      <c r="O36" s="25"/>
      <c r="P36" s="25"/>
      <c r="Q36" s="25"/>
      <c r="S36" s="25"/>
      <c r="T36" s="25"/>
      <c r="U36" s="25"/>
      <c r="V36" s="25"/>
      <c r="W36" s="25"/>
      <c r="X36" s="25"/>
      <c r="Y36" s="25"/>
      <c r="Z36" s="25"/>
      <c r="AA36" s="25"/>
      <c r="AB36" s="25"/>
      <c r="AC36" s="25"/>
      <c r="AD36" s="25"/>
      <c r="AE36" s="25"/>
      <c r="AG36" s="25">
        <f t="shared" ref="AG36:AM40" si="32">E36+T36</f>
        <v>101.521</v>
      </c>
      <c r="AH36" s="25">
        <f t="shared" si="32"/>
        <v>115.96600000000001</v>
      </c>
      <c r="AI36" s="25">
        <f t="shared" si="32"/>
        <v>148.06200000000001</v>
      </c>
      <c r="AJ36" s="25">
        <f t="shared" si="32"/>
        <v>327</v>
      </c>
      <c r="AK36" s="25">
        <f t="shared" si="32"/>
        <v>534.79999999999995</v>
      </c>
      <c r="AL36" s="25">
        <f t="shared" si="32"/>
        <v>827.6</v>
      </c>
      <c r="AM36" s="25">
        <f t="shared" si="32"/>
        <v>1055</v>
      </c>
      <c r="AN36" s="25"/>
      <c r="AO36" s="25">
        <f t="shared" ref="AO36:AS40" si="33">M36+AA36</f>
        <v>0</v>
      </c>
      <c r="AP36" s="25">
        <f t="shared" si="33"/>
        <v>0</v>
      </c>
      <c r="AQ36" s="25">
        <f t="shared" si="33"/>
        <v>0</v>
      </c>
      <c r="AR36" s="25">
        <f t="shared" si="33"/>
        <v>0</v>
      </c>
      <c r="AS36" s="25">
        <f t="shared" si="33"/>
        <v>0</v>
      </c>
    </row>
    <row r="37" spans="1:45" x14ac:dyDescent="0.45">
      <c r="B37" s="34" t="s">
        <v>279</v>
      </c>
      <c r="C37" s="25"/>
      <c r="D37" s="25">
        <f>SUM('BionTech Standardized'!D36)</f>
        <v>11.183999999999999</v>
      </c>
      <c r="E37" s="25">
        <f>SUM('BionTech Standardized'!E36)</f>
        <v>83.537000000000006</v>
      </c>
      <c r="F37" s="25">
        <f>SUM('BionTech Standardized'!F36)</f>
        <v>88.042000000000002</v>
      </c>
      <c r="G37" s="25">
        <f>SUM('BionTech Standardized'!G36)</f>
        <v>89.433999999999997</v>
      </c>
      <c r="H37" s="25">
        <f>SUM('BionTech Standardized'!H36)</f>
        <v>163.5</v>
      </c>
      <c r="I37" s="25">
        <f>SUM('BionTech Standardized'!I36)</f>
        <v>202.4</v>
      </c>
      <c r="J37" s="25">
        <f>SUM('BionTech Standardized'!J36)</f>
        <v>219.7</v>
      </c>
      <c r="K37" s="25">
        <f>SUM('BionTech Standardized'!K36)</f>
        <v>1166.5999999999999</v>
      </c>
      <c r="M37" s="25"/>
      <c r="N37" s="25"/>
      <c r="O37" s="25"/>
      <c r="P37" s="25"/>
      <c r="Q37" s="25"/>
      <c r="S37" s="25"/>
      <c r="T37" s="25"/>
      <c r="U37" s="25"/>
      <c r="V37" s="25"/>
      <c r="W37" s="25"/>
      <c r="X37" s="25"/>
      <c r="Y37" s="25"/>
      <c r="Z37" s="25"/>
      <c r="AA37" s="25"/>
      <c r="AB37" s="25"/>
      <c r="AC37" s="25"/>
      <c r="AD37" s="25"/>
      <c r="AE37" s="25"/>
      <c r="AG37" s="25">
        <f t="shared" si="32"/>
        <v>83.537000000000006</v>
      </c>
      <c r="AH37" s="25">
        <f t="shared" si="32"/>
        <v>88.042000000000002</v>
      </c>
      <c r="AI37" s="25">
        <f t="shared" si="32"/>
        <v>89.433999999999997</v>
      </c>
      <c r="AJ37" s="25">
        <f t="shared" si="32"/>
        <v>163.5</v>
      </c>
      <c r="AK37" s="25">
        <f t="shared" si="32"/>
        <v>202.4</v>
      </c>
      <c r="AL37" s="25">
        <f t="shared" si="32"/>
        <v>219.7</v>
      </c>
      <c r="AM37" s="25">
        <f t="shared" si="32"/>
        <v>1166.5999999999999</v>
      </c>
      <c r="AN37" s="25"/>
      <c r="AO37" s="25">
        <f t="shared" si="33"/>
        <v>0</v>
      </c>
      <c r="AP37" s="25">
        <f t="shared" si="33"/>
        <v>0</v>
      </c>
      <c r="AQ37" s="25">
        <f t="shared" si="33"/>
        <v>0</v>
      </c>
      <c r="AR37" s="25">
        <f t="shared" si="33"/>
        <v>0</v>
      </c>
      <c r="AS37" s="25">
        <f t="shared" si="33"/>
        <v>0</v>
      </c>
    </row>
    <row r="38" spans="1:45" x14ac:dyDescent="0.45">
      <c r="B38" s="34" t="s">
        <v>280</v>
      </c>
      <c r="C38" s="25"/>
      <c r="D38" s="25">
        <f>'BionTech Standardized'!D37</f>
        <v>6.6000000000000003E-2</v>
      </c>
      <c r="E38" s="25">
        <f>'BionTech Standardized'!E37</f>
        <v>1.9E-2</v>
      </c>
      <c r="F38" s="25">
        <f>'BionTech Standardized'!F37</f>
        <v>1.7999999999999999E-2</v>
      </c>
      <c r="G38" s="25">
        <f>'BionTech Standardized'!G37</f>
        <v>0</v>
      </c>
      <c r="H38" s="25">
        <f>'BionTech Standardized'!H37</f>
        <v>0</v>
      </c>
      <c r="I38" s="25">
        <f>'BionTech Standardized'!I37</f>
        <v>21.3</v>
      </c>
      <c r="J38" s="25">
        <f>'BionTech Standardized'!J37</f>
        <v>80.2</v>
      </c>
      <c r="K38" s="25">
        <f>'BionTech Standardized'!K37</f>
        <v>1176.0999999999999</v>
      </c>
      <c r="M38" s="25"/>
      <c r="N38" s="25"/>
      <c r="O38" s="25"/>
      <c r="P38" s="25"/>
      <c r="Q38" s="25"/>
      <c r="S38" s="25"/>
      <c r="T38" s="25"/>
      <c r="U38" s="25"/>
      <c r="V38" s="25"/>
      <c r="W38" s="25"/>
      <c r="X38" s="25"/>
      <c r="Y38" s="25"/>
      <c r="Z38" s="25"/>
      <c r="AA38" s="25"/>
      <c r="AB38" s="25"/>
      <c r="AC38" s="25"/>
      <c r="AD38" s="25"/>
      <c r="AE38" s="25"/>
      <c r="AG38" s="25">
        <f t="shared" si="32"/>
        <v>1.9E-2</v>
      </c>
      <c r="AH38" s="25">
        <f t="shared" si="32"/>
        <v>1.7999999999999999E-2</v>
      </c>
      <c r="AI38" s="25">
        <f t="shared" si="32"/>
        <v>0</v>
      </c>
      <c r="AJ38" s="25">
        <f t="shared" si="32"/>
        <v>0</v>
      </c>
      <c r="AK38" s="25">
        <f t="shared" si="32"/>
        <v>21.3</v>
      </c>
      <c r="AL38" s="25">
        <f t="shared" si="32"/>
        <v>80.2</v>
      </c>
      <c r="AM38" s="25">
        <f t="shared" si="32"/>
        <v>1176.0999999999999</v>
      </c>
      <c r="AN38" s="25"/>
      <c r="AO38" s="25">
        <f t="shared" si="33"/>
        <v>0</v>
      </c>
      <c r="AP38" s="25">
        <f t="shared" si="33"/>
        <v>0</v>
      </c>
      <c r="AQ38" s="25">
        <f t="shared" si="33"/>
        <v>0</v>
      </c>
      <c r="AR38" s="25">
        <f t="shared" si="33"/>
        <v>0</v>
      </c>
      <c r="AS38" s="25">
        <f t="shared" si="33"/>
        <v>0</v>
      </c>
    </row>
    <row r="39" spans="1:45" x14ac:dyDescent="0.45">
      <c r="B39" s="34" t="s">
        <v>281</v>
      </c>
      <c r="C39" s="25"/>
      <c r="D39" s="25">
        <f>'BionTech Standardized'!D38</f>
        <v>2E-3</v>
      </c>
      <c r="E39" s="25">
        <f>'BionTech Standardized'!E38</f>
        <v>0.68700000000000006</v>
      </c>
      <c r="F39" s="25">
        <f>'BionTech Standardized'!F38</f>
        <v>0.89100000000000001</v>
      </c>
      <c r="G39" s="25">
        <f>'BionTech Standardized'!G38</f>
        <v>0.75600000000000001</v>
      </c>
      <c r="H39" s="25">
        <f>'BionTech Standardized'!H38</f>
        <v>162.1</v>
      </c>
      <c r="I39" s="25">
        <f>'BionTech Standardized'!I38</f>
        <v>0.4</v>
      </c>
      <c r="J39" s="25">
        <f>'BionTech Standardized'!J38</f>
        <v>230</v>
      </c>
      <c r="K39" s="25">
        <f>'BionTech Standardized'!K38</f>
        <v>260.39999999999998</v>
      </c>
      <c r="M39" s="25"/>
      <c r="N39" s="25"/>
      <c r="O39" s="25"/>
      <c r="P39" s="25"/>
      <c r="Q39" s="25"/>
      <c r="S39" s="25"/>
      <c r="T39" s="25"/>
      <c r="U39" s="25"/>
      <c r="V39" s="25"/>
      <c r="W39" s="25"/>
      <c r="X39" s="25"/>
      <c r="Y39" s="25"/>
      <c r="Z39" s="25"/>
      <c r="AA39" s="25"/>
      <c r="AB39" s="25"/>
      <c r="AC39" s="25"/>
      <c r="AD39" s="25"/>
      <c r="AE39" s="25"/>
      <c r="AG39" s="25">
        <f t="shared" si="32"/>
        <v>0.68700000000000006</v>
      </c>
      <c r="AH39" s="25">
        <f t="shared" si="32"/>
        <v>0.89100000000000001</v>
      </c>
      <c r="AI39" s="25">
        <f t="shared" si="32"/>
        <v>0.75600000000000001</v>
      </c>
      <c r="AJ39" s="25">
        <f t="shared" si="32"/>
        <v>162.1</v>
      </c>
      <c r="AK39" s="25">
        <f t="shared" si="32"/>
        <v>0.4</v>
      </c>
      <c r="AL39" s="25">
        <f t="shared" si="32"/>
        <v>230</v>
      </c>
      <c r="AM39" s="25">
        <f t="shared" si="32"/>
        <v>260.39999999999998</v>
      </c>
      <c r="AN39" s="25"/>
      <c r="AO39" s="25">
        <f t="shared" si="33"/>
        <v>0</v>
      </c>
      <c r="AP39" s="25">
        <f t="shared" si="33"/>
        <v>0</v>
      </c>
      <c r="AQ39" s="25">
        <f t="shared" si="33"/>
        <v>0</v>
      </c>
      <c r="AR39" s="25">
        <f t="shared" si="33"/>
        <v>0</v>
      </c>
      <c r="AS39" s="25">
        <f t="shared" si="33"/>
        <v>0</v>
      </c>
    </row>
    <row r="40" spans="1:45" x14ac:dyDescent="0.45">
      <c r="B40" s="35" t="s">
        <v>282</v>
      </c>
      <c r="C40" s="36"/>
      <c r="D40" s="36">
        <f t="shared" ref="D40:K40" si="34">SUM(D36:D39)</f>
        <v>71.835999999999999</v>
      </c>
      <c r="E40" s="36">
        <f t="shared" si="34"/>
        <v>185.76400000000001</v>
      </c>
      <c r="F40" s="36">
        <f t="shared" si="34"/>
        <v>204.917</v>
      </c>
      <c r="G40" s="36">
        <f t="shared" si="34"/>
        <v>238.25200000000001</v>
      </c>
      <c r="H40" s="36">
        <f t="shared" si="34"/>
        <v>652.6</v>
      </c>
      <c r="I40" s="36">
        <f t="shared" si="34"/>
        <v>758.89999999999986</v>
      </c>
      <c r="J40" s="36">
        <f t="shared" si="34"/>
        <v>1357.5</v>
      </c>
      <c r="K40" s="36">
        <f t="shared" si="34"/>
        <v>3658.1</v>
      </c>
      <c r="L40" s="36"/>
      <c r="M40" s="36"/>
      <c r="N40" s="36"/>
      <c r="O40" s="36"/>
      <c r="P40" s="36"/>
      <c r="Q40" s="36"/>
      <c r="S40" s="32">
        <f t="shared" ref="S40:AE40" si="35">SUM(S36:S39)</f>
        <v>0</v>
      </c>
      <c r="T40" s="32">
        <f t="shared" si="35"/>
        <v>0</v>
      </c>
      <c r="U40" s="32">
        <f t="shared" si="35"/>
        <v>0</v>
      </c>
      <c r="V40" s="32">
        <f t="shared" si="35"/>
        <v>0</v>
      </c>
      <c r="W40" s="32">
        <f t="shared" si="35"/>
        <v>0</v>
      </c>
      <c r="X40" s="32">
        <f t="shared" si="35"/>
        <v>0</v>
      </c>
      <c r="Y40" s="32">
        <f t="shared" si="35"/>
        <v>0</v>
      </c>
      <c r="Z40" s="32">
        <f t="shared" si="35"/>
        <v>0</v>
      </c>
      <c r="AA40" s="32">
        <f t="shared" si="35"/>
        <v>0</v>
      </c>
      <c r="AB40" s="32">
        <f t="shared" si="35"/>
        <v>0</v>
      </c>
      <c r="AC40" s="32">
        <f t="shared" si="35"/>
        <v>0</v>
      </c>
      <c r="AD40" s="32">
        <f t="shared" si="35"/>
        <v>0</v>
      </c>
      <c r="AE40" s="32">
        <f t="shared" si="35"/>
        <v>0</v>
      </c>
      <c r="AG40" s="32">
        <f t="shared" si="32"/>
        <v>185.76400000000001</v>
      </c>
      <c r="AH40" s="32">
        <f t="shared" si="32"/>
        <v>204.917</v>
      </c>
      <c r="AI40" s="32">
        <f t="shared" si="32"/>
        <v>238.25200000000001</v>
      </c>
      <c r="AJ40" s="32">
        <f t="shared" si="32"/>
        <v>652.6</v>
      </c>
      <c r="AK40" s="32">
        <f t="shared" si="32"/>
        <v>758.89999999999986</v>
      </c>
      <c r="AL40" s="32">
        <f t="shared" si="32"/>
        <v>1357.5</v>
      </c>
      <c r="AM40" s="32">
        <f t="shared" si="32"/>
        <v>3658.1</v>
      </c>
      <c r="AN40" s="32"/>
      <c r="AO40" s="32">
        <f t="shared" si="33"/>
        <v>0</v>
      </c>
      <c r="AP40" s="32">
        <f t="shared" si="33"/>
        <v>0</v>
      </c>
      <c r="AQ40" s="32">
        <f t="shared" si="33"/>
        <v>0</v>
      </c>
      <c r="AR40" s="32">
        <f t="shared" si="33"/>
        <v>0</v>
      </c>
      <c r="AS40" s="32">
        <f t="shared" si="33"/>
        <v>0</v>
      </c>
    </row>
    <row r="42" spans="1:45" x14ac:dyDescent="0.45">
      <c r="B42" s="34" t="s">
        <v>136</v>
      </c>
      <c r="C42" s="25"/>
      <c r="D42" s="25">
        <f>'BionTech Standardized'!D33</f>
        <v>3.266</v>
      </c>
      <c r="E42" s="25">
        <f>'BionTech Standardized'!E33</f>
        <v>3.8759999999999999</v>
      </c>
      <c r="F42" s="25">
        <f>'BionTech Standardized'!F33</f>
        <v>5.7889999999999997</v>
      </c>
      <c r="G42" s="25">
        <f>'BionTech Standardized'!G33</f>
        <v>11.722</v>
      </c>
      <c r="H42" s="25">
        <f>'BionTech Standardized'!H33</f>
        <v>64.099999999999994</v>
      </c>
      <c r="I42" s="25">
        <f>'BionTech Standardized'!I33</f>
        <v>502.5</v>
      </c>
      <c r="J42" s="25">
        <f>'BionTech Standardized'!J33</f>
        <v>439.6</v>
      </c>
      <c r="K42" s="25">
        <f>'BionTech Standardized'!K33</f>
        <v>357.7</v>
      </c>
      <c r="L42" s="25"/>
      <c r="M42" s="25"/>
      <c r="N42" s="25"/>
      <c r="O42" s="25"/>
      <c r="P42" s="25"/>
      <c r="Q42" s="25"/>
      <c r="S42" s="25"/>
      <c r="T42" s="25"/>
      <c r="U42" s="25"/>
      <c r="V42" s="25"/>
      <c r="W42" s="25"/>
      <c r="X42" s="25"/>
      <c r="Y42" s="25"/>
      <c r="Z42" s="25"/>
      <c r="AA42" s="25"/>
      <c r="AB42" s="25"/>
      <c r="AC42" s="25"/>
      <c r="AD42" s="25"/>
      <c r="AE42" s="25"/>
      <c r="AG42" s="25">
        <f t="shared" ref="AG42:AM46" si="36">E42+T42</f>
        <v>3.8759999999999999</v>
      </c>
      <c r="AH42" s="25">
        <f t="shared" si="36"/>
        <v>5.7889999999999997</v>
      </c>
      <c r="AI42" s="25">
        <f t="shared" si="36"/>
        <v>11.722</v>
      </c>
      <c r="AJ42" s="25">
        <f t="shared" si="36"/>
        <v>64.099999999999994</v>
      </c>
      <c r="AK42" s="25">
        <f t="shared" si="36"/>
        <v>502.5</v>
      </c>
      <c r="AL42" s="25">
        <f t="shared" si="36"/>
        <v>439.6</v>
      </c>
      <c r="AM42" s="25">
        <f t="shared" si="36"/>
        <v>357.7</v>
      </c>
      <c r="AN42" s="25"/>
      <c r="AO42" s="25">
        <f t="shared" ref="AO42:AS46" si="37">M42+AA42</f>
        <v>0</v>
      </c>
      <c r="AP42" s="25">
        <f t="shared" si="37"/>
        <v>0</v>
      </c>
      <c r="AQ42" s="25">
        <f t="shared" si="37"/>
        <v>0</v>
      </c>
      <c r="AR42" s="25">
        <f t="shared" si="37"/>
        <v>0</v>
      </c>
      <c r="AS42" s="25">
        <f t="shared" si="37"/>
        <v>0</v>
      </c>
    </row>
    <row r="43" spans="1:45" x14ac:dyDescent="0.45">
      <c r="B43" s="34" t="s">
        <v>283</v>
      </c>
      <c r="C43" s="25"/>
      <c r="D43" s="25">
        <f>'BionTech Standardized'!D32</f>
        <v>3.161</v>
      </c>
      <c r="E43" s="25">
        <f>'BionTech Standardized'!E32</f>
        <v>4.5750000000000002</v>
      </c>
      <c r="F43" s="25">
        <f>'BionTech Standardized'!F32</f>
        <v>18.937999999999999</v>
      </c>
      <c r="G43" s="25">
        <f>'BionTech Standardized'!G32</f>
        <v>11.913</v>
      </c>
      <c r="H43" s="25">
        <f>'BionTech Standardized'!H32</f>
        <v>165.5</v>
      </c>
      <c r="I43" s="25">
        <f>'BionTech Standardized'!I32</f>
        <v>12381.7</v>
      </c>
      <c r="J43" s="25">
        <f>'BionTech Standardized'!J32</f>
        <v>7145.6</v>
      </c>
      <c r="K43" s="25">
        <f>'BionTech Standardized'!K32</f>
        <v>2155.6999999999998</v>
      </c>
      <c r="L43" s="25"/>
      <c r="M43" s="25"/>
      <c r="N43" s="25"/>
      <c r="O43" s="25"/>
      <c r="P43" s="25"/>
      <c r="Q43" s="25"/>
      <c r="S43" s="25"/>
      <c r="T43" s="25"/>
      <c r="U43" s="25"/>
      <c r="V43" s="25"/>
      <c r="W43" s="25"/>
      <c r="X43" s="25"/>
      <c r="Y43" s="25"/>
      <c r="Z43" s="25"/>
      <c r="AA43" s="25"/>
      <c r="AB43" s="25"/>
      <c r="AC43" s="25"/>
      <c r="AD43" s="25"/>
      <c r="AE43" s="25"/>
      <c r="AG43" s="25">
        <f t="shared" si="36"/>
        <v>4.5750000000000002</v>
      </c>
      <c r="AH43" s="25">
        <f t="shared" si="36"/>
        <v>18.937999999999999</v>
      </c>
      <c r="AI43" s="25">
        <f t="shared" si="36"/>
        <v>11.913</v>
      </c>
      <c r="AJ43" s="25">
        <f t="shared" si="36"/>
        <v>165.5</v>
      </c>
      <c r="AK43" s="25">
        <f t="shared" si="36"/>
        <v>12381.7</v>
      </c>
      <c r="AL43" s="25">
        <f t="shared" si="36"/>
        <v>7145.6</v>
      </c>
      <c r="AM43" s="25">
        <f t="shared" si="36"/>
        <v>2155.6999999999998</v>
      </c>
      <c r="AN43" s="25"/>
      <c r="AO43" s="25">
        <f t="shared" si="37"/>
        <v>0</v>
      </c>
      <c r="AP43" s="25">
        <f t="shared" si="37"/>
        <v>0</v>
      </c>
      <c r="AQ43" s="25">
        <f t="shared" si="37"/>
        <v>0</v>
      </c>
      <c r="AR43" s="25">
        <f t="shared" si="37"/>
        <v>0</v>
      </c>
      <c r="AS43" s="25">
        <f t="shared" si="37"/>
        <v>0</v>
      </c>
    </row>
    <row r="44" spans="1:45" x14ac:dyDescent="0.45">
      <c r="B44" s="34" t="s">
        <v>284</v>
      </c>
      <c r="C44" s="25"/>
      <c r="D44" s="25">
        <f>'BionTech Standardized'!D34</f>
        <v>8.016</v>
      </c>
      <c r="E44" s="25">
        <f>'BionTech Standardized'!E34</f>
        <v>8.3920000000000012</v>
      </c>
      <c r="F44" s="25">
        <f>'BionTech Standardized'!F34</f>
        <v>11.847</v>
      </c>
      <c r="G44" s="25">
        <f>'BionTech Standardized'!G34</f>
        <v>16.611000000000001</v>
      </c>
      <c r="H44" s="25">
        <f>'BionTech Standardized'!H34</f>
        <v>226.2</v>
      </c>
      <c r="I44" s="25">
        <f>'BionTech Standardized'!I34</f>
        <v>495</v>
      </c>
      <c r="J44" s="25">
        <f>'BionTech Standardized'!J34</f>
        <v>461.29999999999995</v>
      </c>
      <c r="K44" s="25">
        <f>'BionTech Standardized'!K34</f>
        <v>5171.0999999999995</v>
      </c>
      <c r="L44" s="25"/>
      <c r="M44" s="25"/>
      <c r="N44" s="25"/>
      <c r="O44" s="25"/>
      <c r="P44" s="25"/>
      <c r="Q44" s="25"/>
      <c r="S44" s="25"/>
      <c r="T44" s="25"/>
      <c r="U44" s="25"/>
      <c r="V44" s="25"/>
      <c r="W44" s="25"/>
      <c r="X44" s="25"/>
      <c r="Y44" s="25"/>
      <c r="Z44" s="25"/>
      <c r="AA44" s="25"/>
      <c r="AB44" s="25"/>
      <c r="AC44" s="25"/>
      <c r="AD44" s="25"/>
      <c r="AE44" s="25"/>
      <c r="AG44" s="25">
        <f t="shared" si="36"/>
        <v>8.3920000000000012</v>
      </c>
      <c r="AH44" s="25">
        <f t="shared" si="36"/>
        <v>11.847</v>
      </c>
      <c r="AI44" s="25">
        <f t="shared" si="36"/>
        <v>16.611000000000001</v>
      </c>
      <c r="AJ44" s="25">
        <f t="shared" si="36"/>
        <v>226.2</v>
      </c>
      <c r="AK44" s="25">
        <f t="shared" si="36"/>
        <v>495</v>
      </c>
      <c r="AL44" s="25">
        <f t="shared" si="36"/>
        <v>461.29999999999995</v>
      </c>
      <c r="AM44" s="25">
        <f t="shared" si="36"/>
        <v>5171.0999999999995</v>
      </c>
      <c r="AN44" s="25"/>
      <c r="AO44" s="25">
        <f t="shared" si="37"/>
        <v>0</v>
      </c>
      <c r="AP44" s="25">
        <f t="shared" si="37"/>
        <v>0</v>
      </c>
      <c r="AQ44" s="25">
        <f t="shared" si="37"/>
        <v>0</v>
      </c>
      <c r="AR44" s="25">
        <f t="shared" si="37"/>
        <v>0</v>
      </c>
      <c r="AS44" s="25">
        <f t="shared" si="37"/>
        <v>0</v>
      </c>
    </row>
    <row r="45" spans="1:45" x14ac:dyDescent="0.45">
      <c r="B45" s="34" t="s">
        <v>285</v>
      </c>
      <c r="C45" s="25"/>
      <c r="D45" s="27">
        <f>'BionTech Standardized'!D31</f>
        <v>303.68</v>
      </c>
      <c r="E45" s="27">
        <f>'BionTech Standardized'!E31</f>
        <v>172.10599999999999</v>
      </c>
      <c r="F45" s="27">
        <f>'BionTech Standardized'!F31</f>
        <v>411.495</v>
      </c>
      <c r="G45" s="27">
        <f>'BionTech Standardized'!G31</f>
        <v>519.149</v>
      </c>
      <c r="H45" s="27">
        <f>'BionTech Standardized'!H31</f>
        <v>1210.2</v>
      </c>
      <c r="I45" s="27">
        <f>'BionTech Standardized'!I31</f>
        <v>1692.7</v>
      </c>
      <c r="J45" s="27">
        <f>'BionTech Standardized'!J31</f>
        <v>13875.1</v>
      </c>
      <c r="K45" s="27">
        <f>'BionTech Standardized'!K31</f>
        <v>11663.7</v>
      </c>
      <c r="L45" s="27"/>
      <c r="M45" s="27"/>
      <c r="N45" s="27"/>
      <c r="O45" s="27"/>
      <c r="P45" s="27"/>
      <c r="Q45" s="27"/>
      <c r="S45" s="27"/>
      <c r="T45" s="27"/>
      <c r="U45" s="27"/>
      <c r="V45" s="27"/>
      <c r="W45" s="27"/>
      <c r="X45" s="27"/>
      <c r="Y45" s="27"/>
      <c r="Z45" s="27"/>
      <c r="AA45" s="27"/>
      <c r="AB45" s="27"/>
      <c r="AC45" s="27"/>
      <c r="AD45" s="27"/>
      <c r="AE45" s="27"/>
      <c r="AG45" s="27">
        <f t="shared" si="36"/>
        <v>172.10599999999999</v>
      </c>
      <c r="AH45" s="27">
        <f t="shared" si="36"/>
        <v>411.495</v>
      </c>
      <c r="AI45" s="27">
        <f t="shared" si="36"/>
        <v>519.149</v>
      </c>
      <c r="AJ45" s="27">
        <f t="shared" si="36"/>
        <v>1210.2</v>
      </c>
      <c r="AK45" s="27">
        <f t="shared" si="36"/>
        <v>1692.7</v>
      </c>
      <c r="AL45" s="27">
        <f t="shared" si="36"/>
        <v>13875.1</v>
      </c>
      <c r="AM45" s="27">
        <f t="shared" si="36"/>
        <v>11663.7</v>
      </c>
      <c r="AN45" s="27"/>
      <c r="AO45" s="27">
        <f>M45+AA45</f>
        <v>0</v>
      </c>
      <c r="AP45" s="27">
        <f t="shared" si="37"/>
        <v>0</v>
      </c>
      <c r="AQ45" s="27">
        <f t="shared" si="37"/>
        <v>0</v>
      </c>
      <c r="AR45" s="27">
        <f t="shared" si="37"/>
        <v>0</v>
      </c>
      <c r="AS45" s="27">
        <f t="shared" si="37"/>
        <v>0</v>
      </c>
    </row>
    <row r="46" spans="1:45" x14ac:dyDescent="0.45">
      <c r="B46" s="35" t="s">
        <v>286</v>
      </c>
      <c r="C46" s="36"/>
      <c r="D46" s="32">
        <f t="shared" ref="D46:K46" si="38">SUM(D42:D45)</f>
        <v>318.12299999999999</v>
      </c>
      <c r="E46" s="32">
        <f t="shared" si="38"/>
        <v>188.94900000000001</v>
      </c>
      <c r="F46" s="32">
        <f t="shared" si="38"/>
        <v>448.06900000000002</v>
      </c>
      <c r="G46" s="32">
        <f t="shared" si="38"/>
        <v>559.39499999999998</v>
      </c>
      <c r="H46" s="32">
        <f t="shared" si="38"/>
        <v>1666</v>
      </c>
      <c r="I46" s="32">
        <f t="shared" si="38"/>
        <v>15071.900000000001</v>
      </c>
      <c r="J46" s="32">
        <f t="shared" si="38"/>
        <v>21921.600000000002</v>
      </c>
      <c r="K46" s="32">
        <f t="shared" si="38"/>
        <v>19348.2</v>
      </c>
      <c r="L46" s="32"/>
      <c r="M46" s="32"/>
      <c r="N46" s="32"/>
      <c r="O46" s="32"/>
      <c r="P46" s="32"/>
      <c r="Q46" s="32"/>
      <c r="S46" s="32">
        <f>SUM(S42:S45)</f>
        <v>0</v>
      </c>
      <c r="T46" s="32">
        <f t="shared" ref="T46:AE46" si="39">SUM(T42:T45)</f>
        <v>0</v>
      </c>
      <c r="U46" s="32">
        <f t="shared" si="39"/>
        <v>0</v>
      </c>
      <c r="V46" s="32">
        <f t="shared" si="39"/>
        <v>0</v>
      </c>
      <c r="W46" s="32">
        <f t="shared" si="39"/>
        <v>0</v>
      </c>
      <c r="X46" s="32">
        <f t="shared" si="39"/>
        <v>0</v>
      </c>
      <c r="Y46" s="32">
        <f t="shared" si="39"/>
        <v>0</v>
      </c>
      <c r="Z46" s="32">
        <f t="shared" si="39"/>
        <v>0</v>
      </c>
      <c r="AA46" s="32">
        <f t="shared" si="39"/>
        <v>0</v>
      </c>
      <c r="AB46" s="32">
        <f t="shared" si="39"/>
        <v>0</v>
      </c>
      <c r="AC46" s="32">
        <f t="shared" si="39"/>
        <v>0</v>
      </c>
      <c r="AD46" s="32">
        <f t="shared" si="39"/>
        <v>0</v>
      </c>
      <c r="AE46" s="32">
        <f t="shared" si="39"/>
        <v>0</v>
      </c>
      <c r="AG46" s="32">
        <f t="shared" si="36"/>
        <v>188.94900000000001</v>
      </c>
      <c r="AH46" s="32">
        <f t="shared" si="36"/>
        <v>448.06900000000002</v>
      </c>
      <c r="AI46" s="32">
        <f t="shared" si="36"/>
        <v>559.39499999999998</v>
      </c>
      <c r="AJ46" s="32">
        <f t="shared" si="36"/>
        <v>1666</v>
      </c>
      <c r="AK46" s="32">
        <f t="shared" si="36"/>
        <v>15071.900000000001</v>
      </c>
      <c r="AL46" s="32">
        <f t="shared" si="36"/>
        <v>21921.600000000002</v>
      </c>
      <c r="AM46" s="32">
        <f t="shared" si="36"/>
        <v>19348.2</v>
      </c>
      <c r="AN46" s="32"/>
      <c r="AO46" s="32">
        <f t="shared" si="37"/>
        <v>0</v>
      </c>
      <c r="AP46" s="32">
        <f t="shared" si="37"/>
        <v>0</v>
      </c>
      <c r="AQ46" s="32">
        <f t="shared" si="37"/>
        <v>0</v>
      </c>
      <c r="AR46" s="32">
        <f t="shared" si="37"/>
        <v>0</v>
      </c>
      <c r="AS46" s="32">
        <f t="shared" si="37"/>
        <v>0</v>
      </c>
    </row>
    <row r="48" spans="1:45" ht="14.65" thickBot="1" x14ac:dyDescent="0.5">
      <c r="B48" s="34"/>
      <c r="D48" s="49"/>
      <c r="E48" s="49"/>
      <c r="F48" s="49"/>
      <c r="G48" s="49"/>
      <c r="H48" s="49"/>
      <c r="I48" s="49"/>
      <c r="J48" s="49"/>
      <c r="K48" s="49"/>
      <c r="L48" s="49"/>
      <c r="M48" s="49"/>
      <c r="N48" s="49"/>
      <c r="O48" s="49"/>
      <c r="P48" s="49"/>
      <c r="Q48" s="49"/>
      <c r="S48" s="49"/>
      <c r="T48" s="49"/>
      <c r="U48" s="49"/>
      <c r="V48" s="49"/>
      <c r="W48" s="49"/>
      <c r="X48" s="49"/>
      <c r="Y48" s="49"/>
      <c r="Z48" s="49"/>
      <c r="AA48" s="49"/>
      <c r="AB48" s="49"/>
      <c r="AC48" s="49"/>
      <c r="AD48" s="49"/>
      <c r="AE48" s="49"/>
      <c r="AG48" s="49"/>
      <c r="AH48" s="49"/>
      <c r="AI48" s="49"/>
      <c r="AJ48" s="49"/>
      <c r="AK48" s="49"/>
      <c r="AL48" s="49"/>
      <c r="AM48" s="49"/>
      <c r="AN48" s="49"/>
      <c r="AO48" s="49"/>
      <c r="AP48" s="49"/>
      <c r="AQ48" s="49"/>
      <c r="AR48" s="49"/>
      <c r="AS48" s="49"/>
    </row>
    <row r="49" spans="2:45" ht="14.65" thickTop="1" x14ac:dyDescent="0.45">
      <c r="B49" s="444" t="s">
        <v>287</v>
      </c>
      <c r="C49" s="445"/>
      <c r="D49" s="32">
        <f t="shared" ref="D49:K49" si="40">SUM(D40,D46)</f>
        <v>389.959</v>
      </c>
      <c r="E49" s="32">
        <f t="shared" si="40"/>
        <v>374.71300000000002</v>
      </c>
      <c r="F49" s="32">
        <f t="shared" si="40"/>
        <v>652.98599999999999</v>
      </c>
      <c r="G49" s="32">
        <f t="shared" si="40"/>
        <v>797.64699999999993</v>
      </c>
      <c r="H49" s="32">
        <f t="shared" si="40"/>
        <v>2318.6</v>
      </c>
      <c r="I49" s="32">
        <f t="shared" si="40"/>
        <v>15830.800000000001</v>
      </c>
      <c r="J49" s="32">
        <f t="shared" si="40"/>
        <v>23279.100000000002</v>
      </c>
      <c r="K49" s="32">
        <f t="shared" si="40"/>
        <v>23006.3</v>
      </c>
      <c r="L49" s="32"/>
      <c r="M49" s="32"/>
      <c r="N49" s="32"/>
      <c r="O49" s="32"/>
      <c r="P49" s="32"/>
      <c r="Q49" s="32"/>
      <c r="S49" s="32">
        <f>SUM(S40,S46)</f>
        <v>0</v>
      </c>
      <c r="T49" s="32">
        <f t="shared" ref="T49:AE49" si="41">SUM(T40,T46)</f>
        <v>0</v>
      </c>
      <c r="U49" s="32">
        <f t="shared" si="41"/>
        <v>0</v>
      </c>
      <c r="V49" s="32">
        <f t="shared" si="41"/>
        <v>0</v>
      </c>
      <c r="W49" s="32">
        <f t="shared" si="41"/>
        <v>0</v>
      </c>
      <c r="X49" s="32">
        <f t="shared" si="41"/>
        <v>0</v>
      </c>
      <c r="Y49" s="32">
        <f t="shared" si="41"/>
        <v>0</v>
      </c>
      <c r="Z49" s="32">
        <f t="shared" si="41"/>
        <v>0</v>
      </c>
      <c r="AA49" s="32">
        <f t="shared" si="41"/>
        <v>0</v>
      </c>
      <c r="AB49" s="32">
        <f t="shared" si="41"/>
        <v>0</v>
      </c>
      <c r="AC49" s="32">
        <f t="shared" si="41"/>
        <v>0</v>
      </c>
      <c r="AD49" s="32">
        <f t="shared" si="41"/>
        <v>0</v>
      </c>
      <c r="AE49" s="32">
        <f t="shared" si="41"/>
        <v>0</v>
      </c>
      <c r="AG49" s="32">
        <f>E49+S49</f>
        <v>374.71300000000002</v>
      </c>
      <c r="AH49" s="32">
        <f t="shared" ref="AH49:AM49" si="42">F49+T49</f>
        <v>652.98599999999999</v>
      </c>
      <c r="AI49" s="32">
        <f t="shared" si="42"/>
        <v>797.64699999999993</v>
      </c>
      <c r="AJ49" s="32">
        <f t="shared" si="42"/>
        <v>2318.6</v>
      </c>
      <c r="AK49" s="32">
        <f t="shared" si="42"/>
        <v>15830.800000000001</v>
      </c>
      <c r="AL49" s="32">
        <f t="shared" si="42"/>
        <v>23279.100000000002</v>
      </c>
      <c r="AM49" s="32">
        <f t="shared" si="42"/>
        <v>23006.3</v>
      </c>
      <c r="AN49" s="32"/>
      <c r="AO49" s="32">
        <f t="shared" ref="AO49:AS49" si="43">M49+AA49</f>
        <v>0</v>
      </c>
      <c r="AP49" s="32">
        <f t="shared" si="43"/>
        <v>0</v>
      </c>
      <c r="AQ49" s="32">
        <f t="shared" si="43"/>
        <v>0</v>
      </c>
      <c r="AR49" s="32">
        <f t="shared" si="43"/>
        <v>0</v>
      </c>
      <c r="AS49" s="32">
        <f t="shared" si="43"/>
        <v>0</v>
      </c>
    </row>
    <row r="51" spans="2:45" x14ac:dyDescent="0.45">
      <c r="B51" s="24" t="s">
        <v>288</v>
      </c>
    </row>
    <row r="52" spans="2:45" x14ac:dyDescent="0.45">
      <c r="B52" s="42" t="s">
        <v>289</v>
      </c>
      <c r="C52" s="23"/>
      <c r="D52" s="23">
        <f>'BionTech Standardized'!D50</f>
        <v>30.470999999999997</v>
      </c>
      <c r="E52" s="23">
        <f>'BionTech Standardized'!E50</f>
        <v>-49.295999999999978</v>
      </c>
      <c r="F52" s="23">
        <f>'BionTech Standardized'!F50</f>
        <v>266.15299999999996</v>
      </c>
      <c r="G52" s="23">
        <f>'BionTech Standardized'!G50</f>
        <v>493.49200000000008</v>
      </c>
      <c r="H52" s="23">
        <f>'BionTech Standardized'!H50</f>
        <v>1371.8000000000002</v>
      </c>
      <c r="I52" s="23">
        <f>'BionTech Standardized'!I50</f>
        <v>11893.699999999999</v>
      </c>
      <c r="J52" s="23">
        <f>'BionTech Standardized'!J50</f>
        <v>20055.599999999999</v>
      </c>
      <c r="K52" s="23">
        <f>'BionTech Standardized'!K50</f>
        <v>20245.900000000001</v>
      </c>
      <c r="L52" s="23"/>
      <c r="M52" s="23"/>
      <c r="N52" s="23"/>
      <c r="O52" s="23"/>
      <c r="P52" s="23"/>
      <c r="Q52" s="23"/>
      <c r="S52" s="23"/>
      <c r="T52" s="23"/>
      <c r="U52" s="23"/>
      <c r="V52" s="23"/>
      <c r="W52" s="23"/>
      <c r="X52" s="23"/>
      <c r="Y52" s="23"/>
      <c r="Z52" s="23"/>
      <c r="AA52" s="23"/>
      <c r="AB52" s="23"/>
      <c r="AC52" s="23"/>
      <c r="AD52" s="23"/>
      <c r="AE52" s="23"/>
      <c r="AG52" s="23">
        <f>E52+S52</f>
        <v>-49.295999999999978</v>
      </c>
      <c r="AH52" s="23">
        <f t="shared" ref="AH52:AM52" si="44">F52+T52</f>
        <v>266.15299999999996</v>
      </c>
      <c r="AI52" s="23">
        <f t="shared" si="44"/>
        <v>493.49200000000008</v>
      </c>
      <c r="AJ52" s="23">
        <f t="shared" si="44"/>
        <v>1371.8000000000002</v>
      </c>
      <c r="AK52" s="23">
        <f t="shared" si="44"/>
        <v>11893.699999999999</v>
      </c>
      <c r="AL52" s="23">
        <f t="shared" si="44"/>
        <v>20055.599999999999</v>
      </c>
      <c r="AM52" s="23">
        <f t="shared" si="44"/>
        <v>20245.900000000001</v>
      </c>
      <c r="AN52" s="23"/>
      <c r="AO52" s="23">
        <f t="shared" ref="AO52:AS52" si="45">M52+AA52</f>
        <v>0</v>
      </c>
      <c r="AP52" s="23">
        <f t="shared" si="45"/>
        <v>0</v>
      </c>
      <c r="AQ52" s="23">
        <f t="shared" si="45"/>
        <v>0</v>
      </c>
      <c r="AR52" s="23">
        <f t="shared" si="45"/>
        <v>0</v>
      </c>
      <c r="AS52" s="23">
        <f t="shared" si="45"/>
        <v>0</v>
      </c>
    </row>
    <row r="53" spans="2:45" hidden="1" x14ac:dyDescent="0.45">
      <c r="B53" s="24" t="s">
        <v>290</v>
      </c>
      <c r="D53" s="24">
        <f>'BionTech Standardized'!D51</f>
        <v>0</v>
      </c>
      <c r="E53" s="24">
        <f>'BionTech Standardized'!E51</f>
        <v>0</v>
      </c>
      <c r="F53" s="24">
        <f>'BionTech Standardized'!F51</f>
        <v>0</v>
      </c>
      <c r="G53" s="24">
        <f>'BionTech Standardized'!G51</f>
        <v>0</v>
      </c>
      <c r="H53" s="24">
        <f>'BionTech Standardized'!H51</f>
        <v>0</v>
      </c>
      <c r="I53" s="24">
        <f>'BionTech Standardized'!I51</f>
        <v>0</v>
      </c>
      <c r="J53" s="24">
        <f>'BionTech Standardized'!J51</f>
        <v>0</v>
      </c>
      <c r="K53" s="24">
        <f>'BionTech Standardized'!K51</f>
        <v>0</v>
      </c>
      <c r="AG53" s="23">
        <f t="shared" ref="AG53:AG55" si="46">E53+S53</f>
        <v>0</v>
      </c>
      <c r="AH53" s="23">
        <f t="shared" ref="AH53:AH55" si="47">F53+T53</f>
        <v>0</v>
      </c>
      <c r="AI53" s="23">
        <f t="shared" ref="AI53:AI55" si="48">G53+U53</f>
        <v>0</v>
      </c>
      <c r="AJ53" s="23">
        <f t="shared" ref="AJ53:AJ55" si="49">H53+V53</f>
        <v>0</v>
      </c>
      <c r="AK53" s="23">
        <f t="shared" ref="AK53:AK55" si="50">I53+W53</f>
        <v>0</v>
      </c>
      <c r="AL53" s="23">
        <f t="shared" ref="AL53:AL55" si="51">J53+X53</f>
        <v>0</v>
      </c>
      <c r="AM53" s="23">
        <f t="shared" ref="AM53:AM55" si="52">K53+Y53</f>
        <v>0</v>
      </c>
    </row>
    <row r="54" spans="2:45" x14ac:dyDescent="0.45">
      <c r="B54" s="216" t="s">
        <v>291</v>
      </c>
      <c r="C54" s="25"/>
      <c r="D54" s="25">
        <f>'BionTech Standardized'!D49</f>
        <v>1.387</v>
      </c>
      <c r="E54" s="25">
        <f>'BionTech Standardized'!E49</f>
        <v>1.0900000000000001</v>
      </c>
      <c r="F54" s="25">
        <f>'BionTech Standardized'!F49</f>
        <v>0.84699999999999998</v>
      </c>
      <c r="G54" s="25">
        <f>'BionTech Standardized'!G49</f>
        <v>0</v>
      </c>
      <c r="H54" s="25">
        <f>'BionTech Standardized'!H49</f>
        <v>0</v>
      </c>
      <c r="I54" s="25">
        <f>'BionTech Standardized'!I49</f>
        <v>0</v>
      </c>
      <c r="J54" s="25">
        <f>'BionTech Standardized'!J49</f>
        <v>0</v>
      </c>
      <c r="K54" s="25">
        <f>'BionTech Standardized'!K49</f>
        <v>0</v>
      </c>
      <c r="L54" s="23"/>
      <c r="M54" s="23"/>
      <c r="N54" s="23"/>
      <c r="O54" s="23"/>
      <c r="P54" s="23"/>
      <c r="Q54" s="23"/>
      <c r="S54" s="23"/>
      <c r="T54" s="23"/>
      <c r="U54" s="23"/>
      <c r="V54" s="23"/>
      <c r="W54" s="23"/>
      <c r="X54" s="23"/>
      <c r="Y54" s="23"/>
      <c r="Z54" s="23"/>
      <c r="AA54" s="23"/>
      <c r="AB54" s="23"/>
      <c r="AC54" s="23"/>
      <c r="AD54" s="23"/>
      <c r="AE54" s="23"/>
      <c r="AG54" s="23">
        <f t="shared" si="46"/>
        <v>1.0900000000000001</v>
      </c>
      <c r="AH54" s="23">
        <f t="shared" si="47"/>
        <v>0.84699999999999998</v>
      </c>
      <c r="AI54" s="23">
        <f t="shared" si="48"/>
        <v>0</v>
      </c>
      <c r="AJ54" s="23">
        <f t="shared" si="49"/>
        <v>0</v>
      </c>
      <c r="AK54" s="23">
        <f t="shared" si="50"/>
        <v>0</v>
      </c>
      <c r="AL54" s="23">
        <f t="shared" si="51"/>
        <v>0</v>
      </c>
      <c r="AM54" s="23">
        <f t="shared" si="52"/>
        <v>0</v>
      </c>
      <c r="AN54" s="23"/>
      <c r="AO54" s="23">
        <f t="shared" ref="AO54:AS54" si="53">M54+AA54</f>
        <v>0</v>
      </c>
      <c r="AP54" s="23">
        <f t="shared" si="53"/>
        <v>0</v>
      </c>
      <c r="AQ54" s="23">
        <f t="shared" si="53"/>
        <v>0</v>
      </c>
      <c r="AR54" s="23">
        <f t="shared" si="53"/>
        <v>0</v>
      </c>
      <c r="AS54" s="23">
        <f t="shared" si="53"/>
        <v>0</v>
      </c>
    </row>
    <row r="55" spans="2:45" hidden="1" x14ac:dyDescent="0.45">
      <c r="AG55" s="24">
        <f t="shared" si="46"/>
        <v>0</v>
      </c>
      <c r="AH55" s="24">
        <f t="shared" si="47"/>
        <v>0</v>
      </c>
      <c r="AI55" s="24">
        <f t="shared" si="48"/>
        <v>0</v>
      </c>
      <c r="AJ55" s="24">
        <f t="shared" si="49"/>
        <v>0</v>
      </c>
      <c r="AK55" s="24">
        <f t="shared" si="50"/>
        <v>0</v>
      </c>
      <c r="AL55" s="24">
        <f t="shared" si="51"/>
        <v>0</v>
      </c>
      <c r="AM55" s="24">
        <f t="shared" si="52"/>
        <v>0</v>
      </c>
    </row>
    <row r="56" spans="2:45" hidden="1" x14ac:dyDescent="0.45">
      <c r="AG56" s="24">
        <f t="shared" ref="AG56:AG59" si="54">E56+S56</f>
        <v>0</v>
      </c>
      <c r="AH56" s="24">
        <f t="shared" ref="AH56:AH59" si="55">F56+T56</f>
        <v>0</v>
      </c>
      <c r="AI56" s="24">
        <f t="shared" ref="AI56:AI59" si="56">G56+U56</f>
        <v>0</v>
      </c>
      <c r="AJ56" s="24">
        <f t="shared" ref="AJ56:AJ59" si="57">H56+V56</f>
        <v>0</v>
      </c>
      <c r="AK56" s="24">
        <f t="shared" ref="AK56:AK59" si="58">I56+W56</f>
        <v>0</v>
      </c>
      <c r="AL56" s="24">
        <f t="shared" ref="AL56:AL59" si="59">J56+X56</f>
        <v>0</v>
      </c>
      <c r="AM56" s="24">
        <f t="shared" ref="AM56:AM59" si="60">K56+Y56</f>
        <v>0</v>
      </c>
    </row>
    <row r="57" spans="2:45" x14ac:dyDescent="0.45">
      <c r="B57" s="34" t="s">
        <v>292</v>
      </c>
      <c r="C57" s="25"/>
      <c r="D57" s="25">
        <f>'BionTech Standardized'!D46</f>
        <v>0</v>
      </c>
      <c r="E57" s="25">
        <f>'BionTech Standardized'!E46</f>
        <v>0</v>
      </c>
      <c r="F57" s="25">
        <f>'BionTech Standardized'!F46</f>
        <v>0</v>
      </c>
      <c r="G57" s="25">
        <f>'BionTech Standardized'!G46</f>
        <v>68.903999999999996</v>
      </c>
      <c r="H57" s="25">
        <f>'BionTech Standardized'!H46</f>
        <v>231</v>
      </c>
      <c r="I57" s="25">
        <f>'BionTech Standardized'!I46</f>
        <v>171.6</v>
      </c>
      <c r="J57" s="25">
        <f>'BionTech Standardized'!J46</f>
        <v>176.2</v>
      </c>
      <c r="K57" s="25">
        <f>'BionTech Standardized'!K46</f>
        <v>191</v>
      </c>
      <c r="L57" s="25"/>
      <c r="M57" s="25"/>
      <c r="N57" s="25"/>
      <c r="O57" s="25"/>
      <c r="P57" s="25"/>
      <c r="Q57" s="25"/>
      <c r="S57" s="25"/>
      <c r="T57" s="25"/>
      <c r="U57" s="25"/>
      <c r="V57" s="25"/>
      <c r="W57" s="25"/>
      <c r="X57" s="25"/>
      <c r="Y57" s="25"/>
      <c r="Z57" s="25"/>
      <c r="AA57" s="25"/>
      <c r="AB57" s="25"/>
      <c r="AC57" s="25"/>
      <c r="AD57" s="25"/>
      <c r="AE57" s="25"/>
      <c r="AG57" s="25">
        <f t="shared" si="54"/>
        <v>0</v>
      </c>
      <c r="AH57" s="25">
        <f t="shared" si="55"/>
        <v>0</v>
      </c>
      <c r="AI57" s="25">
        <f t="shared" si="56"/>
        <v>68.903999999999996</v>
      </c>
      <c r="AJ57" s="25">
        <f t="shared" si="57"/>
        <v>231</v>
      </c>
      <c r="AK57" s="25">
        <f t="shared" si="58"/>
        <v>171.6</v>
      </c>
      <c r="AL57" s="25">
        <f t="shared" si="59"/>
        <v>176.2</v>
      </c>
      <c r="AM57" s="25">
        <f t="shared" si="60"/>
        <v>191</v>
      </c>
      <c r="AN57" s="25"/>
      <c r="AO57" s="25">
        <f t="shared" ref="AO57:AS60" si="61">M57+AA57</f>
        <v>0</v>
      </c>
      <c r="AP57" s="25">
        <f t="shared" si="61"/>
        <v>0</v>
      </c>
      <c r="AQ57" s="25">
        <f t="shared" si="61"/>
        <v>0</v>
      </c>
      <c r="AR57" s="25">
        <f t="shared" si="61"/>
        <v>0</v>
      </c>
      <c r="AS57" s="25">
        <f t="shared" si="61"/>
        <v>0</v>
      </c>
    </row>
    <row r="58" spans="2:45" x14ac:dyDescent="0.45">
      <c r="B58" s="34" t="s">
        <v>293</v>
      </c>
      <c r="C58" s="25"/>
      <c r="D58" s="25">
        <f>'BionTech Standardized'!D47</f>
        <v>0</v>
      </c>
      <c r="E58" s="25">
        <f>'BionTech Standardized'!E47</f>
        <v>0</v>
      </c>
      <c r="F58" s="25">
        <f>'BionTech Standardized'!F47</f>
        <v>0</v>
      </c>
      <c r="G58" s="25">
        <f>'BionTech Standardized'!G47</f>
        <v>0</v>
      </c>
      <c r="H58" s="25">
        <f>'BionTech Standardized'!H47</f>
        <v>0.2</v>
      </c>
      <c r="I58" s="25">
        <f>'BionTech Standardized'!I47</f>
        <v>66.7</v>
      </c>
      <c r="J58" s="25">
        <f>'BionTech Standardized'!J47</f>
        <v>6.2</v>
      </c>
      <c r="K58" s="25">
        <f>'BionTech Standardized'!K47</f>
        <v>39.700000000000003</v>
      </c>
      <c r="L58" s="25"/>
      <c r="M58" s="25"/>
      <c r="N58" s="25"/>
      <c r="O58" s="25"/>
      <c r="P58" s="25"/>
      <c r="Q58" s="25"/>
      <c r="S58" s="25"/>
      <c r="T58" s="25"/>
      <c r="U58" s="25"/>
      <c r="V58" s="25"/>
      <c r="W58" s="25"/>
      <c r="X58" s="25"/>
      <c r="Y58" s="25"/>
      <c r="Z58" s="25"/>
      <c r="AA58" s="25"/>
      <c r="AB58" s="25"/>
      <c r="AC58" s="25"/>
      <c r="AD58" s="25"/>
      <c r="AE58" s="25"/>
      <c r="AG58" s="25">
        <f t="shared" si="54"/>
        <v>0</v>
      </c>
      <c r="AH58" s="25">
        <f t="shared" si="55"/>
        <v>0</v>
      </c>
      <c r="AI58" s="25">
        <f t="shared" si="56"/>
        <v>0</v>
      </c>
      <c r="AJ58" s="25">
        <f t="shared" si="57"/>
        <v>0.2</v>
      </c>
      <c r="AK58" s="25">
        <f t="shared" si="58"/>
        <v>66.7</v>
      </c>
      <c r="AL58" s="25">
        <f t="shared" si="59"/>
        <v>6.2</v>
      </c>
      <c r="AM58" s="25">
        <f t="shared" si="60"/>
        <v>39.700000000000003</v>
      </c>
      <c r="AN58" s="25"/>
      <c r="AO58" s="25">
        <f t="shared" si="61"/>
        <v>0</v>
      </c>
      <c r="AP58" s="25">
        <f t="shared" si="61"/>
        <v>0</v>
      </c>
      <c r="AQ58" s="25">
        <f t="shared" si="61"/>
        <v>0</v>
      </c>
      <c r="AR58" s="25">
        <f t="shared" si="61"/>
        <v>0</v>
      </c>
      <c r="AS58" s="25">
        <f t="shared" si="61"/>
        <v>0</v>
      </c>
    </row>
    <row r="59" spans="2:45" ht="28.5" x14ac:dyDescent="0.45">
      <c r="B59" s="34" t="s">
        <v>294</v>
      </c>
      <c r="C59" s="25"/>
      <c r="D59" s="27">
        <f>'BionTech Standardized'!D48</f>
        <v>301.46499999999997</v>
      </c>
      <c r="E59" s="27">
        <f>'BionTech Standardized'!E48</f>
        <v>264.375</v>
      </c>
      <c r="F59" s="27">
        <f>'BionTech Standardized'!F48</f>
        <v>259.86500000000001</v>
      </c>
      <c r="G59" s="27">
        <f>'BionTech Standardized'!G48</f>
        <v>97.108999999999995</v>
      </c>
      <c r="H59" s="27">
        <f>'BionTech Standardized'!H48</f>
        <v>109.60000000000001</v>
      </c>
      <c r="I59" s="27">
        <f>'BionTech Standardized'!I48</f>
        <v>212.8</v>
      </c>
      <c r="J59" s="27">
        <f>'BionTech Standardized'!J48</f>
        <v>80.099999999999994</v>
      </c>
      <c r="K59" s="27">
        <f>'BionTech Standardized'!K48</f>
        <v>459.20000000000005</v>
      </c>
      <c r="L59" s="27"/>
      <c r="M59" s="27"/>
      <c r="N59" s="27"/>
      <c r="O59" s="27"/>
      <c r="P59" s="27"/>
      <c r="Q59" s="27"/>
      <c r="S59" s="27"/>
      <c r="T59" s="27"/>
      <c r="U59" s="27"/>
      <c r="V59" s="27"/>
      <c r="W59" s="27"/>
      <c r="X59" s="27"/>
      <c r="Y59" s="27"/>
      <c r="Z59" s="27"/>
      <c r="AA59" s="27"/>
      <c r="AB59" s="27"/>
      <c r="AC59" s="27"/>
      <c r="AD59" s="27"/>
      <c r="AE59" s="27"/>
      <c r="AG59" s="27">
        <f t="shared" si="54"/>
        <v>264.375</v>
      </c>
      <c r="AH59" s="27">
        <f t="shared" si="55"/>
        <v>259.86500000000001</v>
      </c>
      <c r="AI59" s="27">
        <f t="shared" si="56"/>
        <v>97.108999999999995</v>
      </c>
      <c r="AJ59" s="27">
        <f t="shared" si="57"/>
        <v>109.60000000000001</v>
      </c>
      <c r="AK59" s="27">
        <f t="shared" si="58"/>
        <v>212.8</v>
      </c>
      <c r="AL59" s="27">
        <f t="shared" si="59"/>
        <v>80.099999999999994</v>
      </c>
      <c r="AM59" s="27">
        <f t="shared" si="60"/>
        <v>459.20000000000005</v>
      </c>
      <c r="AN59" s="27"/>
      <c r="AO59" s="27">
        <f t="shared" si="61"/>
        <v>0</v>
      </c>
      <c r="AP59" s="27">
        <f t="shared" si="61"/>
        <v>0</v>
      </c>
      <c r="AQ59" s="27">
        <f t="shared" si="61"/>
        <v>0</v>
      </c>
      <c r="AR59" s="27">
        <f t="shared" si="61"/>
        <v>0</v>
      </c>
      <c r="AS59" s="27">
        <f t="shared" si="61"/>
        <v>0</v>
      </c>
    </row>
    <row r="60" spans="2:45" x14ac:dyDescent="0.45">
      <c r="B60" s="35" t="s">
        <v>295</v>
      </c>
      <c r="C60" s="36"/>
      <c r="D60" s="32">
        <f t="shared" ref="D60:L60" si="62">SUM(D57:D59)</f>
        <v>301.46499999999997</v>
      </c>
      <c r="E60" s="32">
        <f t="shared" si="62"/>
        <v>264.375</v>
      </c>
      <c r="F60" s="32">
        <f t="shared" si="62"/>
        <v>259.86500000000001</v>
      </c>
      <c r="G60" s="32">
        <f t="shared" si="62"/>
        <v>166.01299999999998</v>
      </c>
      <c r="H60" s="32">
        <f t="shared" si="62"/>
        <v>340.8</v>
      </c>
      <c r="I60" s="32">
        <f t="shared" si="62"/>
        <v>451.1</v>
      </c>
      <c r="J60" s="32">
        <f t="shared" si="62"/>
        <v>262.5</v>
      </c>
      <c r="K60" s="32">
        <f t="shared" si="62"/>
        <v>689.90000000000009</v>
      </c>
      <c r="L60" s="32">
        <f t="shared" si="62"/>
        <v>0</v>
      </c>
      <c r="M60" s="32">
        <f t="shared" ref="M60:Q60" si="63">SUM(M57:M59)</f>
        <v>0</v>
      </c>
      <c r="N60" s="32">
        <f t="shared" si="63"/>
        <v>0</v>
      </c>
      <c r="O60" s="32">
        <f t="shared" si="63"/>
        <v>0</v>
      </c>
      <c r="P60" s="32">
        <f t="shared" si="63"/>
        <v>0</v>
      </c>
      <c r="Q60" s="32">
        <f t="shared" si="63"/>
        <v>0</v>
      </c>
      <c r="S60" s="32">
        <f t="shared" ref="S60:AE60" si="64">SUM(S57:S59)</f>
        <v>0</v>
      </c>
      <c r="T60" s="32">
        <f t="shared" si="64"/>
        <v>0</v>
      </c>
      <c r="U60" s="32">
        <f t="shared" si="64"/>
        <v>0</v>
      </c>
      <c r="V60" s="32">
        <f t="shared" si="64"/>
        <v>0</v>
      </c>
      <c r="W60" s="32">
        <f t="shared" si="64"/>
        <v>0</v>
      </c>
      <c r="X60" s="32">
        <f t="shared" si="64"/>
        <v>0</v>
      </c>
      <c r="Y60" s="32">
        <f t="shared" si="64"/>
        <v>0</v>
      </c>
      <c r="Z60" s="32">
        <f t="shared" si="64"/>
        <v>0</v>
      </c>
      <c r="AA60" s="32">
        <f t="shared" si="64"/>
        <v>0</v>
      </c>
      <c r="AB60" s="32">
        <f t="shared" si="64"/>
        <v>0</v>
      </c>
      <c r="AC60" s="32">
        <f t="shared" si="64"/>
        <v>0</v>
      </c>
      <c r="AD60" s="32">
        <f t="shared" si="64"/>
        <v>0</v>
      </c>
      <c r="AE60" s="32">
        <f t="shared" si="64"/>
        <v>0</v>
      </c>
      <c r="AG60" s="32">
        <f t="shared" ref="AG60:AG65" si="65">E60+S60</f>
        <v>264.375</v>
      </c>
      <c r="AH60" s="32">
        <f t="shared" ref="AH60:AH65" si="66">F60+T60</f>
        <v>259.86500000000001</v>
      </c>
      <c r="AI60" s="32">
        <f t="shared" ref="AI60:AI65" si="67">G60+U60</f>
        <v>166.01299999999998</v>
      </c>
      <c r="AJ60" s="32">
        <f t="shared" ref="AJ60:AJ65" si="68">H60+V60</f>
        <v>340.8</v>
      </c>
      <c r="AK60" s="32">
        <f t="shared" ref="AK60:AK65" si="69">I60+W60</f>
        <v>451.1</v>
      </c>
      <c r="AL60" s="32">
        <f t="shared" ref="AL60:AL65" si="70">J60+X60</f>
        <v>262.5</v>
      </c>
      <c r="AM60" s="32">
        <f t="shared" ref="AM60:AM65" si="71">K60+Y60</f>
        <v>689.90000000000009</v>
      </c>
      <c r="AN60" s="32"/>
      <c r="AO60" s="32">
        <f t="shared" si="61"/>
        <v>0</v>
      </c>
      <c r="AP60" s="32">
        <f t="shared" si="61"/>
        <v>0</v>
      </c>
      <c r="AQ60" s="32">
        <f t="shared" si="61"/>
        <v>0</v>
      </c>
      <c r="AR60" s="32">
        <f t="shared" si="61"/>
        <v>0</v>
      </c>
      <c r="AS60" s="32">
        <f t="shared" si="61"/>
        <v>0</v>
      </c>
    </row>
    <row r="61" spans="2:45" x14ac:dyDescent="0.45">
      <c r="AG61" s="24">
        <f t="shared" si="65"/>
        <v>0</v>
      </c>
      <c r="AH61" s="24">
        <f t="shared" si="66"/>
        <v>0</v>
      </c>
      <c r="AI61" s="24">
        <f t="shared" si="67"/>
        <v>0</v>
      </c>
      <c r="AJ61" s="24">
        <f t="shared" si="68"/>
        <v>0</v>
      </c>
      <c r="AK61" s="24">
        <f t="shared" si="69"/>
        <v>0</v>
      </c>
      <c r="AL61" s="24">
        <f t="shared" si="70"/>
        <v>0</v>
      </c>
      <c r="AM61" s="24">
        <f t="shared" si="71"/>
        <v>0</v>
      </c>
    </row>
    <row r="62" spans="2:45" x14ac:dyDescent="0.45">
      <c r="B62" s="34" t="s">
        <v>296</v>
      </c>
      <c r="C62" s="25"/>
      <c r="D62" s="25">
        <f>'BionTech Standardized'!D44</f>
        <v>6.218</v>
      </c>
      <c r="E62" s="25">
        <f>'BionTech Standardized'!E44</f>
        <v>52.537999999999997</v>
      </c>
      <c r="F62" s="25">
        <f>'BionTech Standardized'!F44</f>
        <v>41.720999999999997</v>
      </c>
      <c r="G62" s="25">
        <f>'BionTech Standardized'!G44</f>
        <v>20.498000000000001</v>
      </c>
      <c r="H62" s="25">
        <f>'BionTech Standardized'!H44</f>
        <v>102.3</v>
      </c>
      <c r="I62" s="25">
        <f>'BionTech Standardized'!I44</f>
        <v>160</v>
      </c>
      <c r="J62" s="25">
        <f>'BionTech Standardized'!J44</f>
        <v>204.1</v>
      </c>
      <c r="K62" s="25">
        <f>'BionTech Standardized'!K44</f>
        <v>354</v>
      </c>
      <c r="L62" s="25"/>
      <c r="M62" s="25"/>
      <c r="N62" s="25"/>
      <c r="O62" s="25"/>
      <c r="P62" s="25"/>
      <c r="Q62" s="25"/>
      <c r="S62" s="25"/>
      <c r="T62" s="25"/>
      <c r="U62" s="25"/>
      <c r="V62" s="25"/>
      <c r="W62" s="25"/>
      <c r="X62" s="25"/>
      <c r="Y62" s="25"/>
      <c r="Z62" s="25"/>
      <c r="AA62" s="25"/>
      <c r="AB62" s="25"/>
      <c r="AC62" s="25"/>
      <c r="AD62" s="25"/>
      <c r="AE62" s="25"/>
      <c r="AG62" s="25">
        <f t="shared" si="65"/>
        <v>52.537999999999997</v>
      </c>
      <c r="AH62" s="25">
        <f t="shared" si="66"/>
        <v>41.720999999999997</v>
      </c>
      <c r="AI62" s="25">
        <f t="shared" si="67"/>
        <v>20.498000000000001</v>
      </c>
      <c r="AJ62" s="25">
        <f t="shared" si="68"/>
        <v>102.3</v>
      </c>
      <c r="AK62" s="25">
        <f t="shared" si="69"/>
        <v>160</v>
      </c>
      <c r="AL62" s="25">
        <f t="shared" si="70"/>
        <v>204.1</v>
      </c>
      <c r="AM62" s="25">
        <f t="shared" si="71"/>
        <v>354</v>
      </c>
      <c r="AN62" s="25"/>
      <c r="AO62" s="25">
        <f t="shared" ref="AO62:AS65" si="72">M62+AA62</f>
        <v>0</v>
      </c>
      <c r="AP62" s="25">
        <f t="shared" si="72"/>
        <v>0</v>
      </c>
      <c r="AQ62" s="25">
        <f t="shared" si="72"/>
        <v>0</v>
      </c>
      <c r="AR62" s="25">
        <f t="shared" si="72"/>
        <v>0</v>
      </c>
      <c r="AS62" s="25">
        <f t="shared" si="72"/>
        <v>0</v>
      </c>
    </row>
    <row r="63" spans="2:45" x14ac:dyDescent="0.45">
      <c r="B63" s="34" t="s">
        <v>297</v>
      </c>
      <c r="C63" s="25"/>
      <c r="D63" s="25">
        <f>'BionTech Standardized'!D45</f>
        <v>50.417999999999999</v>
      </c>
      <c r="E63" s="25">
        <f>'BionTech Standardized'!E45</f>
        <v>106.006</v>
      </c>
      <c r="F63" s="25">
        <f>'BionTech Standardized'!F45</f>
        <v>84.399999999999991</v>
      </c>
      <c r="G63" s="25">
        <f>'BionTech Standardized'!G45</f>
        <v>112.337</v>
      </c>
      <c r="H63" s="25">
        <f>'BionTech Standardized'!H45</f>
        <v>494.6</v>
      </c>
      <c r="I63" s="25">
        <f>'BionTech Standardized'!I45</f>
        <v>3196.1000000000004</v>
      </c>
      <c r="J63" s="25">
        <f>'BionTech Standardized'!J45</f>
        <v>2720.9</v>
      </c>
      <c r="K63" s="25">
        <f>'BionTech Standardized'!K45</f>
        <v>1688.3999999999999</v>
      </c>
      <c r="L63" s="25"/>
      <c r="M63" s="25"/>
      <c r="N63" s="25"/>
      <c r="O63" s="25"/>
      <c r="P63" s="25"/>
      <c r="Q63" s="25"/>
      <c r="S63" s="25"/>
      <c r="T63" s="25"/>
      <c r="U63" s="25"/>
      <c r="V63" s="25"/>
      <c r="W63" s="25"/>
      <c r="X63" s="25"/>
      <c r="Y63" s="25"/>
      <c r="Z63" s="25"/>
      <c r="AA63" s="25"/>
      <c r="AB63" s="25"/>
      <c r="AC63" s="25"/>
      <c r="AD63" s="25"/>
      <c r="AE63" s="25"/>
      <c r="AG63" s="25">
        <f t="shared" si="65"/>
        <v>106.006</v>
      </c>
      <c r="AH63" s="25">
        <f t="shared" si="66"/>
        <v>84.399999999999991</v>
      </c>
      <c r="AI63" s="25">
        <f t="shared" si="67"/>
        <v>112.337</v>
      </c>
      <c r="AJ63" s="25">
        <f t="shared" si="68"/>
        <v>494.6</v>
      </c>
      <c r="AK63" s="25">
        <f t="shared" si="69"/>
        <v>3196.1000000000004</v>
      </c>
      <c r="AL63" s="25">
        <f t="shared" si="70"/>
        <v>2720.9</v>
      </c>
      <c r="AM63" s="25">
        <f t="shared" si="71"/>
        <v>1688.3999999999999</v>
      </c>
      <c r="AN63" s="25"/>
      <c r="AO63" s="25">
        <f t="shared" si="72"/>
        <v>0</v>
      </c>
      <c r="AP63" s="25">
        <f t="shared" si="72"/>
        <v>0</v>
      </c>
      <c r="AQ63" s="25">
        <f t="shared" si="72"/>
        <v>0</v>
      </c>
      <c r="AR63" s="25">
        <f t="shared" si="72"/>
        <v>0</v>
      </c>
      <c r="AS63" s="25">
        <f t="shared" si="72"/>
        <v>0</v>
      </c>
    </row>
    <row r="64" spans="2:45" x14ac:dyDescent="0.45">
      <c r="B64" s="34" t="s">
        <v>298</v>
      </c>
      <c r="C64" s="25"/>
      <c r="D64" s="27">
        <f>'BionTech Standardized'!D43</f>
        <v>0</v>
      </c>
      <c r="E64" s="27">
        <f>'BionTech Standardized'!E43</f>
        <v>0</v>
      </c>
      <c r="F64" s="27">
        <f>'BionTech Standardized'!F43</f>
        <v>0</v>
      </c>
      <c r="G64" s="27">
        <f>'BionTech Standardized'!G43</f>
        <v>5.3070000000000004</v>
      </c>
      <c r="H64" s="27">
        <f>'BionTech Standardized'!H43</f>
        <v>9.1</v>
      </c>
      <c r="I64" s="27">
        <f>'BionTech Standardized'!I43</f>
        <v>129.9</v>
      </c>
      <c r="J64" s="27">
        <f>'BionTech Standardized'!J43</f>
        <v>36</v>
      </c>
      <c r="K64" s="27">
        <f>'BionTech Standardized'!K43</f>
        <v>28.1</v>
      </c>
      <c r="L64" s="27"/>
      <c r="M64" s="27"/>
      <c r="N64" s="27"/>
      <c r="O64" s="27"/>
      <c r="P64" s="27"/>
      <c r="Q64" s="27"/>
      <c r="S64" s="27"/>
      <c r="T64" s="27"/>
      <c r="U64" s="27"/>
      <c r="V64" s="27"/>
      <c r="W64" s="27"/>
      <c r="X64" s="27"/>
      <c r="Y64" s="27"/>
      <c r="Z64" s="27"/>
      <c r="AA64" s="27"/>
      <c r="AB64" s="27"/>
      <c r="AC64" s="27"/>
      <c r="AD64" s="27"/>
      <c r="AE64" s="27"/>
      <c r="AG64" s="27">
        <f t="shared" si="65"/>
        <v>0</v>
      </c>
      <c r="AH64" s="27">
        <f t="shared" si="66"/>
        <v>0</v>
      </c>
      <c r="AI64" s="27">
        <f t="shared" si="67"/>
        <v>5.3070000000000004</v>
      </c>
      <c r="AJ64" s="27">
        <f t="shared" si="68"/>
        <v>9.1</v>
      </c>
      <c r="AK64" s="27">
        <f t="shared" si="69"/>
        <v>129.9</v>
      </c>
      <c r="AL64" s="27">
        <f t="shared" si="70"/>
        <v>36</v>
      </c>
      <c r="AM64" s="27">
        <f t="shared" si="71"/>
        <v>28.1</v>
      </c>
      <c r="AN64" s="27"/>
      <c r="AO64" s="27">
        <f t="shared" si="72"/>
        <v>0</v>
      </c>
      <c r="AP64" s="27">
        <f t="shared" si="72"/>
        <v>0</v>
      </c>
      <c r="AQ64" s="27">
        <f t="shared" si="72"/>
        <v>0</v>
      </c>
      <c r="AR64" s="27">
        <f t="shared" si="72"/>
        <v>0</v>
      </c>
      <c r="AS64" s="27">
        <f t="shared" si="72"/>
        <v>0</v>
      </c>
    </row>
    <row r="65" spans="1:47" x14ac:dyDescent="0.45">
      <c r="B65" s="35" t="s">
        <v>299</v>
      </c>
      <c r="C65" s="36"/>
      <c r="D65" s="32">
        <f t="shared" ref="D65:L65" si="73">SUM(D62:D64)</f>
        <v>56.635999999999996</v>
      </c>
      <c r="E65" s="32">
        <f t="shared" si="73"/>
        <v>158.54399999999998</v>
      </c>
      <c r="F65" s="32">
        <f t="shared" si="73"/>
        <v>126.12099999999998</v>
      </c>
      <c r="G65" s="32">
        <f t="shared" si="73"/>
        <v>138.142</v>
      </c>
      <c r="H65" s="32">
        <f t="shared" si="73"/>
        <v>606</v>
      </c>
      <c r="I65" s="32">
        <f t="shared" si="73"/>
        <v>3486.0000000000005</v>
      </c>
      <c r="J65" s="32">
        <f t="shared" si="73"/>
        <v>2961</v>
      </c>
      <c r="K65" s="32">
        <f t="shared" si="73"/>
        <v>2070.5</v>
      </c>
      <c r="L65" s="32">
        <f t="shared" si="73"/>
        <v>0</v>
      </c>
      <c r="M65" s="32">
        <f t="shared" ref="M65:Q65" si="74">SUM(M62:M64)</f>
        <v>0</v>
      </c>
      <c r="N65" s="32">
        <f t="shared" si="74"/>
        <v>0</v>
      </c>
      <c r="O65" s="32">
        <f t="shared" si="74"/>
        <v>0</v>
      </c>
      <c r="P65" s="32">
        <f t="shared" si="74"/>
        <v>0</v>
      </c>
      <c r="Q65" s="32">
        <f t="shared" si="74"/>
        <v>0</v>
      </c>
      <c r="S65" s="32">
        <f>SUM(S62:S64)</f>
        <v>0</v>
      </c>
      <c r="T65" s="32">
        <f t="shared" ref="T65:AE65" si="75">SUM(T62:T64)</f>
        <v>0</v>
      </c>
      <c r="U65" s="32">
        <f t="shared" si="75"/>
        <v>0</v>
      </c>
      <c r="V65" s="32">
        <f t="shared" si="75"/>
        <v>0</v>
      </c>
      <c r="W65" s="32">
        <f t="shared" si="75"/>
        <v>0</v>
      </c>
      <c r="X65" s="32">
        <f t="shared" si="75"/>
        <v>0</v>
      </c>
      <c r="Y65" s="32">
        <f t="shared" si="75"/>
        <v>0</v>
      </c>
      <c r="Z65" s="32">
        <f t="shared" si="75"/>
        <v>0</v>
      </c>
      <c r="AA65" s="32">
        <f t="shared" si="75"/>
        <v>0</v>
      </c>
      <c r="AB65" s="32">
        <f t="shared" si="75"/>
        <v>0</v>
      </c>
      <c r="AC65" s="32">
        <f t="shared" si="75"/>
        <v>0</v>
      </c>
      <c r="AD65" s="32">
        <f t="shared" si="75"/>
        <v>0</v>
      </c>
      <c r="AE65" s="32">
        <f t="shared" si="75"/>
        <v>0</v>
      </c>
      <c r="AG65" s="32">
        <f t="shared" si="65"/>
        <v>158.54399999999998</v>
      </c>
      <c r="AH65" s="32">
        <f t="shared" si="66"/>
        <v>126.12099999999998</v>
      </c>
      <c r="AI65" s="32">
        <f t="shared" si="67"/>
        <v>138.142</v>
      </c>
      <c r="AJ65" s="32">
        <f t="shared" si="68"/>
        <v>606</v>
      </c>
      <c r="AK65" s="32">
        <f t="shared" si="69"/>
        <v>3486.0000000000005</v>
      </c>
      <c r="AL65" s="32">
        <f t="shared" si="70"/>
        <v>2961</v>
      </c>
      <c r="AM65" s="32">
        <f t="shared" si="71"/>
        <v>2070.5</v>
      </c>
      <c r="AN65" s="32"/>
      <c r="AO65" s="32">
        <f t="shared" si="72"/>
        <v>0</v>
      </c>
      <c r="AP65" s="32">
        <f t="shared" si="72"/>
        <v>0</v>
      </c>
      <c r="AQ65" s="32">
        <f t="shared" si="72"/>
        <v>0</v>
      </c>
      <c r="AR65" s="32">
        <f t="shared" si="72"/>
        <v>0</v>
      </c>
      <c r="AS65" s="32">
        <f t="shared" si="72"/>
        <v>0</v>
      </c>
    </row>
    <row r="66" spans="1:47" ht="14.65" thickBot="1" x14ac:dyDescent="0.5"/>
    <row r="67" spans="1:47" ht="14.65" hidden="1" thickBot="1" x14ac:dyDescent="0.5">
      <c r="C67" s="49"/>
      <c r="D67" s="49"/>
      <c r="E67" s="49"/>
      <c r="F67" s="49"/>
      <c r="G67" s="49"/>
      <c r="H67" s="49"/>
      <c r="I67" s="49"/>
      <c r="J67" s="49"/>
      <c r="K67" s="49"/>
      <c r="L67" s="49"/>
      <c r="M67" s="49"/>
      <c r="N67" s="49"/>
      <c r="O67" s="49"/>
      <c r="P67" s="49"/>
      <c r="Q67" s="49"/>
      <c r="S67" s="49"/>
      <c r="T67" s="49"/>
      <c r="U67" s="49"/>
      <c r="V67" s="49"/>
      <c r="W67" s="49"/>
      <c r="X67" s="49"/>
      <c r="Y67" s="49"/>
      <c r="Z67" s="49"/>
      <c r="AA67" s="49"/>
      <c r="AB67" s="49"/>
      <c r="AC67" s="49"/>
      <c r="AD67" s="49"/>
      <c r="AE67" s="49"/>
      <c r="AG67" s="50">
        <f t="shared" ref="AG67:AG68" si="76">E67+S67</f>
        <v>0</v>
      </c>
      <c r="AH67" s="50">
        <f t="shared" ref="AH67:AH68" si="77">F67+T67</f>
        <v>0</v>
      </c>
      <c r="AI67" s="50">
        <f t="shared" ref="AI67:AI68" si="78">G67+U67</f>
        <v>0</v>
      </c>
      <c r="AJ67" s="50">
        <f t="shared" ref="AJ67:AJ68" si="79">H67+V67</f>
        <v>0</v>
      </c>
      <c r="AK67" s="50">
        <f t="shared" ref="AK67:AK68" si="80">I67+W67</f>
        <v>0</v>
      </c>
      <c r="AL67" s="49">
        <f t="shared" ref="AL67:AL68" si="81">J67+X67</f>
        <v>0</v>
      </c>
      <c r="AM67" s="49">
        <f t="shared" ref="AM67:AM68" si="82">K67+Y67</f>
        <v>0</v>
      </c>
      <c r="AN67" s="49"/>
      <c r="AO67" s="49"/>
      <c r="AP67" s="49"/>
      <c r="AQ67" s="49"/>
      <c r="AR67" s="49"/>
      <c r="AS67" s="49"/>
    </row>
    <row r="68" spans="1:47" ht="15" thickTop="1" thickBot="1" x14ac:dyDescent="0.5">
      <c r="B68" s="443" t="s">
        <v>300</v>
      </c>
      <c r="C68" s="443"/>
      <c r="D68" s="443">
        <f>SUM(D52:D54,D60,D65)</f>
        <v>389.95899999999995</v>
      </c>
      <c r="E68" s="443">
        <f t="shared" ref="E68:K68" si="83">SUM(E52:E54,E60,E65)</f>
        <v>374.71300000000002</v>
      </c>
      <c r="F68" s="443">
        <f t="shared" si="83"/>
        <v>652.98599999999999</v>
      </c>
      <c r="G68" s="443">
        <f t="shared" si="83"/>
        <v>797.64700000000016</v>
      </c>
      <c r="H68" s="443">
        <f t="shared" si="83"/>
        <v>2318.6000000000004</v>
      </c>
      <c r="I68" s="443">
        <f t="shared" si="83"/>
        <v>15830.8</v>
      </c>
      <c r="J68" s="443">
        <f t="shared" si="83"/>
        <v>23279.1</v>
      </c>
      <c r="K68" s="443">
        <f t="shared" si="83"/>
        <v>23006.300000000003</v>
      </c>
      <c r="L68" s="44"/>
      <c r="M68" s="44"/>
      <c r="N68" s="44"/>
      <c r="O68" s="44"/>
      <c r="P68" s="44"/>
      <c r="Q68" s="44"/>
      <c r="S68" s="44"/>
      <c r="T68" s="44"/>
      <c r="U68" s="44"/>
      <c r="V68" s="44"/>
      <c r="W68" s="44"/>
      <c r="X68" s="44"/>
      <c r="Y68" s="44"/>
      <c r="Z68" s="44"/>
      <c r="AA68" s="44"/>
      <c r="AB68" s="44"/>
      <c r="AC68" s="44"/>
      <c r="AD68" s="44"/>
      <c r="AE68" s="44"/>
      <c r="AG68" s="44">
        <f t="shared" si="76"/>
        <v>374.71300000000002</v>
      </c>
      <c r="AH68" s="44">
        <f t="shared" si="77"/>
        <v>652.98599999999999</v>
      </c>
      <c r="AI68" s="44">
        <f t="shared" si="78"/>
        <v>797.64700000000016</v>
      </c>
      <c r="AJ68" s="44">
        <f t="shared" si="79"/>
        <v>2318.6000000000004</v>
      </c>
      <c r="AK68" s="44">
        <f t="shared" si="80"/>
        <v>15830.8</v>
      </c>
      <c r="AL68" s="44">
        <f t="shared" si="81"/>
        <v>23279.1</v>
      </c>
      <c r="AM68" s="44">
        <f t="shared" si="82"/>
        <v>23006.300000000003</v>
      </c>
      <c r="AN68" s="44"/>
      <c r="AO68" s="44">
        <f t="shared" ref="AO68:AS68" si="84">M68+AA68</f>
        <v>0</v>
      </c>
      <c r="AP68" s="44">
        <f t="shared" si="84"/>
        <v>0</v>
      </c>
      <c r="AQ68" s="44">
        <f t="shared" si="84"/>
        <v>0</v>
      </c>
      <c r="AR68" s="44">
        <f t="shared" si="84"/>
        <v>0</v>
      </c>
      <c r="AS68" s="44">
        <f t="shared" si="84"/>
        <v>0</v>
      </c>
    </row>
    <row r="69" spans="1:47" s="56" customFormat="1" ht="15" thickTop="1" thickBot="1" x14ac:dyDescent="0.5">
      <c r="B69" s="55" t="s">
        <v>301</v>
      </c>
      <c r="C69" s="55"/>
      <c r="D69" s="55">
        <f t="shared" ref="D69:K69" si="85">D49-D68</f>
        <v>0</v>
      </c>
      <c r="E69" s="55">
        <f t="shared" si="85"/>
        <v>0</v>
      </c>
      <c r="F69" s="55">
        <f t="shared" si="85"/>
        <v>0</v>
      </c>
      <c r="G69" s="55">
        <f t="shared" si="85"/>
        <v>0</v>
      </c>
      <c r="H69" s="55">
        <f t="shared" si="85"/>
        <v>0</v>
      </c>
      <c r="I69" s="55">
        <f t="shared" si="85"/>
        <v>0</v>
      </c>
      <c r="J69" s="55">
        <f t="shared" si="85"/>
        <v>0</v>
      </c>
      <c r="K69" s="55">
        <f t="shared" si="85"/>
        <v>0</v>
      </c>
      <c r="L69" s="55">
        <f t="shared" ref="L69" si="86">L68-L49</f>
        <v>0</v>
      </c>
      <c r="M69" s="55">
        <f t="shared" ref="M69:Q69" si="87">M68-M49</f>
        <v>0</v>
      </c>
      <c r="N69" s="55">
        <f t="shared" si="87"/>
        <v>0</v>
      </c>
      <c r="O69" s="55">
        <f t="shared" si="87"/>
        <v>0</v>
      </c>
      <c r="P69" s="55">
        <f t="shared" si="87"/>
        <v>0</v>
      </c>
      <c r="Q69" s="55">
        <f t="shared" si="87"/>
        <v>0</v>
      </c>
      <c r="S69" s="55"/>
      <c r="T69" s="55"/>
      <c r="U69" s="55"/>
      <c r="V69" s="55"/>
      <c r="W69" s="55"/>
      <c r="X69" s="55"/>
      <c r="Y69" s="55"/>
      <c r="Z69" s="55"/>
      <c r="AA69" s="55"/>
      <c r="AB69" s="55"/>
      <c r="AC69" s="55"/>
      <c r="AD69" s="55"/>
      <c r="AE69" s="55"/>
      <c r="AG69" s="55"/>
      <c r="AH69" s="55"/>
      <c r="AI69" s="55"/>
      <c r="AJ69" s="55"/>
      <c r="AK69" s="55"/>
      <c r="AL69" s="55"/>
      <c r="AM69" s="55"/>
      <c r="AN69" s="55"/>
      <c r="AO69" s="55"/>
      <c r="AP69" s="55"/>
      <c r="AQ69" s="55"/>
      <c r="AR69" s="55"/>
      <c r="AS69" s="55"/>
    </row>
    <row r="70" spans="1:47" ht="14.65" thickTop="1" x14ac:dyDescent="0.45">
      <c r="A70" s="24" t="s">
        <v>14</v>
      </c>
      <c r="B70" s="32" t="s">
        <v>302</v>
      </c>
      <c r="C70" s="46"/>
      <c r="D70" s="46"/>
      <c r="E70" s="46"/>
      <c r="F70" s="46"/>
      <c r="G70" s="46"/>
      <c r="H70" s="46"/>
      <c r="I70" s="46"/>
      <c r="J70" s="46"/>
      <c r="K70" s="46"/>
      <c r="L70" s="46"/>
      <c r="M70" s="46"/>
      <c r="N70" s="46"/>
      <c r="O70" s="46"/>
      <c r="P70" s="46"/>
      <c r="Q70" s="46"/>
      <c r="S70" s="46"/>
      <c r="T70" s="46"/>
      <c r="U70" s="46"/>
      <c r="V70" s="46"/>
      <c r="W70" s="46"/>
      <c r="X70" s="46"/>
      <c r="Y70" s="46"/>
      <c r="Z70" s="46"/>
      <c r="AA70" s="46"/>
      <c r="AB70" s="46"/>
      <c r="AC70" s="46"/>
      <c r="AD70" s="46"/>
      <c r="AE70" s="46"/>
      <c r="AG70" s="46"/>
      <c r="AH70" s="46"/>
      <c r="AI70" s="46"/>
      <c r="AJ70" s="46"/>
      <c r="AK70" s="46"/>
      <c r="AL70" s="46"/>
      <c r="AM70" s="46"/>
      <c r="AN70" s="46"/>
      <c r="AO70" s="46"/>
      <c r="AP70" s="46"/>
      <c r="AQ70" s="46"/>
      <c r="AR70" s="46"/>
      <c r="AS70" s="46"/>
    </row>
    <row r="71" spans="1:47" x14ac:dyDescent="0.45">
      <c r="B71" s="34" t="s">
        <v>303</v>
      </c>
      <c r="C71" s="25"/>
      <c r="D71" s="25"/>
      <c r="E71" s="25">
        <f>'BionTech Standardized'!E56</f>
        <v>-87.984999999999999</v>
      </c>
      <c r="F71" s="25">
        <f>'BionTech Standardized'!F56</f>
        <v>-49.61</v>
      </c>
      <c r="G71" s="25">
        <f>'BionTech Standardized'!G56</f>
        <v>-179.2</v>
      </c>
      <c r="H71" s="25">
        <f>'BionTech Standardized'!H56</f>
        <v>-125.10000000000001</v>
      </c>
      <c r="I71" s="25">
        <f>'BionTech Standardized'!I56</f>
        <v>15347.9</v>
      </c>
      <c r="J71" s="25">
        <f>'BionTech Standardized'!J56</f>
        <v>12707.699999999999</v>
      </c>
      <c r="K71" s="25">
        <f>'BionTech Standardized'!K56</f>
        <v>674.4</v>
      </c>
      <c r="L71" s="25"/>
      <c r="M71" s="25"/>
      <c r="N71" s="25"/>
      <c r="O71" s="25"/>
      <c r="P71" s="25"/>
      <c r="Q71" s="25"/>
      <c r="S71" s="25"/>
      <c r="T71" s="25"/>
      <c r="U71" s="25"/>
      <c r="V71" s="25"/>
      <c r="W71" s="25"/>
      <c r="X71" s="25"/>
      <c r="Y71" s="25"/>
      <c r="Z71" s="25"/>
      <c r="AA71" s="25"/>
      <c r="AB71" s="25"/>
      <c r="AC71" s="25"/>
      <c r="AD71" s="25"/>
      <c r="AE71" s="25"/>
      <c r="AG71" s="25">
        <f>E71+S71</f>
        <v>-87.984999999999999</v>
      </c>
      <c r="AH71" s="25">
        <f t="shared" ref="AG71:AS75" si="88">F71+T71</f>
        <v>-49.61</v>
      </c>
      <c r="AI71" s="25">
        <f t="shared" si="88"/>
        <v>-179.2</v>
      </c>
      <c r="AJ71" s="25">
        <f t="shared" si="88"/>
        <v>-125.10000000000001</v>
      </c>
      <c r="AK71" s="25">
        <f t="shared" si="88"/>
        <v>15347.9</v>
      </c>
      <c r="AL71" s="25">
        <f t="shared" si="88"/>
        <v>12707.699999999999</v>
      </c>
      <c r="AM71" s="25">
        <f t="shared" si="88"/>
        <v>674.4</v>
      </c>
      <c r="AN71" s="25">
        <f t="shared" si="88"/>
        <v>0</v>
      </c>
      <c r="AO71" s="25">
        <f t="shared" si="88"/>
        <v>0</v>
      </c>
      <c r="AP71" s="25">
        <f t="shared" si="88"/>
        <v>0</v>
      </c>
      <c r="AQ71" s="25">
        <f t="shared" si="88"/>
        <v>0</v>
      </c>
      <c r="AR71" s="25">
        <f t="shared" si="88"/>
        <v>0</v>
      </c>
      <c r="AS71" s="25">
        <f t="shared" si="88"/>
        <v>0</v>
      </c>
      <c r="AU71" s="51"/>
    </row>
    <row r="72" spans="1:47" x14ac:dyDescent="0.45">
      <c r="B72" s="34" t="s">
        <v>304</v>
      </c>
      <c r="C72" s="25"/>
      <c r="D72" s="25"/>
      <c r="E72" s="25">
        <f>'BionTech Standardized'!E60</f>
        <v>-4.4999999999999998E-2</v>
      </c>
      <c r="F72" s="25">
        <f>'BionTech Standardized'!F60</f>
        <v>-0.30399999999999999</v>
      </c>
      <c r="G72" s="25">
        <f>'BionTech Standardized'!G60</f>
        <v>0.2</v>
      </c>
      <c r="H72" s="25">
        <f>'BionTech Standardized'!H60</f>
        <v>0.5</v>
      </c>
      <c r="I72" s="25">
        <f>'BionTech Standardized'!I60</f>
        <v>-3457.9</v>
      </c>
      <c r="J72" s="25">
        <f>'BionTech Standardized'!J60</f>
        <v>-4222.1000000000004</v>
      </c>
      <c r="K72" s="25">
        <f>'BionTech Standardized'!K60</f>
        <v>-482.9</v>
      </c>
      <c r="L72" s="25"/>
      <c r="M72" s="25"/>
      <c r="N72" s="25"/>
      <c r="O72" s="25"/>
      <c r="P72" s="25"/>
      <c r="Q72" s="25"/>
      <c r="S72" s="25"/>
      <c r="T72" s="25"/>
      <c r="U72" s="25"/>
      <c r="V72" s="25"/>
      <c r="W72" s="25"/>
      <c r="X72" s="25"/>
      <c r="Y72" s="25"/>
      <c r="Z72" s="25"/>
      <c r="AA72" s="25"/>
      <c r="AB72" s="25"/>
      <c r="AC72" s="25"/>
      <c r="AD72" s="25"/>
      <c r="AE72" s="25"/>
      <c r="AG72" s="25">
        <f t="shared" si="88"/>
        <v>-4.4999999999999998E-2</v>
      </c>
      <c r="AH72" s="25">
        <f t="shared" si="88"/>
        <v>-0.30399999999999999</v>
      </c>
      <c r="AI72" s="25">
        <f t="shared" si="88"/>
        <v>0.2</v>
      </c>
      <c r="AJ72" s="25">
        <f t="shared" si="88"/>
        <v>0.5</v>
      </c>
      <c r="AK72" s="25">
        <f t="shared" si="88"/>
        <v>-3457.9</v>
      </c>
      <c r="AL72" s="25">
        <f t="shared" si="88"/>
        <v>-4222.1000000000004</v>
      </c>
      <c r="AM72" s="25">
        <f t="shared" si="88"/>
        <v>-482.9</v>
      </c>
      <c r="AN72" s="25">
        <f t="shared" si="88"/>
        <v>0</v>
      </c>
      <c r="AO72" s="25">
        <f t="shared" si="88"/>
        <v>0</v>
      </c>
      <c r="AP72" s="25">
        <f t="shared" si="88"/>
        <v>0</v>
      </c>
      <c r="AQ72" s="25">
        <f t="shared" si="88"/>
        <v>0</v>
      </c>
      <c r="AR72" s="25">
        <f t="shared" si="88"/>
        <v>0</v>
      </c>
      <c r="AS72" s="25">
        <f t="shared" si="88"/>
        <v>0</v>
      </c>
      <c r="AU72" s="51"/>
    </row>
    <row r="73" spans="1:47" x14ac:dyDescent="0.45">
      <c r="B73" s="34" t="s">
        <v>305</v>
      </c>
      <c r="C73" s="25"/>
      <c r="D73" s="25"/>
      <c r="E73" s="25">
        <f>'BionTech Standardized'!E58</f>
        <v>24.913</v>
      </c>
      <c r="F73" s="25">
        <f>'BionTech Standardized'!F58</f>
        <v>0.52900000000000003</v>
      </c>
      <c r="G73" s="25">
        <f>'BionTech Standardized'!G58</f>
        <v>0.6</v>
      </c>
      <c r="H73" s="25">
        <f>'BionTech Standardized'!H58</f>
        <v>135.6</v>
      </c>
      <c r="I73" s="25">
        <f>'BionTech Standardized'!I58</f>
        <v>-414.6</v>
      </c>
      <c r="J73" s="25">
        <f>'BionTech Standardized'!J58</f>
        <v>385.40000000000003</v>
      </c>
      <c r="K73" s="25">
        <f>'BionTech Standardized'!K58</f>
        <v>-116.29999999999998</v>
      </c>
      <c r="L73" s="25"/>
      <c r="M73" s="25"/>
      <c r="N73" s="25"/>
      <c r="O73" s="25"/>
      <c r="P73" s="25"/>
      <c r="Q73" s="25"/>
      <c r="S73" s="25"/>
      <c r="T73" s="25"/>
      <c r="U73" s="25"/>
      <c r="V73" s="25"/>
      <c r="W73" s="25"/>
      <c r="X73" s="25"/>
      <c r="Y73" s="25"/>
      <c r="Z73" s="25"/>
      <c r="AA73" s="25"/>
      <c r="AB73" s="25"/>
      <c r="AC73" s="25"/>
      <c r="AD73" s="25"/>
      <c r="AE73" s="25"/>
      <c r="AG73" s="25">
        <f t="shared" si="88"/>
        <v>24.913</v>
      </c>
      <c r="AH73" s="25">
        <f t="shared" si="88"/>
        <v>0.52900000000000003</v>
      </c>
      <c r="AI73" s="25">
        <f t="shared" si="88"/>
        <v>0.6</v>
      </c>
      <c r="AJ73" s="25">
        <f t="shared" si="88"/>
        <v>135.6</v>
      </c>
      <c r="AK73" s="25">
        <f t="shared" si="88"/>
        <v>-414.6</v>
      </c>
      <c r="AL73" s="25">
        <f t="shared" si="88"/>
        <v>385.40000000000003</v>
      </c>
      <c r="AM73" s="25">
        <f t="shared" si="88"/>
        <v>-116.29999999999998</v>
      </c>
      <c r="AN73" s="25">
        <f t="shared" si="88"/>
        <v>0</v>
      </c>
      <c r="AO73" s="25">
        <f t="shared" si="88"/>
        <v>0</v>
      </c>
      <c r="AP73" s="25">
        <f t="shared" si="88"/>
        <v>0</v>
      </c>
      <c r="AQ73" s="25">
        <f t="shared" si="88"/>
        <v>0</v>
      </c>
      <c r="AR73" s="25">
        <f t="shared" si="88"/>
        <v>0</v>
      </c>
      <c r="AS73" s="25">
        <f t="shared" si="88"/>
        <v>0</v>
      </c>
      <c r="AU73" s="51"/>
    </row>
    <row r="74" spans="1:47" x14ac:dyDescent="0.45">
      <c r="B74" s="34" t="s">
        <v>306</v>
      </c>
      <c r="C74" s="27"/>
      <c r="D74" s="27"/>
      <c r="E74" s="27">
        <f>'BionTech Standardized'!E59</f>
        <v>16.439</v>
      </c>
      <c r="F74" s="27">
        <f>'BionTech Standardized'!F59</f>
        <v>29.625</v>
      </c>
      <c r="G74" s="27">
        <f>'BionTech Standardized'!G59</f>
        <v>64.099999999999994</v>
      </c>
      <c r="H74" s="27">
        <f>'BionTech Standardized'!H59</f>
        <v>70.800000000000011</v>
      </c>
      <c r="I74" s="27">
        <f>'BionTech Standardized'!I59</f>
        <v>155.70000000000002</v>
      </c>
      <c r="J74" s="27">
        <f>'BionTech Standardized'!J59</f>
        <v>180.1</v>
      </c>
      <c r="K74" s="27">
        <f>'BionTech Standardized'!K59</f>
        <v>-531.40000000000009</v>
      </c>
      <c r="L74" s="27"/>
      <c r="M74" s="27"/>
      <c r="N74" s="27"/>
      <c r="O74" s="27"/>
      <c r="P74" s="27"/>
      <c r="Q74" s="27"/>
      <c r="S74" s="27"/>
      <c r="T74" s="27"/>
      <c r="U74" s="27"/>
      <c r="V74" s="27"/>
      <c r="W74" s="27"/>
      <c r="X74" s="27"/>
      <c r="Y74" s="27"/>
      <c r="Z74" s="27"/>
      <c r="AA74" s="27"/>
      <c r="AB74" s="27"/>
      <c r="AC74" s="27"/>
      <c r="AD74" s="27"/>
      <c r="AE74" s="27"/>
      <c r="AG74" s="27">
        <f t="shared" si="88"/>
        <v>16.439</v>
      </c>
      <c r="AH74" s="27">
        <f t="shared" si="88"/>
        <v>29.625</v>
      </c>
      <c r="AI74" s="27">
        <f t="shared" si="88"/>
        <v>64.099999999999994</v>
      </c>
      <c r="AJ74" s="27">
        <f t="shared" si="88"/>
        <v>70.800000000000011</v>
      </c>
      <c r="AK74" s="27">
        <f t="shared" si="88"/>
        <v>155.70000000000002</v>
      </c>
      <c r="AL74" s="27">
        <f t="shared" si="88"/>
        <v>180.1</v>
      </c>
      <c r="AM74" s="27">
        <f t="shared" si="88"/>
        <v>-531.40000000000009</v>
      </c>
      <c r="AN74" s="27">
        <f t="shared" si="88"/>
        <v>0</v>
      </c>
      <c r="AO74" s="27">
        <f t="shared" si="88"/>
        <v>0</v>
      </c>
      <c r="AP74" s="27">
        <f t="shared" si="88"/>
        <v>0</v>
      </c>
      <c r="AQ74" s="27">
        <f t="shared" si="88"/>
        <v>0</v>
      </c>
      <c r="AR74" s="27">
        <f t="shared" si="88"/>
        <v>0</v>
      </c>
      <c r="AS74" s="27">
        <f t="shared" si="88"/>
        <v>0</v>
      </c>
      <c r="AU74" s="51"/>
    </row>
    <row r="75" spans="1:47" ht="28.5" x14ac:dyDescent="0.45">
      <c r="B75" s="42" t="s">
        <v>307</v>
      </c>
      <c r="C75" s="32"/>
      <c r="D75" s="32"/>
      <c r="E75" s="32">
        <f t="shared" ref="E75:K75" si="89">SUM(E71:E74)</f>
        <v>-46.678000000000004</v>
      </c>
      <c r="F75" s="32">
        <f t="shared" si="89"/>
        <v>-19.759999999999998</v>
      </c>
      <c r="G75" s="32">
        <f t="shared" si="89"/>
        <v>-114.30000000000001</v>
      </c>
      <c r="H75" s="32">
        <f t="shared" si="89"/>
        <v>81.8</v>
      </c>
      <c r="I75" s="32">
        <f t="shared" si="89"/>
        <v>11631.1</v>
      </c>
      <c r="J75" s="32">
        <f t="shared" si="89"/>
        <v>9051.0999999999985</v>
      </c>
      <c r="K75" s="32">
        <f t="shared" si="89"/>
        <v>-456.20000000000005</v>
      </c>
      <c r="L75" s="32">
        <f t="shared" ref="L75:Q75" si="90">SUM(L71:L74)</f>
        <v>0</v>
      </c>
      <c r="M75" s="32">
        <f t="shared" si="90"/>
        <v>0</v>
      </c>
      <c r="N75" s="32">
        <f t="shared" si="90"/>
        <v>0</v>
      </c>
      <c r="O75" s="32">
        <f t="shared" si="90"/>
        <v>0</v>
      </c>
      <c r="P75" s="32">
        <f t="shared" si="90"/>
        <v>0</v>
      </c>
      <c r="Q75" s="32">
        <f t="shared" si="90"/>
        <v>0</v>
      </c>
      <c r="S75" s="32">
        <f>SUM(S71:S74)</f>
        <v>0</v>
      </c>
      <c r="T75" s="32">
        <f t="shared" ref="T75:AE75" si="91">SUM(T71:T74)</f>
        <v>0</v>
      </c>
      <c r="U75" s="32">
        <f t="shared" si="91"/>
        <v>0</v>
      </c>
      <c r="V75" s="32">
        <f t="shared" si="91"/>
        <v>0</v>
      </c>
      <c r="W75" s="32">
        <f t="shared" si="91"/>
        <v>0</v>
      </c>
      <c r="X75" s="32">
        <f t="shared" si="91"/>
        <v>0</v>
      </c>
      <c r="Y75" s="32">
        <f t="shared" si="91"/>
        <v>0</v>
      </c>
      <c r="Z75" s="32">
        <f t="shared" si="91"/>
        <v>0</v>
      </c>
      <c r="AA75" s="32">
        <f t="shared" si="91"/>
        <v>0</v>
      </c>
      <c r="AB75" s="32">
        <f t="shared" si="91"/>
        <v>0</v>
      </c>
      <c r="AC75" s="32">
        <f t="shared" si="91"/>
        <v>0</v>
      </c>
      <c r="AD75" s="32">
        <f t="shared" si="91"/>
        <v>0</v>
      </c>
      <c r="AE75" s="32">
        <f t="shared" si="91"/>
        <v>0</v>
      </c>
      <c r="AG75" s="32">
        <f t="shared" si="88"/>
        <v>-46.678000000000004</v>
      </c>
      <c r="AH75" s="32">
        <f t="shared" si="88"/>
        <v>-19.759999999999998</v>
      </c>
      <c r="AI75" s="32">
        <f t="shared" si="88"/>
        <v>-114.30000000000001</v>
      </c>
      <c r="AJ75" s="32">
        <f t="shared" si="88"/>
        <v>81.8</v>
      </c>
      <c r="AK75" s="32">
        <f t="shared" si="88"/>
        <v>11631.1</v>
      </c>
      <c r="AL75" s="32">
        <f t="shared" si="88"/>
        <v>9051.0999999999985</v>
      </c>
      <c r="AM75" s="32">
        <f t="shared" si="88"/>
        <v>-456.20000000000005</v>
      </c>
      <c r="AN75" s="32">
        <f t="shared" si="88"/>
        <v>0</v>
      </c>
      <c r="AO75" s="32">
        <f t="shared" si="88"/>
        <v>0</v>
      </c>
      <c r="AP75" s="32">
        <f t="shared" si="88"/>
        <v>0</v>
      </c>
      <c r="AQ75" s="32">
        <f t="shared" si="88"/>
        <v>0</v>
      </c>
      <c r="AR75" s="32">
        <f t="shared" si="88"/>
        <v>0</v>
      </c>
      <c r="AS75" s="32">
        <f t="shared" si="88"/>
        <v>0</v>
      </c>
      <c r="AU75" s="51"/>
    </row>
    <row r="76" spans="1:47" x14ac:dyDescent="0.45">
      <c r="B76" s="34"/>
    </row>
    <row r="77" spans="1:47" ht="28.5" x14ac:dyDescent="0.45">
      <c r="B77" s="34" t="s">
        <v>308</v>
      </c>
      <c r="C77" s="27"/>
      <c r="D77" s="27"/>
      <c r="E77" s="27">
        <f>'BionTech Standardized'!E63</f>
        <v>-7.9639999999999995</v>
      </c>
      <c r="F77" s="27">
        <f>'BionTech Standardized'!F63</f>
        <v>-41.064999999999998</v>
      </c>
      <c r="G77" s="27">
        <f>'BionTech Standardized'!G63</f>
        <v>-83.5</v>
      </c>
      <c r="H77" s="27">
        <f>'BionTech Standardized'!H63</f>
        <v>-93.1</v>
      </c>
      <c r="I77" s="27">
        <f>'BionTech Standardized'!I63</f>
        <v>-10730.4</v>
      </c>
      <c r="J77" s="27">
        <f>'BionTech Standardized'!J63</f>
        <v>4518.4999999999991</v>
      </c>
      <c r="K77" s="27">
        <f>'BionTech Standardized'!K63</f>
        <v>5574.7999999999993</v>
      </c>
      <c r="L77" s="27"/>
      <c r="M77" s="27"/>
      <c r="N77" s="27"/>
      <c r="O77" s="27"/>
      <c r="P77" s="27"/>
      <c r="Q77" s="27"/>
      <c r="S77" s="27"/>
      <c r="T77" s="27"/>
      <c r="U77" s="27"/>
      <c r="V77" s="27"/>
      <c r="W77" s="27"/>
      <c r="X77" s="27"/>
      <c r="Y77" s="27"/>
      <c r="Z77" s="27"/>
      <c r="AA77" s="27"/>
      <c r="AB77" s="27"/>
      <c r="AC77" s="27"/>
      <c r="AD77" s="27"/>
      <c r="AE77" s="27"/>
      <c r="AG77" s="27">
        <f t="shared" ref="AG77:AS78" si="92">E77+S77</f>
        <v>-7.9639999999999995</v>
      </c>
      <c r="AH77" s="27">
        <f t="shared" si="92"/>
        <v>-41.064999999999998</v>
      </c>
      <c r="AI77" s="27">
        <f t="shared" si="92"/>
        <v>-83.5</v>
      </c>
      <c r="AJ77" s="27">
        <f t="shared" si="92"/>
        <v>-93.1</v>
      </c>
      <c r="AK77" s="27">
        <f t="shared" si="92"/>
        <v>-10730.4</v>
      </c>
      <c r="AL77" s="27">
        <f t="shared" si="92"/>
        <v>4518.4999999999991</v>
      </c>
      <c r="AM77" s="27">
        <f t="shared" si="92"/>
        <v>5574.7999999999993</v>
      </c>
      <c r="AN77" s="27">
        <f t="shared" si="92"/>
        <v>0</v>
      </c>
      <c r="AO77" s="27">
        <f t="shared" si="92"/>
        <v>0</v>
      </c>
      <c r="AP77" s="27">
        <f t="shared" si="92"/>
        <v>0</v>
      </c>
      <c r="AQ77" s="27">
        <f t="shared" si="92"/>
        <v>0</v>
      </c>
      <c r="AR77" s="27">
        <f t="shared" si="92"/>
        <v>0</v>
      </c>
      <c r="AS77" s="27">
        <f t="shared" si="92"/>
        <v>0</v>
      </c>
      <c r="AU77" s="51"/>
    </row>
    <row r="78" spans="1:47" ht="28.5" x14ac:dyDescent="0.45">
      <c r="B78" s="42" t="s">
        <v>309</v>
      </c>
      <c r="C78" s="32"/>
      <c r="D78" s="32"/>
      <c r="E78" s="32">
        <f t="shared" ref="E78:K78" si="93">SUM(E77,E75)</f>
        <v>-54.642000000000003</v>
      </c>
      <c r="F78" s="32">
        <f t="shared" si="93"/>
        <v>-60.824999999999996</v>
      </c>
      <c r="G78" s="32">
        <f t="shared" si="93"/>
        <v>-197.8</v>
      </c>
      <c r="H78" s="32">
        <f t="shared" si="93"/>
        <v>-11.299999999999997</v>
      </c>
      <c r="I78" s="32">
        <f t="shared" si="93"/>
        <v>900.70000000000073</v>
      </c>
      <c r="J78" s="32">
        <f t="shared" si="93"/>
        <v>13569.599999999999</v>
      </c>
      <c r="K78" s="32">
        <f t="shared" si="93"/>
        <v>5118.5999999999995</v>
      </c>
      <c r="L78" s="32">
        <f t="shared" ref="L78:Q78" si="94">SUM(L75:L77)</f>
        <v>0</v>
      </c>
      <c r="M78" s="32">
        <f t="shared" si="94"/>
        <v>0</v>
      </c>
      <c r="N78" s="32">
        <f t="shared" si="94"/>
        <v>0</v>
      </c>
      <c r="O78" s="32">
        <f t="shared" si="94"/>
        <v>0</v>
      </c>
      <c r="P78" s="32">
        <f t="shared" si="94"/>
        <v>0</v>
      </c>
      <c r="Q78" s="32">
        <f t="shared" si="94"/>
        <v>0</v>
      </c>
      <c r="S78" s="32">
        <f>SUM(S75:S77)</f>
        <v>0</v>
      </c>
      <c r="T78" s="32">
        <f t="shared" ref="T78:AE78" si="95">SUM(T75:T77)</f>
        <v>0</v>
      </c>
      <c r="U78" s="32">
        <f t="shared" si="95"/>
        <v>0</v>
      </c>
      <c r="V78" s="32">
        <f t="shared" si="95"/>
        <v>0</v>
      </c>
      <c r="W78" s="32">
        <f t="shared" si="95"/>
        <v>0</v>
      </c>
      <c r="X78" s="32">
        <f t="shared" si="95"/>
        <v>0</v>
      </c>
      <c r="Y78" s="32">
        <f t="shared" si="95"/>
        <v>0</v>
      </c>
      <c r="Z78" s="32">
        <f t="shared" si="95"/>
        <v>0</v>
      </c>
      <c r="AA78" s="32">
        <f t="shared" si="95"/>
        <v>0</v>
      </c>
      <c r="AB78" s="32">
        <f t="shared" si="95"/>
        <v>0</v>
      </c>
      <c r="AC78" s="32">
        <f t="shared" si="95"/>
        <v>0</v>
      </c>
      <c r="AD78" s="32">
        <f t="shared" si="95"/>
        <v>0</v>
      </c>
      <c r="AE78" s="32">
        <f t="shared" si="95"/>
        <v>0</v>
      </c>
      <c r="AG78" s="32">
        <f t="shared" si="92"/>
        <v>-54.642000000000003</v>
      </c>
      <c r="AH78" s="32">
        <f t="shared" si="92"/>
        <v>-60.824999999999996</v>
      </c>
      <c r="AI78" s="32">
        <f t="shared" si="92"/>
        <v>-197.8</v>
      </c>
      <c r="AJ78" s="32">
        <f t="shared" si="92"/>
        <v>-11.299999999999997</v>
      </c>
      <c r="AK78" s="32">
        <f t="shared" si="92"/>
        <v>900.70000000000073</v>
      </c>
      <c r="AL78" s="32">
        <f t="shared" si="92"/>
        <v>13569.599999999999</v>
      </c>
      <c r="AM78" s="32">
        <f t="shared" si="92"/>
        <v>5118.5999999999995</v>
      </c>
      <c r="AN78" s="32">
        <f t="shared" si="92"/>
        <v>0</v>
      </c>
      <c r="AO78" s="32">
        <f t="shared" si="92"/>
        <v>0</v>
      </c>
      <c r="AP78" s="32">
        <f t="shared" si="92"/>
        <v>0</v>
      </c>
      <c r="AQ78" s="32">
        <f t="shared" si="92"/>
        <v>0</v>
      </c>
      <c r="AR78" s="32">
        <f t="shared" si="92"/>
        <v>0</v>
      </c>
      <c r="AS78" s="32">
        <f t="shared" si="92"/>
        <v>0</v>
      </c>
      <c r="AU78" s="51"/>
    </row>
    <row r="79" spans="1:47" x14ac:dyDescent="0.45">
      <c r="B79" s="34"/>
    </row>
    <row r="80" spans="1:47" x14ac:dyDescent="0.45">
      <c r="B80" s="34" t="s">
        <v>310</v>
      </c>
      <c r="C80" s="25"/>
      <c r="D80" s="25"/>
      <c r="E80" s="25">
        <f>'BionTech Standardized'!E61</f>
        <v>2.133</v>
      </c>
      <c r="F80" s="25">
        <f>'BionTech Standardized'!F61</f>
        <v>1.996</v>
      </c>
      <c r="G80" s="25">
        <f>'BionTech Standardized'!G61</f>
        <v>1.2999999999999999E-3</v>
      </c>
      <c r="H80" s="25">
        <f>'BionTech Standardized'!H61</f>
        <v>1.4</v>
      </c>
      <c r="I80" s="25">
        <f>'BionTech Standardized'!I61</f>
        <v>1.2</v>
      </c>
      <c r="J80" s="25">
        <f>'BionTech Standardized'!J61</f>
        <v>29.3</v>
      </c>
      <c r="K80" s="25">
        <f>'BionTech Standardized'!K61</f>
        <v>258.2</v>
      </c>
      <c r="L80" s="25"/>
      <c r="M80" s="25"/>
      <c r="N80" s="25"/>
      <c r="O80" s="25"/>
      <c r="P80" s="25"/>
      <c r="Q80" s="25"/>
      <c r="S80" s="25"/>
      <c r="T80" s="25"/>
      <c r="U80" s="25"/>
      <c r="V80" s="25"/>
      <c r="W80" s="25"/>
      <c r="X80" s="25"/>
      <c r="Y80" s="25"/>
      <c r="Z80" s="25"/>
      <c r="AA80" s="25"/>
      <c r="AB80" s="25"/>
      <c r="AC80" s="25"/>
      <c r="AD80" s="25"/>
      <c r="AE80" s="25"/>
      <c r="AG80" s="25">
        <f t="shared" ref="AG80:AS83" si="96">E80+S80</f>
        <v>2.133</v>
      </c>
      <c r="AH80" s="25">
        <f t="shared" si="96"/>
        <v>1.996</v>
      </c>
      <c r="AI80" s="25">
        <f t="shared" si="96"/>
        <v>1.2999999999999999E-3</v>
      </c>
      <c r="AJ80" s="25">
        <f t="shared" si="96"/>
        <v>1.4</v>
      </c>
      <c r="AK80" s="25">
        <f t="shared" si="96"/>
        <v>1.2</v>
      </c>
      <c r="AL80" s="25">
        <f t="shared" si="96"/>
        <v>29.3</v>
      </c>
      <c r="AM80" s="25">
        <f t="shared" si="96"/>
        <v>258.2</v>
      </c>
      <c r="AN80" s="25">
        <f t="shared" si="96"/>
        <v>0</v>
      </c>
      <c r="AO80" s="25">
        <f t="shared" si="96"/>
        <v>0</v>
      </c>
      <c r="AP80" s="25">
        <f t="shared" si="96"/>
        <v>0</v>
      </c>
      <c r="AQ80" s="25">
        <f t="shared" si="96"/>
        <v>0</v>
      </c>
      <c r="AR80" s="25">
        <f t="shared" si="96"/>
        <v>0</v>
      </c>
      <c r="AS80" s="25">
        <f t="shared" si="96"/>
        <v>0</v>
      </c>
    </row>
    <row r="81" spans="1:45" x14ac:dyDescent="0.45">
      <c r="B81" s="34" t="s">
        <v>311</v>
      </c>
      <c r="C81" s="25"/>
      <c r="D81" s="25"/>
      <c r="E81" s="25">
        <f>'BionTech Standardized'!E62</f>
        <v>0</v>
      </c>
      <c r="F81" s="25">
        <f>'BionTech Standardized'!F62</f>
        <v>0</v>
      </c>
      <c r="G81" s="25">
        <f>'BionTech Standardized'!G62</f>
        <v>0</v>
      </c>
      <c r="H81" s="25">
        <f>'BionTech Standardized'!H62</f>
        <v>0</v>
      </c>
      <c r="I81" s="25">
        <f>'BionTech Standardized'!I62</f>
        <v>0</v>
      </c>
      <c r="J81" s="25">
        <f>'BionTech Standardized'!J62</f>
        <v>0</v>
      </c>
      <c r="K81" s="25">
        <f>'BionTech Standardized'!K62</f>
        <v>0</v>
      </c>
      <c r="L81" s="25"/>
      <c r="M81" s="25"/>
      <c r="N81" s="25"/>
      <c r="O81" s="25"/>
      <c r="P81" s="25"/>
      <c r="Q81" s="25"/>
      <c r="S81" s="25"/>
      <c r="T81" s="25"/>
      <c r="U81" s="25"/>
      <c r="V81" s="25"/>
      <c r="W81" s="25"/>
      <c r="X81" s="25"/>
      <c r="Y81" s="25"/>
      <c r="Z81" s="25"/>
      <c r="AA81" s="25"/>
      <c r="AB81" s="25"/>
      <c r="AC81" s="25"/>
      <c r="AD81" s="25"/>
      <c r="AE81" s="25"/>
      <c r="AG81" s="25">
        <f t="shared" si="96"/>
        <v>0</v>
      </c>
      <c r="AH81" s="25">
        <f t="shared" si="96"/>
        <v>0</v>
      </c>
      <c r="AI81" s="25">
        <f t="shared" si="96"/>
        <v>0</v>
      </c>
      <c r="AJ81" s="25">
        <f t="shared" si="96"/>
        <v>0</v>
      </c>
      <c r="AK81" s="25">
        <f t="shared" si="96"/>
        <v>0</v>
      </c>
      <c r="AL81" s="25">
        <f t="shared" si="96"/>
        <v>0</v>
      </c>
      <c r="AM81" s="25">
        <f t="shared" si="96"/>
        <v>0</v>
      </c>
      <c r="AN81" s="25">
        <f t="shared" si="96"/>
        <v>0</v>
      </c>
      <c r="AO81" s="25">
        <f t="shared" si="96"/>
        <v>0</v>
      </c>
      <c r="AP81" s="25">
        <f t="shared" si="96"/>
        <v>0</v>
      </c>
      <c r="AQ81" s="25">
        <f t="shared" si="96"/>
        <v>0</v>
      </c>
      <c r="AR81" s="25">
        <f t="shared" si="96"/>
        <v>0</v>
      </c>
      <c r="AS81" s="25">
        <f t="shared" si="96"/>
        <v>0</v>
      </c>
    </row>
    <row r="82" spans="1:45" ht="28.5" x14ac:dyDescent="0.45">
      <c r="B82" s="34" t="s">
        <v>312</v>
      </c>
      <c r="C82" s="27"/>
      <c r="D82" s="27"/>
      <c r="E82" s="27">
        <f>'BionTech Standardized'!E64</f>
        <v>-52.548999999999999</v>
      </c>
      <c r="F82" s="27">
        <f>'BionTech Standardized'!F64</f>
        <v>-66.451999999999998</v>
      </c>
      <c r="G82" s="27">
        <f>'BionTech Standardized'!G64</f>
        <v>-77.2</v>
      </c>
      <c r="H82" s="27">
        <f>'BionTech Standardized'!H64</f>
        <v>-144.80000000000001</v>
      </c>
      <c r="I82" s="27">
        <f>'BionTech Standardized'!I64</f>
        <v>-566.1</v>
      </c>
      <c r="J82" s="27">
        <f>'BionTech Standardized'!J64</f>
        <v>-35.300000000000011</v>
      </c>
      <c r="K82" s="27">
        <f>'BionTech Standardized'!K64</f>
        <v>-6954.4999999999991</v>
      </c>
      <c r="L82" s="27"/>
      <c r="M82" s="27"/>
      <c r="N82" s="27"/>
      <c r="O82" s="27"/>
      <c r="P82" s="27"/>
      <c r="Q82" s="27"/>
      <c r="S82" s="27"/>
      <c r="T82" s="27"/>
      <c r="U82" s="27"/>
      <c r="V82" s="27"/>
      <c r="W82" s="27"/>
      <c r="X82" s="27"/>
      <c r="Y82" s="27"/>
      <c r="Z82" s="27"/>
      <c r="AA82" s="27"/>
      <c r="AB82" s="27"/>
      <c r="AC82" s="27"/>
      <c r="AD82" s="27"/>
      <c r="AE82" s="27"/>
      <c r="AG82" s="27">
        <f t="shared" si="96"/>
        <v>-52.548999999999999</v>
      </c>
      <c r="AH82" s="27">
        <f t="shared" si="96"/>
        <v>-66.451999999999998</v>
      </c>
      <c r="AI82" s="27">
        <f t="shared" si="96"/>
        <v>-77.2</v>
      </c>
      <c r="AJ82" s="27">
        <f t="shared" si="96"/>
        <v>-144.80000000000001</v>
      </c>
      <c r="AK82" s="27">
        <f t="shared" si="96"/>
        <v>-566.1</v>
      </c>
      <c r="AL82" s="27">
        <f t="shared" si="96"/>
        <v>-35.300000000000011</v>
      </c>
      <c r="AM82" s="27">
        <f t="shared" si="96"/>
        <v>-6954.4999999999991</v>
      </c>
      <c r="AN82" s="27">
        <f t="shared" si="96"/>
        <v>0</v>
      </c>
      <c r="AO82" s="27">
        <f t="shared" si="96"/>
        <v>0</v>
      </c>
      <c r="AP82" s="27">
        <f t="shared" si="96"/>
        <v>0</v>
      </c>
      <c r="AQ82" s="27">
        <f t="shared" si="96"/>
        <v>0</v>
      </c>
      <c r="AR82" s="27">
        <f t="shared" si="96"/>
        <v>0</v>
      </c>
      <c r="AS82" s="27">
        <f t="shared" si="96"/>
        <v>0</v>
      </c>
    </row>
    <row r="83" spans="1:45" x14ac:dyDescent="0.45">
      <c r="B83" s="42" t="s">
        <v>313</v>
      </c>
      <c r="C83" s="32"/>
      <c r="D83" s="32"/>
      <c r="E83" s="32">
        <f t="shared" ref="E83:K83" si="97">SUM(E80:E82,E78)</f>
        <v>-105.05799999999999</v>
      </c>
      <c r="F83" s="32">
        <f t="shared" si="97"/>
        <v>-125.28100000000001</v>
      </c>
      <c r="G83" s="32">
        <f t="shared" si="97"/>
        <v>-274.99869999999999</v>
      </c>
      <c r="H83" s="32">
        <f t="shared" si="97"/>
        <v>-154.69999999999999</v>
      </c>
      <c r="I83" s="32">
        <f t="shared" si="97"/>
        <v>335.80000000000075</v>
      </c>
      <c r="J83" s="32">
        <f t="shared" si="97"/>
        <v>13563.599999999999</v>
      </c>
      <c r="K83" s="32">
        <f t="shared" si="97"/>
        <v>-1577.6999999999998</v>
      </c>
      <c r="L83" s="32">
        <f t="shared" ref="L83:Q83" si="98">SUM(L78:L82)</f>
        <v>0</v>
      </c>
      <c r="M83" s="32">
        <f t="shared" si="98"/>
        <v>0</v>
      </c>
      <c r="N83" s="32">
        <f t="shared" si="98"/>
        <v>0</v>
      </c>
      <c r="O83" s="32">
        <f t="shared" si="98"/>
        <v>0</v>
      </c>
      <c r="P83" s="32">
        <f t="shared" si="98"/>
        <v>0</v>
      </c>
      <c r="Q83" s="32">
        <f t="shared" si="98"/>
        <v>0</v>
      </c>
      <c r="S83" s="32">
        <f>SUM(S78:S82)</f>
        <v>0</v>
      </c>
      <c r="T83" s="32">
        <f t="shared" ref="T83:AE83" si="99">SUM(T78:T82)</f>
        <v>0</v>
      </c>
      <c r="U83" s="32">
        <f t="shared" si="99"/>
        <v>0</v>
      </c>
      <c r="V83" s="32">
        <f t="shared" si="99"/>
        <v>0</v>
      </c>
      <c r="W83" s="32">
        <f t="shared" si="99"/>
        <v>0</v>
      </c>
      <c r="X83" s="32">
        <f t="shared" si="99"/>
        <v>0</v>
      </c>
      <c r="Y83" s="32">
        <f t="shared" si="99"/>
        <v>0</v>
      </c>
      <c r="Z83" s="32">
        <f t="shared" si="99"/>
        <v>0</v>
      </c>
      <c r="AA83" s="32">
        <f t="shared" si="99"/>
        <v>0</v>
      </c>
      <c r="AB83" s="32">
        <f t="shared" si="99"/>
        <v>0</v>
      </c>
      <c r="AC83" s="32">
        <f t="shared" si="99"/>
        <v>0</v>
      </c>
      <c r="AD83" s="32">
        <f t="shared" si="99"/>
        <v>0</v>
      </c>
      <c r="AE83" s="32">
        <f t="shared" si="99"/>
        <v>0</v>
      </c>
      <c r="AG83" s="32">
        <f t="shared" si="96"/>
        <v>-105.05799999999999</v>
      </c>
      <c r="AH83" s="32">
        <f t="shared" si="96"/>
        <v>-125.28100000000001</v>
      </c>
      <c r="AI83" s="32">
        <f t="shared" si="96"/>
        <v>-274.99869999999999</v>
      </c>
      <c r="AJ83" s="32">
        <f t="shared" si="96"/>
        <v>-154.69999999999999</v>
      </c>
      <c r="AK83" s="32">
        <f t="shared" si="96"/>
        <v>335.80000000000075</v>
      </c>
      <c r="AL83" s="32">
        <f t="shared" si="96"/>
        <v>13563.599999999999</v>
      </c>
      <c r="AM83" s="32">
        <f t="shared" si="96"/>
        <v>-1577.6999999999998</v>
      </c>
      <c r="AN83" s="32">
        <f t="shared" si="96"/>
        <v>0</v>
      </c>
      <c r="AO83" s="32">
        <f t="shared" si="96"/>
        <v>0</v>
      </c>
      <c r="AP83" s="32">
        <f t="shared" si="96"/>
        <v>0</v>
      </c>
      <c r="AQ83" s="32">
        <f t="shared" si="96"/>
        <v>0</v>
      </c>
      <c r="AR83" s="32">
        <f t="shared" si="96"/>
        <v>0</v>
      </c>
      <c r="AS83" s="32">
        <f t="shared" si="96"/>
        <v>0</v>
      </c>
    </row>
    <row r="84" spans="1:45" x14ac:dyDescent="0.45">
      <c r="B84" s="42"/>
      <c r="C84" s="32"/>
      <c r="D84" s="32"/>
      <c r="E84" s="32"/>
      <c r="F84" s="32"/>
      <c r="G84" s="32"/>
      <c r="H84" s="32"/>
      <c r="I84" s="32"/>
      <c r="J84" s="32"/>
      <c r="K84" s="32"/>
      <c r="L84" s="32"/>
      <c r="M84" s="32"/>
      <c r="N84" s="32"/>
      <c r="O84" s="32"/>
      <c r="P84" s="32"/>
      <c r="Q84" s="32"/>
      <c r="S84" s="32"/>
      <c r="T84" s="32"/>
      <c r="U84" s="32"/>
      <c r="V84" s="32"/>
      <c r="W84" s="32"/>
      <c r="X84" s="32"/>
      <c r="Y84" s="32"/>
      <c r="Z84" s="32"/>
      <c r="AA84" s="32"/>
      <c r="AB84" s="32"/>
      <c r="AC84" s="32"/>
      <c r="AD84" s="32"/>
      <c r="AE84" s="32"/>
      <c r="AG84" s="32"/>
      <c r="AH84" s="32"/>
      <c r="AI84" s="32"/>
      <c r="AJ84" s="32"/>
      <c r="AK84" s="32"/>
      <c r="AL84" s="32"/>
      <c r="AM84" s="32"/>
      <c r="AN84" s="32"/>
      <c r="AO84" s="32"/>
      <c r="AP84" s="32"/>
      <c r="AQ84" s="32"/>
      <c r="AR84" s="32"/>
      <c r="AS84" s="32"/>
    </row>
    <row r="85" spans="1:45" x14ac:dyDescent="0.45">
      <c r="B85" s="34" t="s">
        <v>314</v>
      </c>
      <c r="C85" s="25"/>
      <c r="D85" s="25"/>
      <c r="E85" s="25">
        <f>'BionTech Standardized'!E68</f>
        <v>-5.2999999999999936E-2</v>
      </c>
      <c r="F85" s="25">
        <f>'BionTech Standardized'!F68</f>
        <v>-4.7999999999999821E-2</v>
      </c>
      <c r="G85" s="25">
        <f>'BionTech Standardized'!G68</f>
        <v>-2E-3</v>
      </c>
      <c r="H85" s="25">
        <f>'BionTech Standardized'!H68</f>
        <v>-3.6</v>
      </c>
      <c r="I85" s="25">
        <f>'BionTech Standardized'!I68</f>
        <v>-12.2</v>
      </c>
      <c r="J85" s="25">
        <f>'BionTech Standardized'!J68</f>
        <v>-21.5</v>
      </c>
      <c r="K85" s="25">
        <f>'BionTech Standardized'!K68</f>
        <v>-5.4</v>
      </c>
      <c r="L85" s="25"/>
      <c r="M85" s="25"/>
      <c r="N85" s="25"/>
      <c r="O85" s="25"/>
      <c r="P85" s="25"/>
      <c r="Q85" s="25"/>
      <c r="S85" s="25">
        <f t="shared" ref="S85:AE85" si="100">S14*E103</f>
        <v>0</v>
      </c>
      <c r="T85" s="25">
        <f t="shared" si="100"/>
        <v>0</v>
      </c>
      <c r="U85" s="25">
        <f t="shared" si="100"/>
        <v>0</v>
      </c>
      <c r="V85" s="25">
        <f t="shared" si="100"/>
        <v>0</v>
      </c>
      <c r="W85" s="25">
        <f t="shared" si="100"/>
        <v>0</v>
      </c>
      <c r="X85" s="25">
        <f t="shared" si="100"/>
        <v>0</v>
      </c>
      <c r="Y85" s="25">
        <f t="shared" si="100"/>
        <v>0</v>
      </c>
      <c r="Z85" s="25">
        <f t="shared" si="100"/>
        <v>0</v>
      </c>
      <c r="AA85" s="25">
        <f t="shared" si="100"/>
        <v>0</v>
      </c>
      <c r="AB85" s="25">
        <f t="shared" si="100"/>
        <v>0</v>
      </c>
      <c r="AC85" s="25">
        <f t="shared" si="100"/>
        <v>0</v>
      </c>
      <c r="AD85" s="25">
        <f t="shared" si="100"/>
        <v>0</v>
      </c>
      <c r="AE85" s="25">
        <f t="shared" si="100"/>
        <v>0</v>
      </c>
      <c r="AG85" s="25">
        <f t="shared" ref="AG85:AS87" si="101">E85+S85</f>
        <v>-5.2999999999999936E-2</v>
      </c>
      <c r="AH85" s="25">
        <f t="shared" si="101"/>
        <v>-4.7999999999999821E-2</v>
      </c>
      <c r="AI85" s="25">
        <f t="shared" si="101"/>
        <v>-2E-3</v>
      </c>
      <c r="AJ85" s="25">
        <f t="shared" si="101"/>
        <v>-3.6</v>
      </c>
      <c r="AK85" s="25">
        <f t="shared" si="101"/>
        <v>-12.2</v>
      </c>
      <c r="AL85" s="25">
        <f t="shared" si="101"/>
        <v>-21.5</v>
      </c>
      <c r="AM85" s="25">
        <f t="shared" si="101"/>
        <v>-5.4</v>
      </c>
      <c r="AN85" s="25">
        <f t="shared" si="101"/>
        <v>0</v>
      </c>
      <c r="AO85" s="25">
        <f t="shared" si="101"/>
        <v>0</v>
      </c>
      <c r="AP85" s="25">
        <f t="shared" si="101"/>
        <v>0</v>
      </c>
      <c r="AQ85" s="25">
        <f t="shared" si="101"/>
        <v>0</v>
      </c>
      <c r="AR85" s="25">
        <f t="shared" si="101"/>
        <v>0</v>
      </c>
      <c r="AS85" s="25">
        <f t="shared" si="101"/>
        <v>0</v>
      </c>
    </row>
    <row r="86" spans="1:45" x14ac:dyDescent="0.45">
      <c r="B86" s="34" t="s">
        <v>315</v>
      </c>
      <c r="C86" s="27"/>
      <c r="D86" s="27"/>
      <c r="E86" s="27">
        <f>'BionTech Standardized'!E67</f>
        <v>-1.643</v>
      </c>
      <c r="F86" s="27">
        <f>'BionTech Standardized'!F67</f>
        <v>3.4519999999999995</v>
      </c>
      <c r="G86" s="27">
        <f>'BionTech Standardized'!G67</f>
        <v>7.9</v>
      </c>
      <c r="H86" s="27">
        <f>'BionTech Standardized'!H67</f>
        <v>141.70000000000002</v>
      </c>
      <c r="I86" s="27">
        <f>'BionTech Standardized'!I67</f>
        <v>-66.7</v>
      </c>
      <c r="J86" s="27">
        <f>'BionTech Standardized'!J67</f>
        <v>-59.1</v>
      </c>
      <c r="K86" s="27">
        <f>'BionTech Standardized'!K67</f>
        <v>-40.099999999999994</v>
      </c>
      <c r="L86" s="27"/>
      <c r="M86" s="27"/>
      <c r="N86" s="27"/>
      <c r="O86" s="27"/>
      <c r="P86" s="27"/>
      <c r="Q86" s="27"/>
      <c r="S86" s="27">
        <f t="shared" ref="S86:AE86" si="102">-S74-S82</f>
        <v>0</v>
      </c>
      <c r="T86" s="27">
        <f t="shared" si="102"/>
        <v>0</v>
      </c>
      <c r="U86" s="27">
        <f t="shared" si="102"/>
        <v>0</v>
      </c>
      <c r="V86" s="27">
        <f t="shared" si="102"/>
        <v>0</v>
      </c>
      <c r="W86" s="27">
        <f t="shared" si="102"/>
        <v>0</v>
      </c>
      <c r="X86" s="27">
        <f t="shared" si="102"/>
        <v>0</v>
      </c>
      <c r="Y86" s="27">
        <f t="shared" si="102"/>
        <v>0</v>
      </c>
      <c r="Z86" s="27">
        <f t="shared" si="102"/>
        <v>0</v>
      </c>
      <c r="AA86" s="27">
        <f t="shared" si="102"/>
        <v>0</v>
      </c>
      <c r="AB86" s="27">
        <f t="shared" si="102"/>
        <v>0</v>
      </c>
      <c r="AC86" s="27">
        <f t="shared" si="102"/>
        <v>0</v>
      </c>
      <c r="AD86" s="27">
        <f t="shared" si="102"/>
        <v>0</v>
      </c>
      <c r="AE86" s="27">
        <f t="shared" si="102"/>
        <v>0</v>
      </c>
      <c r="AG86" s="27">
        <f t="shared" si="101"/>
        <v>-1.643</v>
      </c>
      <c r="AH86" s="27">
        <f t="shared" si="101"/>
        <v>3.4519999999999995</v>
      </c>
      <c r="AI86" s="27">
        <f t="shared" si="101"/>
        <v>7.9</v>
      </c>
      <c r="AJ86" s="27">
        <f t="shared" si="101"/>
        <v>141.70000000000002</v>
      </c>
      <c r="AK86" s="27">
        <f t="shared" si="101"/>
        <v>-66.7</v>
      </c>
      <c r="AL86" s="27">
        <f t="shared" si="101"/>
        <v>-59.1</v>
      </c>
      <c r="AM86" s="27">
        <f t="shared" si="101"/>
        <v>-40.099999999999994</v>
      </c>
      <c r="AN86" s="27">
        <f t="shared" si="101"/>
        <v>0</v>
      </c>
      <c r="AO86" s="27">
        <f t="shared" si="101"/>
        <v>0</v>
      </c>
      <c r="AP86" s="27">
        <f t="shared" si="101"/>
        <v>0</v>
      </c>
      <c r="AQ86" s="27">
        <f t="shared" si="101"/>
        <v>0</v>
      </c>
      <c r="AR86" s="27">
        <f t="shared" si="101"/>
        <v>0</v>
      </c>
      <c r="AS86" s="27">
        <f t="shared" si="101"/>
        <v>0</v>
      </c>
    </row>
    <row r="87" spans="1:45" x14ac:dyDescent="0.45">
      <c r="B87" s="42" t="s">
        <v>316</v>
      </c>
      <c r="C87" s="32"/>
      <c r="D87" s="32"/>
      <c r="E87" s="32">
        <f t="shared" ref="E87:K87" si="103">SUM(E85:E86,E83)</f>
        <v>-106.75399999999999</v>
      </c>
      <c r="F87" s="32">
        <f t="shared" si="103"/>
        <v>-121.87700000000001</v>
      </c>
      <c r="G87" s="32">
        <f t="shared" si="103"/>
        <v>-267.10069999999996</v>
      </c>
      <c r="H87" s="32">
        <f t="shared" si="103"/>
        <v>-16.599999999999966</v>
      </c>
      <c r="I87" s="32">
        <f t="shared" si="103"/>
        <v>256.90000000000077</v>
      </c>
      <c r="J87" s="32">
        <f t="shared" si="103"/>
        <v>13482.999999999998</v>
      </c>
      <c r="K87" s="32">
        <f t="shared" si="103"/>
        <v>-1623.1999999999998</v>
      </c>
      <c r="L87" s="32">
        <f t="shared" ref="L87:Q87" si="104">SUM(L83:L86)</f>
        <v>0</v>
      </c>
      <c r="M87" s="32">
        <f t="shared" si="104"/>
        <v>0</v>
      </c>
      <c r="N87" s="32">
        <f t="shared" si="104"/>
        <v>0</v>
      </c>
      <c r="O87" s="32">
        <f t="shared" si="104"/>
        <v>0</v>
      </c>
      <c r="P87" s="32">
        <f t="shared" si="104"/>
        <v>0</v>
      </c>
      <c r="Q87" s="32">
        <f t="shared" si="104"/>
        <v>0</v>
      </c>
      <c r="S87" s="32">
        <f t="shared" ref="S87:AE87" si="105">SUM(S83:S86)</f>
        <v>0</v>
      </c>
      <c r="T87" s="32">
        <f t="shared" si="105"/>
        <v>0</v>
      </c>
      <c r="U87" s="32">
        <f t="shared" si="105"/>
        <v>0</v>
      </c>
      <c r="V87" s="32">
        <f t="shared" si="105"/>
        <v>0</v>
      </c>
      <c r="W87" s="32">
        <f t="shared" si="105"/>
        <v>0</v>
      </c>
      <c r="X87" s="32">
        <f t="shared" si="105"/>
        <v>0</v>
      </c>
      <c r="Y87" s="32">
        <f t="shared" si="105"/>
        <v>0</v>
      </c>
      <c r="Z87" s="32">
        <f t="shared" si="105"/>
        <v>0</v>
      </c>
      <c r="AA87" s="32">
        <f t="shared" si="105"/>
        <v>0</v>
      </c>
      <c r="AB87" s="32">
        <f t="shared" si="105"/>
        <v>0</v>
      </c>
      <c r="AC87" s="32">
        <f t="shared" si="105"/>
        <v>0</v>
      </c>
      <c r="AD87" s="32">
        <f t="shared" si="105"/>
        <v>0</v>
      </c>
      <c r="AE87" s="32">
        <f t="shared" si="105"/>
        <v>0</v>
      </c>
      <c r="AG87" s="32">
        <f>E87+S87</f>
        <v>-106.75399999999999</v>
      </c>
      <c r="AH87" s="32">
        <f t="shared" si="101"/>
        <v>-121.87700000000001</v>
      </c>
      <c r="AI87" s="32">
        <f t="shared" si="101"/>
        <v>-267.10069999999996</v>
      </c>
      <c r="AJ87" s="32">
        <f t="shared" si="101"/>
        <v>-16.599999999999966</v>
      </c>
      <c r="AK87" s="32">
        <f t="shared" si="101"/>
        <v>256.90000000000077</v>
      </c>
      <c r="AL87" s="32">
        <f t="shared" si="101"/>
        <v>13482.999999999998</v>
      </c>
      <c r="AM87" s="32">
        <f t="shared" si="101"/>
        <v>-1623.1999999999998</v>
      </c>
      <c r="AN87" s="32">
        <f t="shared" si="101"/>
        <v>0</v>
      </c>
      <c r="AO87" s="32">
        <f t="shared" si="101"/>
        <v>0</v>
      </c>
      <c r="AP87" s="32">
        <f t="shared" si="101"/>
        <v>0</v>
      </c>
      <c r="AQ87" s="32">
        <f t="shared" si="101"/>
        <v>0</v>
      </c>
      <c r="AR87" s="32">
        <f t="shared" si="101"/>
        <v>0</v>
      </c>
      <c r="AS87" s="32">
        <f t="shared" si="101"/>
        <v>0</v>
      </c>
    </row>
    <row r="88" spans="1:45" x14ac:dyDescent="0.45">
      <c r="B88" s="34"/>
    </row>
    <row r="89" spans="1:45" x14ac:dyDescent="0.45">
      <c r="B89" s="34" t="s">
        <v>317</v>
      </c>
      <c r="C89" s="25"/>
      <c r="D89" s="25"/>
      <c r="E89" s="25">
        <f>'BionTech Standardized'!E69</f>
        <v>0</v>
      </c>
      <c r="F89" s="25">
        <f>'BionTech Standardized'!F69</f>
        <v>0</v>
      </c>
      <c r="G89" s="25">
        <f>'BionTech Standardized'!G69</f>
        <v>0</v>
      </c>
      <c r="H89" s="25">
        <f>'BionTech Standardized'!H69</f>
        <v>0</v>
      </c>
      <c r="I89" s="25">
        <f>'BionTech Standardized'!I69</f>
        <v>0</v>
      </c>
      <c r="J89" s="25">
        <f>'BionTech Standardized'!J69</f>
        <v>-484.3</v>
      </c>
      <c r="K89" s="25">
        <f>'BionTech Standardized'!K69</f>
        <v>0</v>
      </c>
      <c r="L89" s="25"/>
      <c r="M89" s="25"/>
      <c r="N89" s="25"/>
      <c r="O89" s="25"/>
      <c r="P89" s="25"/>
      <c r="Q89" s="25"/>
      <c r="S89" s="25"/>
      <c r="T89" s="25"/>
      <c r="U89" s="25"/>
      <c r="V89" s="25"/>
      <c r="W89" s="25"/>
      <c r="X89" s="25"/>
      <c r="Y89" s="25"/>
      <c r="Z89" s="25"/>
      <c r="AA89" s="25"/>
      <c r="AB89" s="25"/>
      <c r="AC89" s="25"/>
      <c r="AD89" s="25"/>
      <c r="AE89" s="25"/>
      <c r="AG89" s="25">
        <f t="shared" ref="AG89:AS92" si="106">E89+S89</f>
        <v>0</v>
      </c>
      <c r="AH89" s="25">
        <f t="shared" si="106"/>
        <v>0</v>
      </c>
      <c r="AI89" s="25">
        <f t="shared" si="106"/>
        <v>0</v>
      </c>
      <c r="AJ89" s="25">
        <f t="shared" si="106"/>
        <v>0</v>
      </c>
      <c r="AK89" s="25">
        <f t="shared" si="106"/>
        <v>0</v>
      </c>
      <c r="AL89" s="25">
        <f t="shared" si="106"/>
        <v>-484.3</v>
      </c>
      <c r="AM89" s="25">
        <f t="shared" si="106"/>
        <v>0</v>
      </c>
      <c r="AN89" s="25">
        <f t="shared" si="106"/>
        <v>0</v>
      </c>
      <c r="AO89" s="25">
        <f t="shared" si="106"/>
        <v>0</v>
      </c>
      <c r="AP89" s="25">
        <f t="shared" si="106"/>
        <v>0</v>
      </c>
      <c r="AQ89" s="25">
        <f t="shared" si="106"/>
        <v>0</v>
      </c>
      <c r="AR89" s="25">
        <f t="shared" si="106"/>
        <v>0</v>
      </c>
      <c r="AS89" s="25">
        <f t="shared" si="106"/>
        <v>0</v>
      </c>
    </row>
    <row r="90" spans="1:45" x14ac:dyDescent="0.45">
      <c r="B90" s="34" t="s">
        <v>318</v>
      </c>
      <c r="C90" s="25"/>
      <c r="D90" s="25"/>
      <c r="E90" s="25">
        <f>'BionTech Standardized'!E70</f>
        <v>0</v>
      </c>
      <c r="F90" s="25">
        <f>'BionTech Standardized'!F70</f>
        <v>361.72500000000002</v>
      </c>
      <c r="G90" s="25">
        <f>'BionTech Standardized'!G70</f>
        <v>375.4</v>
      </c>
      <c r="H90" s="25">
        <f>'BionTech Standardized'!H70</f>
        <v>753</v>
      </c>
      <c r="I90" s="25">
        <f>'BionTech Standardized'!I70</f>
        <v>160.9</v>
      </c>
      <c r="J90" s="25">
        <f>'BionTech Standardized'!J70</f>
        <v>-875.9</v>
      </c>
      <c r="K90" s="25">
        <f>'BionTech Standardized'!K70</f>
        <v>-738.5</v>
      </c>
      <c r="L90" s="25"/>
      <c r="M90" s="25"/>
      <c r="N90" s="25"/>
      <c r="O90" s="25"/>
      <c r="P90" s="25"/>
      <c r="Q90" s="25"/>
      <c r="S90" s="25"/>
      <c r="T90" s="25"/>
      <c r="U90" s="25"/>
      <c r="V90" s="25"/>
      <c r="W90" s="25"/>
      <c r="X90" s="25"/>
      <c r="Y90" s="25"/>
      <c r="Z90" s="25"/>
      <c r="AA90" s="25"/>
      <c r="AB90" s="25"/>
      <c r="AC90" s="25"/>
      <c r="AD90" s="25"/>
      <c r="AE90" s="25"/>
      <c r="AG90" s="25">
        <f t="shared" si="106"/>
        <v>0</v>
      </c>
      <c r="AH90" s="25">
        <f t="shared" si="106"/>
        <v>361.72500000000002</v>
      </c>
      <c r="AI90" s="25">
        <f t="shared" si="106"/>
        <v>375.4</v>
      </c>
      <c r="AJ90" s="25">
        <f t="shared" si="106"/>
        <v>753</v>
      </c>
      <c r="AK90" s="25">
        <f t="shared" si="106"/>
        <v>160.9</v>
      </c>
      <c r="AL90" s="25">
        <f t="shared" si="106"/>
        <v>-875.9</v>
      </c>
      <c r="AM90" s="25">
        <f t="shared" si="106"/>
        <v>-738.5</v>
      </c>
      <c r="AN90" s="25">
        <f t="shared" si="106"/>
        <v>0</v>
      </c>
      <c r="AO90" s="25">
        <f t="shared" si="106"/>
        <v>0</v>
      </c>
      <c r="AP90" s="25">
        <f t="shared" si="106"/>
        <v>0</v>
      </c>
      <c r="AQ90" s="25">
        <f t="shared" si="106"/>
        <v>0</v>
      </c>
      <c r="AR90" s="25">
        <f t="shared" si="106"/>
        <v>0</v>
      </c>
      <c r="AS90" s="25">
        <f t="shared" si="106"/>
        <v>0</v>
      </c>
    </row>
    <row r="91" spans="1:45" x14ac:dyDescent="0.45">
      <c r="B91" s="31" t="s">
        <v>319</v>
      </c>
      <c r="C91" s="25"/>
      <c r="D91" s="25"/>
      <c r="E91" s="25">
        <f>'BionTech Standardized'!E71</f>
        <v>-24.818999999999999</v>
      </c>
      <c r="F91" s="25">
        <f>'BionTech Standardized'!F71</f>
        <v>-0.45900000000000002</v>
      </c>
      <c r="G91" s="25">
        <f>'BionTech Standardized'!G71</f>
        <v>0</v>
      </c>
      <c r="H91" s="25">
        <f>'BionTech Standardized'!H71</f>
        <v>-45.3</v>
      </c>
      <c r="I91" s="25">
        <f>'BionTech Standardized'!I71</f>
        <v>64.7</v>
      </c>
      <c r="J91" s="25">
        <f>'BionTech Standardized'!J71</f>
        <v>59.6</v>
      </c>
      <c r="K91" s="25">
        <f>'BionTech Standardized'!K71</f>
        <v>150.30000000000001</v>
      </c>
      <c r="L91" s="25"/>
      <c r="M91" s="25"/>
      <c r="N91" s="25"/>
      <c r="O91" s="25"/>
      <c r="P91" s="25"/>
      <c r="Q91" s="25"/>
      <c r="S91" s="25"/>
      <c r="T91" s="25"/>
      <c r="U91" s="25"/>
      <c r="V91" s="25"/>
      <c r="W91" s="25"/>
      <c r="X91" s="25"/>
      <c r="Y91" s="25"/>
      <c r="Z91" s="25"/>
      <c r="AA91" s="25"/>
      <c r="AB91" s="25"/>
      <c r="AC91" s="25"/>
      <c r="AD91" s="25"/>
      <c r="AE91" s="25"/>
      <c r="AG91" s="25"/>
      <c r="AH91" s="25"/>
      <c r="AI91" s="25"/>
      <c r="AJ91" s="25"/>
      <c r="AK91" s="25"/>
      <c r="AL91" s="25"/>
      <c r="AM91" s="25"/>
      <c r="AN91" s="25"/>
      <c r="AO91" s="25"/>
      <c r="AP91" s="25"/>
      <c r="AQ91" s="25"/>
      <c r="AR91" s="25"/>
      <c r="AS91" s="25"/>
    </row>
    <row r="92" spans="1:45" ht="14.65" thickBot="1" x14ac:dyDescent="0.5">
      <c r="B92" s="52" t="s">
        <v>320</v>
      </c>
      <c r="C92" s="72"/>
      <c r="D92" s="72"/>
      <c r="E92" s="72">
        <f t="shared" ref="E92:K92" si="107">SUM(E87,E91)</f>
        <v>-131.57299999999998</v>
      </c>
      <c r="F92" s="72">
        <f t="shared" si="107"/>
        <v>-122.33600000000001</v>
      </c>
      <c r="G92" s="72">
        <f t="shared" si="107"/>
        <v>-267.10069999999996</v>
      </c>
      <c r="H92" s="72">
        <f t="shared" si="107"/>
        <v>-61.899999999999963</v>
      </c>
      <c r="I92" s="72">
        <f t="shared" si="107"/>
        <v>321.60000000000076</v>
      </c>
      <c r="J92" s="72">
        <f t="shared" si="107"/>
        <v>13542.599999999999</v>
      </c>
      <c r="K92" s="72">
        <f t="shared" si="107"/>
        <v>-1472.8999999999999</v>
      </c>
      <c r="L92" s="72">
        <f t="shared" ref="L92:Q92" si="108">SUM(L87:L90)</f>
        <v>0</v>
      </c>
      <c r="M92" s="72">
        <f t="shared" si="108"/>
        <v>0</v>
      </c>
      <c r="N92" s="72">
        <f t="shared" si="108"/>
        <v>0</v>
      </c>
      <c r="O92" s="72">
        <f t="shared" si="108"/>
        <v>0</v>
      </c>
      <c r="P92" s="72">
        <f t="shared" si="108"/>
        <v>0</v>
      </c>
      <c r="Q92" s="72">
        <f t="shared" si="108"/>
        <v>0</v>
      </c>
      <c r="S92" s="44">
        <f>SUM(S87:S90)</f>
        <v>0</v>
      </c>
      <c r="T92" s="44">
        <f t="shared" ref="T92:AE92" si="109">SUM(T87:T90)</f>
        <v>0</v>
      </c>
      <c r="U92" s="44">
        <f t="shared" si="109"/>
        <v>0</v>
      </c>
      <c r="V92" s="44">
        <f t="shared" si="109"/>
        <v>0</v>
      </c>
      <c r="W92" s="44">
        <f t="shared" si="109"/>
        <v>0</v>
      </c>
      <c r="X92" s="44">
        <f t="shared" si="109"/>
        <v>0</v>
      </c>
      <c r="Y92" s="44">
        <f t="shared" si="109"/>
        <v>0</v>
      </c>
      <c r="Z92" s="44">
        <f t="shared" si="109"/>
        <v>0</v>
      </c>
      <c r="AA92" s="44">
        <f t="shared" si="109"/>
        <v>0</v>
      </c>
      <c r="AB92" s="44">
        <f t="shared" si="109"/>
        <v>0</v>
      </c>
      <c r="AC92" s="44">
        <f t="shared" si="109"/>
        <v>0</v>
      </c>
      <c r="AD92" s="44">
        <f t="shared" si="109"/>
        <v>0</v>
      </c>
      <c r="AE92" s="44">
        <f t="shared" si="109"/>
        <v>0</v>
      </c>
      <c r="AG92" s="44">
        <f t="shared" si="106"/>
        <v>-131.57299999999998</v>
      </c>
      <c r="AH92" s="44">
        <f t="shared" si="106"/>
        <v>-122.33600000000001</v>
      </c>
      <c r="AI92" s="44">
        <f t="shared" si="106"/>
        <v>-267.10069999999996</v>
      </c>
      <c r="AJ92" s="44">
        <f t="shared" si="106"/>
        <v>-61.899999999999963</v>
      </c>
      <c r="AK92" s="44">
        <f t="shared" si="106"/>
        <v>321.60000000000076</v>
      </c>
      <c r="AL92" s="44">
        <f t="shared" si="106"/>
        <v>13542.599999999999</v>
      </c>
      <c r="AM92" s="44">
        <f t="shared" si="106"/>
        <v>-1472.8999999999999</v>
      </c>
      <c r="AN92" s="44">
        <f t="shared" si="106"/>
        <v>0</v>
      </c>
      <c r="AO92" s="44">
        <f t="shared" si="106"/>
        <v>0</v>
      </c>
      <c r="AP92" s="44">
        <f t="shared" si="106"/>
        <v>0</v>
      </c>
      <c r="AQ92" s="44">
        <f t="shared" si="106"/>
        <v>0</v>
      </c>
      <c r="AR92" s="44">
        <f t="shared" si="106"/>
        <v>0</v>
      </c>
      <c r="AS92" s="44">
        <f t="shared" si="106"/>
        <v>0</v>
      </c>
    </row>
    <row r="93" spans="1:45" ht="15" thickTop="1" thickBot="1" x14ac:dyDescent="0.5">
      <c r="B93" s="34"/>
    </row>
    <row r="94" spans="1:45" ht="14.65" thickTop="1" x14ac:dyDescent="0.45">
      <c r="A94" s="24" t="s">
        <v>14</v>
      </c>
      <c r="B94" s="57" t="s">
        <v>321</v>
      </c>
      <c r="C94" s="58"/>
      <c r="D94" s="58"/>
      <c r="E94" s="58"/>
      <c r="F94" s="58"/>
      <c r="G94" s="58"/>
      <c r="H94" s="58"/>
      <c r="I94" s="58"/>
      <c r="J94" s="58"/>
      <c r="K94" s="58"/>
      <c r="L94" s="58"/>
      <c r="M94" s="58"/>
      <c r="N94" s="58"/>
      <c r="O94" s="58"/>
      <c r="P94" s="58"/>
      <c r="Q94" s="58"/>
      <c r="S94" s="58"/>
      <c r="T94" s="58"/>
      <c r="U94" s="58"/>
      <c r="V94" s="58"/>
      <c r="W94" s="58"/>
      <c r="X94" s="58"/>
      <c r="Y94" s="58"/>
      <c r="Z94" s="58"/>
      <c r="AA94" s="58"/>
      <c r="AB94" s="58"/>
      <c r="AC94" s="58"/>
      <c r="AD94" s="58"/>
      <c r="AE94" s="58"/>
      <c r="AG94" s="58"/>
      <c r="AH94" s="58"/>
      <c r="AI94" s="58"/>
      <c r="AJ94" s="58"/>
      <c r="AK94" s="58"/>
      <c r="AL94" s="58"/>
      <c r="AM94" s="58"/>
      <c r="AN94" s="58"/>
      <c r="AO94" s="58"/>
      <c r="AP94" s="58"/>
      <c r="AQ94" s="58"/>
      <c r="AR94" s="58"/>
      <c r="AS94" s="58"/>
    </row>
    <row r="95" spans="1:45" x14ac:dyDescent="0.45">
      <c r="B95" s="42" t="s">
        <v>96</v>
      </c>
      <c r="C95" s="32"/>
      <c r="D95" s="32">
        <f t="shared" ref="D95:AE95" si="110">D8</f>
        <v>0</v>
      </c>
      <c r="E95" s="32">
        <f t="shared" si="110"/>
        <v>61.597999999999999</v>
      </c>
      <c r="F95" s="32">
        <f t="shared" si="110"/>
        <v>127.575</v>
      </c>
      <c r="G95" s="32">
        <f t="shared" si="110"/>
        <v>108.60000000000001</v>
      </c>
      <c r="H95" s="32">
        <f t="shared" si="110"/>
        <v>482.3</v>
      </c>
      <c r="I95" s="32">
        <f t="shared" si="110"/>
        <v>18976.7</v>
      </c>
      <c r="J95" s="32">
        <f t="shared" si="110"/>
        <v>17310.599999999999</v>
      </c>
      <c r="K95" s="32">
        <f t="shared" si="110"/>
        <v>3819</v>
      </c>
      <c r="L95" s="32">
        <f t="shared" si="110"/>
        <v>0</v>
      </c>
      <c r="M95" s="32">
        <f t="shared" si="110"/>
        <v>0</v>
      </c>
      <c r="N95" s="32">
        <f t="shared" si="110"/>
        <v>0</v>
      </c>
      <c r="O95" s="32">
        <f t="shared" si="110"/>
        <v>0</v>
      </c>
      <c r="P95" s="32">
        <f t="shared" si="110"/>
        <v>0</v>
      </c>
      <c r="Q95" s="32">
        <f t="shared" si="110"/>
        <v>0</v>
      </c>
      <c r="R95" s="24">
        <f t="shared" si="110"/>
        <v>0</v>
      </c>
      <c r="S95" s="32">
        <f t="shared" si="110"/>
        <v>0</v>
      </c>
      <c r="T95" s="32">
        <f t="shared" si="110"/>
        <v>0</v>
      </c>
      <c r="U95" s="32">
        <f t="shared" si="110"/>
        <v>0</v>
      </c>
      <c r="V95" s="32">
        <f t="shared" si="110"/>
        <v>0</v>
      </c>
      <c r="W95" s="32">
        <f t="shared" si="110"/>
        <v>0</v>
      </c>
      <c r="X95" s="32">
        <f t="shared" si="110"/>
        <v>0</v>
      </c>
      <c r="Y95" s="32">
        <f t="shared" si="110"/>
        <v>0</v>
      </c>
      <c r="Z95" s="32">
        <f t="shared" si="110"/>
        <v>0</v>
      </c>
      <c r="AA95" s="32">
        <f t="shared" si="110"/>
        <v>0</v>
      </c>
      <c r="AB95" s="32">
        <f t="shared" si="110"/>
        <v>0</v>
      </c>
      <c r="AC95" s="32">
        <f t="shared" si="110"/>
        <v>0</v>
      </c>
      <c r="AD95" s="32">
        <f t="shared" si="110"/>
        <v>0</v>
      </c>
      <c r="AE95" s="32">
        <f t="shared" si="110"/>
        <v>0</v>
      </c>
      <c r="AG95" s="32">
        <f t="shared" ref="AG95:AM95" si="111">AG8</f>
        <v>61.597999999999999</v>
      </c>
      <c r="AH95" s="32">
        <f t="shared" si="111"/>
        <v>127.575</v>
      </c>
      <c r="AI95" s="32">
        <f t="shared" si="111"/>
        <v>108.60000000000001</v>
      </c>
      <c r="AJ95" s="32">
        <f t="shared" si="111"/>
        <v>482.3</v>
      </c>
      <c r="AK95" s="32">
        <f t="shared" si="111"/>
        <v>18976.7</v>
      </c>
      <c r="AL95" s="32">
        <f t="shared" si="111"/>
        <v>17310.599999999999</v>
      </c>
      <c r="AM95" s="32">
        <f t="shared" si="111"/>
        <v>3819</v>
      </c>
      <c r="AN95" s="32"/>
      <c r="AO95" s="32"/>
      <c r="AP95" s="32"/>
      <c r="AQ95" s="32"/>
      <c r="AR95" s="32"/>
      <c r="AS95" s="32"/>
    </row>
    <row r="96" spans="1:45" x14ac:dyDescent="0.45">
      <c r="B96" s="42" t="s">
        <v>322</v>
      </c>
      <c r="C96" s="32"/>
      <c r="D96" s="32">
        <f t="shared" ref="D96:R96" si="112">D100</f>
        <v>0</v>
      </c>
      <c r="E96" s="32">
        <f t="shared" si="112"/>
        <v>-78.314939999999979</v>
      </c>
      <c r="F96" s="32">
        <f t="shared" si="112"/>
        <v>-50.182209999999998</v>
      </c>
      <c r="G96" s="32">
        <f t="shared" si="112"/>
        <v>-179.851</v>
      </c>
      <c r="H96" s="32">
        <f t="shared" si="112"/>
        <v>34.85400000000007</v>
      </c>
      <c r="I96" s="32">
        <f t="shared" si="112"/>
        <v>10366.094000000003</v>
      </c>
      <c r="J96" s="32">
        <f t="shared" si="112"/>
        <v>9337.8659999999982</v>
      </c>
      <c r="K96" s="32">
        <f t="shared" si="112"/>
        <v>776.63299999999992</v>
      </c>
      <c r="L96" s="32">
        <f t="shared" si="112"/>
        <v>0</v>
      </c>
      <c r="M96" s="32">
        <f t="shared" si="112"/>
        <v>0</v>
      </c>
      <c r="N96" s="32">
        <f t="shared" si="112"/>
        <v>0</v>
      </c>
      <c r="O96" s="32">
        <f t="shared" si="112"/>
        <v>0</v>
      </c>
      <c r="P96" s="32">
        <f t="shared" si="112"/>
        <v>0</v>
      </c>
      <c r="Q96" s="32">
        <f t="shared" si="112"/>
        <v>0</v>
      </c>
      <c r="R96" s="24">
        <f t="shared" si="112"/>
        <v>0</v>
      </c>
      <c r="S96" s="32">
        <f t="shared" ref="S96:AE96" si="113">S100</f>
        <v>0</v>
      </c>
      <c r="T96" s="32">
        <f t="shared" si="113"/>
        <v>0</v>
      </c>
      <c r="U96" s="32">
        <f t="shared" si="113"/>
        <v>0</v>
      </c>
      <c r="V96" s="32">
        <f t="shared" si="113"/>
        <v>0</v>
      </c>
      <c r="W96" s="32">
        <f t="shared" si="113"/>
        <v>0</v>
      </c>
      <c r="X96" s="32">
        <f t="shared" si="113"/>
        <v>0</v>
      </c>
      <c r="Y96" s="32">
        <f t="shared" si="113"/>
        <v>0</v>
      </c>
      <c r="Z96" s="32">
        <f t="shared" si="113"/>
        <v>0</v>
      </c>
      <c r="AA96" s="32">
        <f t="shared" si="113"/>
        <v>0</v>
      </c>
      <c r="AB96" s="32">
        <f t="shared" si="113"/>
        <v>0</v>
      </c>
      <c r="AC96" s="32">
        <f t="shared" si="113"/>
        <v>0</v>
      </c>
      <c r="AD96" s="32">
        <f t="shared" si="113"/>
        <v>0</v>
      </c>
      <c r="AE96" s="32">
        <f t="shared" si="113"/>
        <v>0</v>
      </c>
      <c r="AG96" s="32">
        <f>AG100</f>
        <v>-85.94899999999997</v>
      </c>
      <c r="AH96" s="32">
        <f t="shared" ref="AH96:AS96" si="114">AH100</f>
        <v>-48.262999999999998</v>
      </c>
      <c r="AI96" s="32">
        <f t="shared" si="114"/>
        <v>-179.20000000000002</v>
      </c>
      <c r="AJ96" s="32">
        <f t="shared" si="114"/>
        <v>15.200000000000074</v>
      </c>
      <c r="AK96" s="32">
        <f t="shared" si="114"/>
        <v>10292.500000000002</v>
      </c>
      <c r="AL96" s="32">
        <f t="shared" si="114"/>
        <v>9434.3999999999978</v>
      </c>
      <c r="AM96" s="32">
        <f t="shared" si="114"/>
        <v>930.3</v>
      </c>
      <c r="AN96" s="32">
        <f t="shared" si="114"/>
        <v>0</v>
      </c>
      <c r="AO96" s="32">
        <f t="shared" si="114"/>
        <v>0</v>
      </c>
      <c r="AP96" s="32">
        <f t="shared" si="114"/>
        <v>0</v>
      </c>
      <c r="AQ96" s="32">
        <f t="shared" si="114"/>
        <v>0</v>
      </c>
      <c r="AR96" s="32">
        <f t="shared" si="114"/>
        <v>0</v>
      </c>
      <c r="AS96" s="32">
        <f t="shared" si="114"/>
        <v>0</v>
      </c>
    </row>
    <row r="97" spans="2:45" x14ac:dyDescent="0.45">
      <c r="B97" s="47" t="s">
        <v>323</v>
      </c>
      <c r="D97" s="24">
        <f t="shared" ref="D97:AE97" si="115">D17</f>
        <v>0</v>
      </c>
      <c r="E97" s="24">
        <f t="shared" si="115"/>
        <v>-85.94899999999997</v>
      </c>
      <c r="F97" s="24">
        <f t="shared" si="115"/>
        <v>-48.262999999999998</v>
      </c>
      <c r="G97" s="24">
        <f t="shared" si="115"/>
        <v>-179.20000000000002</v>
      </c>
      <c r="H97" s="24">
        <f t="shared" si="115"/>
        <v>15.200000000000074</v>
      </c>
      <c r="I97" s="24">
        <f t="shared" si="115"/>
        <v>10292.500000000002</v>
      </c>
      <c r="J97" s="24">
        <f t="shared" si="115"/>
        <v>9434.3999999999978</v>
      </c>
      <c r="K97" s="24">
        <f t="shared" si="115"/>
        <v>930.3</v>
      </c>
      <c r="L97" s="24">
        <f t="shared" si="115"/>
        <v>0</v>
      </c>
      <c r="M97" s="24">
        <f t="shared" si="115"/>
        <v>0</v>
      </c>
      <c r="N97" s="24">
        <f t="shared" si="115"/>
        <v>0</v>
      </c>
      <c r="O97" s="24">
        <f t="shared" si="115"/>
        <v>0</v>
      </c>
      <c r="P97" s="24">
        <f t="shared" si="115"/>
        <v>0</v>
      </c>
      <c r="Q97" s="24">
        <f t="shared" si="115"/>
        <v>0</v>
      </c>
      <c r="R97" s="24">
        <f t="shared" si="115"/>
        <v>0</v>
      </c>
      <c r="S97" s="24">
        <f t="shared" si="115"/>
        <v>0</v>
      </c>
      <c r="T97" s="24">
        <f t="shared" si="115"/>
        <v>0</v>
      </c>
      <c r="U97" s="24">
        <f t="shared" si="115"/>
        <v>0</v>
      </c>
      <c r="V97" s="24">
        <f t="shared" si="115"/>
        <v>0</v>
      </c>
      <c r="W97" s="24">
        <f t="shared" si="115"/>
        <v>0</v>
      </c>
      <c r="X97" s="24">
        <f t="shared" si="115"/>
        <v>0</v>
      </c>
      <c r="Y97" s="24">
        <f t="shared" si="115"/>
        <v>0</v>
      </c>
      <c r="Z97" s="24">
        <f t="shared" si="115"/>
        <v>0</v>
      </c>
      <c r="AA97" s="24">
        <f t="shared" si="115"/>
        <v>0</v>
      </c>
      <c r="AB97" s="24">
        <f t="shared" si="115"/>
        <v>0</v>
      </c>
      <c r="AC97" s="24">
        <f t="shared" si="115"/>
        <v>0</v>
      </c>
      <c r="AD97" s="24">
        <f t="shared" si="115"/>
        <v>0</v>
      </c>
      <c r="AE97" s="24">
        <f t="shared" si="115"/>
        <v>0</v>
      </c>
      <c r="AG97" s="24">
        <f t="shared" ref="AG97:AS97" si="116">AG17</f>
        <v>-85.94899999999997</v>
      </c>
      <c r="AH97" s="24">
        <f t="shared" si="116"/>
        <v>-48.262999999999998</v>
      </c>
      <c r="AI97" s="24">
        <f t="shared" si="116"/>
        <v>-179.20000000000002</v>
      </c>
      <c r="AJ97" s="24">
        <f t="shared" si="116"/>
        <v>15.200000000000074</v>
      </c>
      <c r="AK97" s="24">
        <f t="shared" si="116"/>
        <v>10292.500000000002</v>
      </c>
      <c r="AL97" s="24">
        <f t="shared" si="116"/>
        <v>9434.3999999999978</v>
      </c>
      <c r="AM97" s="24">
        <f t="shared" si="116"/>
        <v>930.3</v>
      </c>
      <c r="AN97" s="24">
        <f t="shared" si="116"/>
        <v>0</v>
      </c>
      <c r="AO97" s="24">
        <f t="shared" si="116"/>
        <v>0</v>
      </c>
      <c r="AP97" s="24">
        <f t="shared" si="116"/>
        <v>0</v>
      </c>
      <c r="AQ97" s="24">
        <f t="shared" si="116"/>
        <v>0</v>
      </c>
      <c r="AR97" s="24">
        <f t="shared" si="116"/>
        <v>0</v>
      </c>
      <c r="AS97" s="24">
        <f t="shared" si="116"/>
        <v>0</v>
      </c>
    </row>
    <row r="98" spans="2:45" x14ac:dyDescent="0.45">
      <c r="B98" s="59" t="s">
        <v>324</v>
      </c>
      <c r="D98" s="24">
        <f t="shared" ref="D98:R98" si="117">-D105</f>
        <v>0</v>
      </c>
      <c r="E98" s="24">
        <f t="shared" si="117"/>
        <v>-0.66122999999999998</v>
      </c>
      <c r="F98" s="24">
        <f t="shared" si="117"/>
        <v>-2.4942599999999997</v>
      </c>
      <c r="G98" s="24">
        <f t="shared" si="117"/>
        <v>-1.2709999999999999</v>
      </c>
      <c r="H98" s="24">
        <f t="shared" si="117"/>
        <v>-0.496</v>
      </c>
      <c r="I98" s="24">
        <f t="shared" si="117"/>
        <v>-20.987000000000002</v>
      </c>
      <c r="J98" s="24">
        <f t="shared" si="117"/>
        <v>-102.393</v>
      </c>
      <c r="K98" s="24">
        <f t="shared" si="117"/>
        <v>-161.07599999999999</v>
      </c>
      <c r="L98" s="24">
        <f t="shared" si="117"/>
        <v>0</v>
      </c>
      <c r="M98" s="24">
        <f t="shared" si="117"/>
        <v>0</v>
      </c>
      <c r="N98" s="24">
        <f t="shared" si="117"/>
        <v>0</v>
      </c>
      <c r="O98" s="24">
        <f t="shared" si="117"/>
        <v>0</v>
      </c>
      <c r="P98" s="24">
        <f t="shared" si="117"/>
        <v>0</v>
      </c>
      <c r="Q98" s="24">
        <f t="shared" si="117"/>
        <v>0</v>
      </c>
      <c r="R98" s="24">
        <f t="shared" si="117"/>
        <v>0</v>
      </c>
      <c r="S98" s="24">
        <f t="shared" ref="S98:AE98" si="118">-S105</f>
        <v>0</v>
      </c>
      <c r="T98" s="24">
        <f t="shared" si="118"/>
        <v>0</v>
      </c>
      <c r="U98" s="24">
        <f t="shared" si="118"/>
        <v>0</v>
      </c>
      <c r="V98" s="24">
        <f t="shared" si="118"/>
        <v>0</v>
      </c>
      <c r="W98" s="24">
        <f t="shared" si="118"/>
        <v>0</v>
      </c>
      <c r="X98" s="24">
        <f t="shared" si="118"/>
        <v>0</v>
      </c>
      <c r="Y98" s="24">
        <f t="shared" si="118"/>
        <v>0</v>
      </c>
      <c r="Z98" s="24">
        <f t="shared" si="118"/>
        <v>0</v>
      </c>
      <c r="AA98" s="24">
        <f t="shared" si="118"/>
        <v>0</v>
      </c>
      <c r="AB98" s="24">
        <f t="shared" si="118"/>
        <v>0</v>
      </c>
      <c r="AC98" s="24">
        <f t="shared" si="118"/>
        <v>0</v>
      </c>
      <c r="AD98" s="24">
        <f t="shared" si="118"/>
        <v>0</v>
      </c>
      <c r="AE98" s="24">
        <f t="shared" si="118"/>
        <v>0</v>
      </c>
      <c r="AG98" s="24">
        <f>-AG105</f>
        <v>0</v>
      </c>
      <c r="AH98" s="24">
        <f t="shared" ref="AH98:AS98" si="119">-AH105</f>
        <v>0</v>
      </c>
      <c r="AI98" s="24">
        <f t="shared" si="119"/>
        <v>0</v>
      </c>
      <c r="AJ98" s="24">
        <f t="shared" si="119"/>
        <v>0</v>
      </c>
      <c r="AK98" s="24">
        <f t="shared" si="119"/>
        <v>0</v>
      </c>
      <c r="AL98" s="24">
        <f t="shared" si="119"/>
        <v>0</v>
      </c>
      <c r="AM98" s="24">
        <f t="shared" si="119"/>
        <v>0</v>
      </c>
      <c r="AN98" s="24">
        <f t="shared" si="119"/>
        <v>0</v>
      </c>
      <c r="AO98" s="24">
        <f t="shared" si="119"/>
        <v>0</v>
      </c>
      <c r="AP98" s="24">
        <f t="shared" si="119"/>
        <v>0</v>
      </c>
      <c r="AQ98" s="24">
        <f t="shared" si="119"/>
        <v>0</v>
      </c>
      <c r="AR98" s="24">
        <f t="shared" si="119"/>
        <v>0</v>
      </c>
      <c r="AS98" s="24">
        <f t="shared" si="119"/>
        <v>0</v>
      </c>
    </row>
    <row r="99" spans="2:45" x14ac:dyDescent="0.45">
      <c r="B99" s="59" t="s">
        <v>325</v>
      </c>
      <c r="C99" s="27"/>
      <c r="D99" s="27">
        <f t="shared" ref="D99:R99" si="120">D109</f>
        <v>0</v>
      </c>
      <c r="E99" s="27">
        <f t="shared" si="120"/>
        <v>8.2952899999999996</v>
      </c>
      <c r="F99" s="27">
        <f t="shared" si="120"/>
        <v>0.57504999999999995</v>
      </c>
      <c r="G99" s="27">
        <f t="shared" si="120"/>
        <v>0.62</v>
      </c>
      <c r="H99" s="27">
        <f t="shared" si="120"/>
        <v>20.149999999999999</v>
      </c>
      <c r="I99" s="27">
        <f t="shared" si="120"/>
        <v>94.581000000000003</v>
      </c>
      <c r="J99" s="27">
        <f t="shared" si="120"/>
        <v>5.8589999999999991</v>
      </c>
      <c r="K99" s="27">
        <f t="shared" si="120"/>
        <v>7.4089999999999998</v>
      </c>
      <c r="L99" s="27">
        <f t="shared" si="120"/>
        <v>0</v>
      </c>
      <c r="M99" s="27">
        <f t="shared" si="120"/>
        <v>0</v>
      </c>
      <c r="N99" s="27">
        <f t="shared" si="120"/>
        <v>0</v>
      </c>
      <c r="O99" s="27">
        <f t="shared" si="120"/>
        <v>0</v>
      </c>
      <c r="P99" s="27">
        <f t="shared" si="120"/>
        <v>0</v>
      </c>
      <c r="Q99" s="27">
        <f t="shared" si="120"/>
        <v>0</v>
      </c>
      <c r="R99" s="24">
        <f t="shared" si="120"/>
        <v>0</v>
      </c>
      <c r="S99" s="27">
        <f t="shared" ref="S99:AE99" si="121">S109</f>
        <v>0</v>
      </c>
      <c r="T99" s="27">
        <f t="shared" si="121"/>
        <v>0</v>
      </c>
      <c r="U99" s="27">
        <f t="shared" si="121"/>
        <v>0</v>
      </c>
      <c r="V99" s="27">
        <f t="shared" si="121"/>
        <v>0</v>
      </c>
      <c r="W99" s="27">
        <f t="shared" si="121"/>
        <v>0</v>
      </c>
      <c r="X99" s="27">
        <f t="shared" si="121"/>
        <v>0</v>
      </c>
      <c r="Y99" s="27">
        <f t="shared" si="121"/>
        <v>0</v>
      </c>
      <c r="Z99" s="27">
        <f t="shared" si="121"/>
        <v>0</v>
      </c>
      <c r="AA99" s="27">
        <f t="shared" si="121"/>
        <v>0</v>
      </c>
      <c r="AB99" s="27">
        <f t="shared" si="121"/>
        <v>0</v>
      </c>
      <c r="AC99" s="27">
        <f t="shared" si="121"/>
        <v>0</v>
      </c>
      <c r="AD99" s="27">
        <f t="shared" si="121"/>
        <v>0</v>
      </c>
      <c r="AE99" s="27">
        <f t="shared" si="121"/>
        <v>0</v>
      </c>
      <c r="AG99" s="27">
        <f>AG109</f>
        <v>0</v>
      </c>
      <c r="AH99" s="27">
        <f>AH109</f>
        <v>0</v>
      </c>
      <c r="AI99" s="27">
        <f t="shared" ref="AI99:AN99" si="122">AI109</f>
        <v>0</v>
      </c>
      <c r="AJ99" s="27">
        <f t="shared" si="122"/>
        <v>0</v>
      </c>
      <c r="AK99" s="27">
        <f t="shared" si="122"/>
        <v>0</v>
      </c>
      <c r="AL99" s="27">
        <f t="shared" si="122"/>
        <v>0</v>
      </c>
      <c r="AM99" s="27">
        <f t="shared" si="122"/>
        <v>0</v>
      </c>
      <c r="AN99" s="27">
        <f t="shared" si="122"/>
        <v>0</v>
      </c>
      <c r="AO99" s="27">
        <f>AO109</f>
        <v>0</v>
      </c>
      <c r="AP99" s="27">
        <f>AP109</f>
        <v>0</v>
      </c>
      <c r="AQ99" s="27">
        <f>AQ109</f>
        <v>0</v>
      </c>
      <c r="AR99" s="27">
        <f>AR109</f>
        <v>0</v>
      </c>
      <c r="AS99" s="27">
        <f>AS109</f>
        <v>0</v>
      </c>
    </row>
    <row r="100" spans="2:45" x14ac:dyDescent="0.45">
      <c r="B100" s="60" t="s">
        <v>326</v>
      </c>
      <c r="C100" s="32"/>
      <c r="D100" s="32">
        <f t="shared" ref="D100:R100" si="123">SUM(D97:D99)</f>
        <v>0</v>
      </c>
      <c r="E100" s="32">
        <f t="shared" si="123"/>
        <v>-78.314939999999979</v>
      </c>
      <c r="F100" s="32">
        <f t="shared" si="123"/>
        <v>-50.182209999999998</v>
      </c>
      <c r="G100" s="32">
        <f t="shared" si="123"/>
        <v>-179.851</v>
      </c>
      <c r="H100" s="32">
        <f t="shared" si="123"/>
        <v>34.85400000000007</v>
      </c>
      <c r="I100" s="32">
        <f t="shared" si="123"/>
        <v>10366.094000000003</v>
      </c>
      <c r="J100" s="32">
        <f t="shared" si="123"/>
        <v>9337.8659999999982</v>
      </c>
      <c r="K100" s="32">
        <f t="shared" si="123"/>
        <v>776.63299999999992</v>
      </c>
      <c r="L100" s="32">
        <f t="shared" si="123"/>
        <v>0</v>
      </c>
      <c r="M100" s="32">
        <f t="shared" si="123"/>
        <v>0</v>
      </c>
      <c r="N100" s="32">
        <f t="shared" si="123"/>
        <v>0</v>
      </c>
      <c r="O100" s="32">
        <f t="shared" si="123"/>
        <v>0</v>
      </c>
      <c r="P100" s="32">
        <f t="shared" si="123"/>
        <v>0</v>
      </c>
      <c r="Q100" s="32">
        <f t="shared" si="123"/>
        <v>0</v>
      </c>
      <c r="R100" s="24">
        <f t="shared" si="123"/>
        <v>0</v>
      </c>
      <c r="S100" s="32">
        <f t="shared" ref="S100:AE100" si="124">SUM(S97:S99)</f>
        <v>0</v>
      </c>
      <c r="T100" s="32">
        <f t="shared" si="124"/>
        <v>0</v>
      </c>
      <c r="U100" s="32">
        <f t="shared" si="124"/>
        <v>0</v>
      </c>
      <c r="V100" s="32">
        <f t="shared" si="124"/>
        <v>0</v>
      </c>
      <c r="W100" s="32">
        <f t="shared" si="124"/>
        <v>0</v>
      </c>
      <c r="X100" s="32">
        <f t="shared" si="124"/>
        <v>0</v>
      </c>
      <c r="Y100" s="32">
        <f t="shared" si="124"/>
        <v>0</v>
      </c>
      <c r="Z100" s="32">
        <f t="shared" si="124"/>
        <v>0</v>
      </c>
      <c r="AA100" s="32">
        <f t="shared" si="124"/>
        <v>0</v>
      </c>
      <c r="AB100" s="32">
        <f t="shared" si="124"/>
        <v>0</v>
      </c>
      <c r="AC100" s="32">
        <f t="shared" si="124"/>
        <v>0</v>
      </c>
      <c r="AD100" s="32">
        <f t="shared" si="124"/>
        <v>0</v>
      </c>
      <c r="AE100" s="32">
        <f t="shared" si="124"/>
        <v>0</v>
      </c>
      <c r="AG100" s="32">
        <f>SUM(AG97:AG99)</f>
        <v>-85.94899999999997</v>
      </c>
      <c r="AH100" s="32">
        <f t="shared" ref="AH100:AS100" si="125">SUM(AH97:AH99)</f>
        <v>-48.262999999999998</v>
      </c>
      <c r="AI100" s="32">
        <f t="shared" si="125"/>
        <v>-179.20000000000002</v>
      </c>
      <c r="AJ100" s="32">
        <f t="shared" si="125"/>
        <v>15.200000000000074</v>
      </c>
      <c r="AK100" s="32">
        <f t="shared" si="125"/>
        <v>10292.500000000002</v>
      </c>
      <c r="AL100" s="32">
        <f t="shared" si="125"/>
        <v>9434.3999999999978</v>
      </c>
      <c r="AM100" s="32">
        <f t="shared" si="125"/>
        <v>930.3</v>
      </c>
      <c r="AN100" s="32">
        <f t="shared" si="125"/>
        <v>0</v>
      </c>
      <c r="AO100" s="32">
        <f t="shared" si="125"/>
        <v>0</v>
      </c>
      <c r="AP100" s="32">
        <f t="shared" si="125"/>
        <v>0</v>
      </c>
      <c r="AQ100" s="32">
        <f t="shared" si="125"/>
        <v>0</v>
      </c>
      <c r="AR100" s="32">
        <f t="shared" si="125"/>
        <v>0</v>
      </c>
      <c r="AS100" s="32">
        <f t="shared" si="125"/>
        <v>0</v>
      </c>
    </row>
    <row r="101" spans="2:45" x14ac:dyDescent="0.45">
      <c r="B101" s="42" t="s">
        <v>327</v>
      </c>
      <c r="C101" s="28"/>
      <c r="D101" s="28">
        <f t="shared" ref="D101:R101" si="126">D104</f>
        <v>0</v>
      </c>
      <c r="E101" s="28">
        <f t="shared" si="126"/>
        <v>0</v>
      </c>
      <c r="F101" s="28">
        <f t="shared" si="126"/>
        <v>0</v>
      </c>
      <c r="G101" s="28">
        <f t="shared" si="126"/>
        <v>0</v>
      </c>
      <c r="H101" s="28">
        <f t="shared" si="126"/>
        <v>0</v>
      </c>
      <c r="I101" s="28">
        <f t="shared" si="126"/>
        <v>0</v>
      </c>
      <c r="J101" s="28">
        <f t="shared" si="126"/>
        <v>0</v>
      </c>
      <c r="K101" s="28">
        <f t="shared" si="126"/>
        <v>0</v>
      </c>
      <c r="L101" s="28">
        <f t="shared" si="126"/>
        <v>0</v>
      </c>
      <c r="M101" s="28">
        <f t="shared" si="126"/>
        <v>0</v>
      </c>
      <c r="N101" s="28">
        <f t="shared" si="126"/>
        <v>0</v>
      </c>
      <c r="O101" s="28">
        <f t="shared" si="126"/>
        <v>0</v>
      </c>
      <c r="P101" s="28">
        <f t="shared" si="126"/>
        <v>0</v>
      </c>
      <c r="Q101" s="28">
        <f t="shared" si="126"/>
        <v>0</v>
      </c>
      <c r="R101" s="24">
        <f t="shared" si="126"/>
        <v>0</v>
      </c>
      <c r="S101" s="28">
        <f t="shared" ref="S101:AE101" si="127">S104</f>
        <v>0</v>
      </c>
      <c r="T101" s="28">
        <f t="shared" si="127"/>
        <v>0</v>
      </c>
      <c r="U101" s="28">
        <f t="shared" si="127"/>
        <v>0</v>
      </c>
      <c r="V101" s="28">
        <f t="shared" si="127"/>
        <v>0</v>
      </c>
      <c r="W101" s="28">
        <f t="shared" si="127"/>
        <v>0</v>
      </c>
      <c r="X101" s="28">
        <f t="shared" si="127"/>
        <v>0</v>
      </c>
      <c r="Y101" s="28">
        <f t="shared" si="127"/>
        <v>0</v>
      </c>
      <c r="Z101" s="28">
        <f t="shared" si="127"/>
        <v>0</v>
      </c>
      <c r="AA101" s="28">
        <f t="shared" si="127"/>
        <v>0</v>
      </c>
      <c r="AB101" s="28">
        <f t="shared" si="127"/>
        <v>0</v>
      </c>
      <c r="AC101" s="28">
        <f t="shared" si="127"/>
        <v>0</v>
      </c>
      <c r="AD101" s="28">
        <f t="shared" si="127"/>
        <v>0</v>
      </c>
      <c r="AE101" s="28">
        <f t="shared" si="127"/>
        <v>0</v>
      </c>
      <c r="AG101" s="28">
        <f>AG104</f>
        <v>0</v>
      </c>
      <c r="AH101" s="28">
        <f t="shared" ref="AH101:AS101" si="128">AH104</f>
        <v>0</v>
      </c>
      <c r="AI101" s="28">
        <f t="shared" si="128"/>
        <v>0</v>
      </c>
      <c r="AJ101" s="28">
        <f t="shared" si="128"/>
        <v>0</v>
      </c>
      <c r="AK101" s="28">
        <f t="shared" si="128"/>
        <v>0</v>
      </c>
      <c r="AL101" s="28">
        <f t="shared" si="128"/>
        <v>0</v>
      </c>
      <c r="AM101" s="28">
        <f t="shared" si="128"/>
        <v>0</v>
      </c>
      <c r="AN101" s="28">
        <f t="shared" si="128"/>
        <v>0</v>
      </c>
      <c r="AO101" s="28">
        <f t="shared" si="128"/>
        <v>0</v>
      </c>
      <c r="AP101" s="28">
        <f t="shared" si="128"/>
        <v>0</v>
      </c>
      <c r="AQ101" s="28">
        <f t="shared" si="128"/>
        <v>0</v>
      </c>
      <c r="AR101" s="28">
        <f t="shared" si="128"/>
        <v>0</v>
      </c>
      <c r="AS101" s="28">
        <f t="shared" si="128"/>
        <v>0</v>
      </c>
    </row>
    <row r="102" spans="2:45" x14ac:dyDescent="0.45">
      <c r="B102" s="47" t="s">
        <v>328</v>
      </c>
      <c r="D102" s="24">
        <f t="shared" ref="D102:AE102" si="129">-D12</f>
        <v>0</v>
      </c>
      <c r="E102" s="24">
        <f t="shared" si="129"/>
        <v>0</v>
      </c>
      <c r="F102" s="24">
        <f t="shared" si="129"/>
        <v>0</v>
      </c>
      <c r="G102" s="24">
        <f t="shared" si="129"/>
        <v>0</v>
      </c>
      <c r="H102" s="24">
        <f t="shared" si="129"/>
        <v>0</v>
      </c>
      <c r="I102" s="24">
        <f t="shared" si="129"/>
        <v>0</v>
      </c>
      <c r="J102" s="24">
        <f t="shared" si="129"/>
        <v>0</v>
      </c>
      <c r="K102" s="24">
        <f t="shared" si="129"/>
        <v>0</v>
      </c>
      <c r="L102" s="24">
        <f t="shared" si="129"/>
        <v>0</v>
      </c>
      <c r="M102" s="24">
        <f t="shared" si="129"/>
        <v>0</v>
      </c>
      <c r="N102" s="24">
        <f t="shared" si="129"/>
        <v>0</v>
      </c>
      <c r="O102" s="24">
        <f t="shared" si="129"/>
        <v>0</v>
      </c>
      <c r="P102" s="24">
        <f t="shared" si="129"/>
        <v>0</v>
      </c>
      <c r="Q102" s="24">
        <f t="shared" si="129"/>
        <v>0</v>
      </c>
      <c r="R102" s="24">
        <f t="shared" si="129"/>
        <v>0</v>
      </c>
      <c r="S102" s="24">
        <f t="shared" si="129"/>
        <v>0</v>
      </c>
      <c r="T102" s="24">
        <f t="shared" si="129"/>
        <v>0</v>
      </c>
      <c r="U102" s="24">
        <f t="shared" si="129"/>
        <v>0</v>
      </c>
      <c r="V102" s="24">
        <f t="shared" si="129"/>
        <v>0</v>
      </c>
      <c r="W102" s="24">
        <f t="shared" si="129"/>
        <v>0</v>
      </c>
      <c r="X102" s="24">
        <f t="shared" si="129"/>
        <v>0</v>
      </c>
      <c r="Y102" s="24">
        <f t="shared" si="129"/>
        <v>0</v>
      </c>
      <c r="Z102" s="24">
        <f t="shared" si="129"/>
        <v>0</v>
      </c>
      <c r="AA102" s="24">
        <f t="shared" si="129"/>
        <v>0</v>
      </c>
      <c r="AB102" s="24">
        <f t="shared" si="129"/>
        <v>0</v>
      </c>
      <c r="AC102" s="24">
        <f t="shared" si="129"/>
        <v>0</v>
      </c>
      <c r="AD102" s="24">
        <f t="shared" si="129"/>
        <v>0</v>
      </c>
      <c r="AE102" s="24">
        <f t="shared" si="129"/>
        <v>0</v>
      </c>
      <c r="AG102" s="24">
        <f t="shared" ref="AG102:AS102" si="130">-AG12</f>
        <v>0</v>
      </c>
      <c r="AH102" s="24">
        <f t="shared" si="130"/>
        <v>0</v>
      </c>
      <c r="AI102" s="24">
        <f t="shared" si="130"/>
        <v>0</v>
      </c>
      <c r="AJ102" s="24">
        <f t="shared" si="130"/>
        <v>0</v>
      </c>
      <c r="AK102" s="24">
        <f t="shared" si="130"/>
        <v>0</v>
      </c>
      <c r="AL102" s="24">
        <f t="shared" si="130"/>
        <v>0</v>
      </c>
      <c r="AM102" s="24">
        <f t="shared" si="130"/>
        <v>0</v>
      </c>
      <c r="AN102" s="24">
        <f t="shared" si="130"/>
        <v>0</v>
      </c>
      <c r="AO102" s="24">
        <f t="shared" si="130"/>
        <v>0</v>
      </c>
      <c r="AP102" s="24">
        <f t="shared" si="130"/>
        <v>0</v>
      </c>
      <c r="AQ102" s="24">
        <f t="shared" si="130"/>
        <v>0</v>
      </c>
      <c r="AR102" s="24">
        <f t="shared" si="130"/>
        <v>0</v>
      </c>
      <c r="AS102" s="24">
        <f t="shared" si="130"/>
        <v>0</v>
      </c>
    </row>
    <row r="103" spans="2:45" x14ac:dyDescent="0.45">
      <c r="B103" s="47" t="s">
        <v>329</v>
      </c>
      <c r="C103" s="68"/>
      <c r="D103" s="68"/>
      <c r="E103" s="68">
        <f t="shared" ref="E103:K103" si="131">$D$4</f>
        <v>0.31</v>
      </c>
      <c r="F103" s="68">
        <f t="shared" si="131"/>
        <v>0.31</v>
      </c>
      <c r="G103" s="68">
        <f t="shared" si="131"/>
        <v>0.31</v>
      </c>
      <c r="H103" s="68">
        <f t="shared" si="131"/>
        <v>0.31</v>
      </c>
      <c r="I103" s="68">
        <f t="shared" si="131"/>
        <v>0.31</v>
      </c>
      <c r="J103" s="68">
        <f t="shared" si="131"/>
        <v>0.31</v>
      </c>
      <c r="K103" s="68">
        <f t="shared" si="131"/>
        <v>0.31</v>
      </c>
      <c r="L103" s="27"/>
      <c r="M103" s="27"/>
      <c r="N103" s="27"/>
      <c r="O103" s="27"/>
      <c r="P103" s="27"/>
      <c r="Q103" s="27"/>
      <c r="S103" s="27"/>
      <c r="T103" s="27"/>
      <c r="U103" s="27"/>
      <c r="V103" s="27"/>
      <c r="W103" s="27"/>
      <c r="X103" s="27"/>
      <c r="Y103" s="27"/>
      <c r="Z103" s="27"/>
      <c r="AA103" s="27"/>
      <c r="AB103" s="27"/>
      <c r="AC103" s="27"/>
      <c r="AD103" s="27"/>
      <c r="AE103" s="27"/>
      <c r="AG103" s="27"/>
      <c r="AH103" s="27"/>
      <c r="AI103" s="27"/>
      <c r="AJ103" s="27"/>
      <c r="AK103" s="27"/>
      <c r="AL103" s="27"/>
      <c r="AM103" s="27"/>
      <c r="AN103" s="27"/>
      <c r="AO103" s="27"/>
      <c r="AP103" s="27"/>
      <c r="AQ103" s="27"/>
      <c r="AR103" s="27"/>
      <c r="AS103" s="27"/>
    </row>
    <row r="104" spans="2:45" x14ac:dyDescent="0.45">
      <c r="B104" s="60" t="s">
        <v>330</v>
      </c>
      <c r="C104" s="32"/>
      <c r="D104" s="32">
        <f t="shared" ref="D104:R104" si="132">D103*D102</f>
        <v>0</v>
      </c>
      <c r="E104" s="32">
        <f>E103*E102</f>
        <v>0</v>
      </c>
      <c r="F104" s="32">
        <f t="shared" si="132"/>
        <v>0</v>
      </c>
      <c r="G104" s="32">
        <f t="shared" si="132"/>
        <v>0</v>
      </c>
      <c r="H104" s="32">
        <f t="shared" si="132"/>
        <v>0</v>
      </c>
      <c r="I104" s="32">
        <f t="shared" si="132"/>
        <v>0</v>
      </c>
      <c r="J104" s="32">
        <f t="shared" si="132"/>
        <v>0</v>
      </c>
      <c r="K104" s="32">
        <f t="shared" si="132"/>
        <v>0</v>
      </c>
      <c r="L104" s="32">
        <f t="shared" si="132"/>
        <v>0</v>
      </c>
      <c r="M104" s="32">
        <f t="shared" si="132"/>
        <v>0</v>
      </c>
      <c r="N104" s="32">
        <f t="shared" si="132"/>
        <v>0</v>
      </c>
      <c r="O104" s="32">
        <f t="shared" si="132"/>
        <v>0</v>
      </c>
      <c r="P104" s="32">
        <f t="shared" si="132"/>
        <v>0</v>
      </c>
      <c r="Q104" s="32">
        <f t="shared" si="132"/>
        <v>0</v>
      </c>
      <c r="R104" s="24">
        <f t="shared" si="132"/>
        <v>0</v>
      </c>
      <c r="S104" s="32">
        <f t="shared" ref="S104:AE104" si="133">S103*S102</f>
        <v>0</v>
      </c>
      <c r="T104" s="32">
        <f t="shared" si="133"/>
        <v>0</v>
      </c>
      <c r="U104" s="32">
        <f t="shared" si="133"/>
        <v>0</v>
      </c>
      <c r="V104" s="32">
        <f t="shared" si="133"/>
        <v>0</v>
      </c>
      <c r="W104" s="32">
        <f t="shared" si="133"/>
        <v>0</v>
      </c>
      <c r="X104" s="32">
        <f t="shared" si="133"/>
        <v>0</v>
      </c>
      <c r="Y104" s="32">
        <f t="shared" si="133"/>
        <v>0</v>
      </c>
      <c r="Z104" s="32">
        <f t="shared" si="133"/>
        <v>0</v>
      </c>
      <c r="AA104" s="32">
        <f t="shared" si="133"/>
        <v>0</v>
      </c>
      <c r="AB104" s="32">
        <f t="shared" si="133"/>
        <v>0</v>
      </c>
      <c r="AC104" s="32">
        <f t="shared" si="133"/>
        <v>0</v>
      </c>
      <c r="AD104" s="32">
        <f t="shared" si="133"/>
        <v>0</v>
      </c>
      <c r="AE104" s="32">
        <f t="shared" si="133"/>
        <v>0</v>
      </c>
      <c r="AG104" s="32">
        <f t="shared" ref="AG104:AS104" si="134">AG103*AG102</f>
        <v>0</v>
      </c>
      <c r="AH104" s="32">
        <f t="shared" si="134"/>
        <v>0</v>
      </c>
      <c r="AI104" s="32">
        <f t="shared" si="134"/>
        <v>0</v>
      </c>
      <c r="AJ104" s="32">
        <f t="shared" si="134"/>
        <v>0</v>
      </c>
      <c r="AK104" s="32">
        <f t="shared" si="134"/>
        <v>0</v>
      </c>
      <c r="AL104" s="32">
        <f t="shared" si="134"/>
        <v>0</v>
      </c>
      <c r="AM104" s="32">
        <f t="shared" si="134"/>
        <v>0</v>
      </c>
      <c r="AN104" s="32">
        <f t="shared" si="134"/>
        <v>0</v>
      </c>
      <c r="AO104" s="32">
        <f t="shared" si="134"/>
        <v>0</v>
      </c>
      <c r="AP104" s="32">
        <f t="shared" si="134"/>
        <v>0</v>
      </c>
      <c r="AQ104" s="32">
        <f t="shared" si="134"/>
        <v>0</v>
      </c>
      <c r="AR104" s="32">
        <f t="shared" si="134"/>
        <v>0</v>
      </c>
      <c r="AS104" s="32">
        <f t="shared" si="134"/>
        <v>0</v>
      </c>
    </row>
    <row r="105" spans="2:45" x14ac:dyDescent="0.45">
      <c r="B105" s="61" t="s">
        <v>331</v>
      </c>
      <c r="C105" s="28"/>
      <c r="D105" s="28">
        <f t="shared" ref="D105:R105" si="135">D108</f>
        <v>0</v>
      </c>
      <c r="E105" s="28">
        <f t="shared" si="135"/>
        <v>0.66122999999999998</v>
      </c>
      <c r="F105" s="28">
        <f t="shared" si="135"/>
        <v>2.4942599999999997</v>
      </c>
      <c r="G105" s="28">
        <f t="shared" si="135"/>
        <v>1.2709999999999999</v>
      </c>
      <c r="H105" s="28">
        <f t="shared" si="135"/>
        <v>0.496</v>
      </c>
      <c r="I105" s="28">
        <f t="shared" si="135"/>
        <v>20.987000000000002</v>
      </c>
      <c r="J105" s="28">
        <f t="shared" si="135"/>
        <v>102.393</v>
      </c>
      <c r="K105" s="28">
        <f t="shared" si="135"/>
        <v>161.07599999999999</v>
      </c>
      <c r="L105" s="28">
        <f t="shared" si="135"/>
        <v>0</v>
      </c>
      <c r="M105" s="28">
        <f t="shared" si="135"/>
        <v>0</v>
      </c>
      <c r="N105" s="28">
        <f t="shared" si="135"/>
        <v>0</v>
      </c>
      <c r="O105" s="28">
        <f t="shared" si="135"/>
        <v>0</v>
      </c>
      <c r="P105" s="28">
        <f t="shared" si="135"/>
        <v>0</v>
      </c>
      <c r="Q105" s="28">
        <f t="shared" si="135"/>
        <v>0</v>
      </c>
      <c r="R105" s="24">
        <f t="shared" si="135"/>
        <v>0</v>
      </c>
      <c r="S105" s="28">
        <f t="shared" ref="S105:AE105" si="136">S108</f>
        <v>0</v>
      </c>
      <c r="T105" s="28">
        <f t="shared" si="136"/>
        <v>0</v>
      </c>
      <c r="U105" s="28">
        <f t="shared" si="136"/>
        <v>0</v>
      </c>
      <c r="V105" s="28">
        <f t="shared" si="136"/>
        <v>0</v>
      </c>
      <c r="W105" s="28">
        <f t="shared" si="136"/>
        <v>0</v>
      </c>
      <c r="X105" s="28">
        <f t="shared" si="136"/>
        <v>0</v>
      </c>
      <c r="Y105" s="28">
        <f t="shared" si="136"/>
        <v>0</v>
      </c>
      <c r="Z105" s="28">
        <f t="shared" si="136"/>
        <v>0</v>
      </c>
      <c r="AA105" s="28">
        <f t="shared" si="136"/>
        <v>0</v>
      </c>
      <c r="AB105" s="28">
        <f t="shared" si="136"/>
        <v>0</v>
      </c>
      <c r="AC105" s="28">
        <f t="shared" si="136"/>
        <v>0</v>
      </c>
      <c r="AD105" s="28">
        <f t="shared" si="136"/>
        <v>0</v>
      </c>
      <c r="AE105" s="28">
        <f t="shared" si="136"/>
        <v>0</v>
      </c>
      <c r="AG105" s="28">
        <f>AG108</f>
        <v>0</v>
      </c>
      <c r="AH105" s="28">
        <f t="shared" ref="AH105:AS105" si="137">AH108</f>
        <v>0</v>
      </c>
      <c r="AI105" s="28">
        <f t="shared" si="137"/>
        <v>0</v>
      </c>
      <c r="AJ105" s="28">
        <f t="shared" si="137"/>
        <v>0</v>
      </c>
      <c r="AK105" s="28">
        <f t="shared" si="137"/>
        <v>0</v>
      </c>
      <c r="AL105" s="28">
        <f t="shared" si="137"/>
        <v>0</v>
      </c>
      <c r="AM105" s="28">
        <f t="shared" si="137"/>
        <v>0</v>
      </c>
      <c r="AN105" s="28">
        <f t="shared" si="137"/>
        <v>0</v>
      </c>
      <c r="AO105" s="28">
        <f t="shared" si="137"/>
        <v>0</v>
      </c>
      <c r="AP105" s="28">
        <f t="shared" si="137"/>
        <v>0</v>
      </c>
      <c r="AQ105" s="28">
        <f t="shared" si="137"/>
        <v>0</v>
      </c>
      <c r="AR105" s="28">
        <f t="shared" si="137"/>
        <v>0</v>
      </c>
      <c r="AS105" s="28">
        <f t="shared" si="137"/>
        <v>0</v>
      </c>
    </row>
    <row r="106" spans="2:45" x14ac:dyDescent="0.45">
      <c r="B106" s="47" t="s">
        <v>332</v>
      </c>
      <c r="D106" s="24">
        <f t="shared" ref="D106:AE106" si="138">D11+D13</f>
        <v>0</v>
      </c>
      <c r="E106" s="24">
        <f t="shared" si="138"/>
        <v>2.133</v>
      </c>
      <c r="F106" s="24">
        <f t="shared" si="138"/>
        <v>8.0459999999999994</v>
      </c>
      <c r="G106" s="24">
        <f t="shared" si="138"/>
        <v>4.0999999999999996</v>
      </c>
      <c r="H106" s="24">
        <f t="shared" si="138"/>
        <v>1.6</v>
      </c>
      <c r="I106" s="24">
        <f t="shared" si="138"/>
        <v>67.7</v>
      </c>
      <c r="J106" s="24">
        <f t="shared" si="138"/>
        <v>330.3</v>
      </c>
      <c r="K106" s="24">
        <f t="shared" si="138"/>
        <v>519.6</v>
      </c>
      <c r="L106" s="24">
        <f t="shared" si="138"/>
        <v>0</v>
      </c>
      <c r="M106" s="24">
        <f t="shared" si="138"/>
        <v>0</v>
      </c>
      <c r="N106" s="24">
        <f t="shared" si="138"/>
        <v>0</v>
      </c>
      <c r="O106" s="24">
        <f t="shared" si="138"/>
        <v>0</v>
      </c>
      <c r="P106" s="24">
        <f t="shared" si="138"/>
        <v>0</v>
      </c>
      <c r="Q106" s="24">
        <f t="shared" si="138"/>
        <v>0</v>
      </c>
      <c r="R106" s="24">
        <f t="shared" si="138"/>
        <v>0</v>
      </c>
      <c r="S106" s="24">
        <f t="shared" si="138"/>
        <v>0</v>
      </c>
      <c r="T106" s="24">
        <f t="shared" si="138"/>
        <v>0</v>
      </c>
      <c r="U106" s="24">
        <f t="shared" si="138"/>
        <v>0</v>
      </c>
      <c r="V106" s="24">
        <f t="shared" si="138"/>
        <v>0</v>
      </c>
      <c r="W106" s="24">
        <f t="shared" si="138"/>
        <v>0</v>
      </c>
      <c r="X106" s="24">
        <f t="shared" si="138"/>
        <v>0</v>
      </c>
      <c r="Y106" s="24">
        <f t="shared" si="138"/>
        <v>0</v>
      </c>
      <c r="Z106" s="24">
        <f t="shared" si="138"/>
        <v>0</v>
      </c>
      <c r="AA106" s="24">
        <f t="shared" si="138"/>
        <v>0</v>
      </c>
      <c r="AB106" s="24">
        <f t="shared" si="138"/>
        <v>0</v>
      </c>
      <c r="AC106" s="24">
        <f t="shared" si="138"/>
        <v>0</v>
      </c>
      <c r="AD106" s="24">
        <f t="shared" si="138"/>
        <v>0</v>
      </c>
      <c r="AE106" s="24">
        <f t="shared" si="138"/>
        <v>0</v>
      </c>
      <c r="AG106" s="24">
        <f t="shared" ref="AG106:AS106" si="139">AG11+AG13</f>
        <v>2.133</v>
      </c>
      <c r="AH106" s="24">
        <f t="shared" si="139"/>
        <v>8.0459999999999994</v>
      </c>
      <c r="AI106" s="24">
        <f t="shared" si="139"/>
        <v>4.0999999999999996</v>
      </c>
      <c r="AJ106" s="24">
        <f t="shared" si="139"/>
        <v>1.6</v>
      </c>
      <c r="AK106" s="24">
        <f t="shared" si="139"/>
        <v>67.7</v>
      </c>
      <c r="AL106" s="24">
        <f t="shared" si="139"/>
        <v>330.3</v>
      </c>
      <c r="AM106" s="24">
        <f t="shared" si="139"/>
        <v>519.6</v>
      </c>
      <c r="AN106" s="24">
        <f t="shared" si="139"/>
        <v>0</v>
      </c>
      <c r="AO106" s="24">
        <f t="shared" si="139"/>
        <v>0</v>
      </c>
      <c r="AP106" s="24">
        <f t="shared" si="139"/>
        <v>0</v>
      </c>
      <c r="AQ106" s="24">
        <f t="shared" si="139"/>
        <v>0</v>
      </c>
      <c r="AR106" s="24">
        <f t="shared" si="139"/>
        <v>0</v>
      </c>
      <c r="AS106" s="24">
        <f t="shared" si="139"/>
        <v>0</v>
      </c>
    </row>
    <row r="107" spans="2:45" x14ac:dyDescent="0.45">
      <c r="B107" s="47" t="s">
        <v>329</v>
      </c>
      <c r="C107" s="68"/>
      <c r="D107" s="68"/>
      <c r="E107" s="68">
        <f t="shared" ref="E107:K107" si="140">$D$4</f>
        <v>0.31</v>
      </c>
      <c r="F107" s="68">
        <f t="shared" si="140"/>
        <v>0.31</v>
      </c>
      <c r="G107" s="68">
        <f t="shared" si="140"/>
        <v>0.31</v>
      </c>
      <c r="H107" s="68">
        <f t="shared" si="140"/>
        <v>0.31</v>
      </c>
      <c r="I107" s="68">
        <f t="shared" si="140"/>
        <v>0.31</v>
      </c>
      <c r="J107" s="68">
        <f t="shared" si="140"/>
        <v>0.31</v>
      </c>
      <c r="K107" s="68">
        <f t="shared" si="140"/>
        <v>0.31</v>
      </c>
      <c r="L107" s="27"/>
      <c r="M107" s="27"/>
      <c r="N107" s="27"/>
      <c r="O107" s="27"/>
      <c r="P107" s="27"/>
      <c r="Q107" s="27"/>
      <c r="S107" s="27"/>
      <c r="T107" s="27"/>
      <c r="U107" s="27"/>
      <c r="V107" s="27"/>
      <c r="W107" s="27"/>
      <c r="X107" s="27"/>
      <c r="Y107" s="27"/>
      <c r="Z107" s="27"/>
      <c r="AA107" s="27"/>
      <c r="AB107" s="27"/>
      <c r="AC107" s="27"/>
      <c r="AD107" s="27"/>
      <c r="AE107" s="27"/>
      <c r="AG107" s="27"/>
      <c r="AH107" s="27"/>
      <c r="AI107" s="27"/>
      <c r="AJ107" s="27"/>
      <c r="AK107" s="27"/>
      <c r="AL107" s="27"/>
      <c r="AM107" s="27"/>
      <c r="AN107" s="27"/>
      <c r="AO107" s="27"/>
      <c r="AP107" s="27"/>
      <c r="AQ107" s="27"/>
      <c r="AR107" s="27"/>
      <c r="AS107" s="27"/>
    </row>
    <row r="108" spans="2:45" x14ac:dyDescent="0.45">
      <c r="B108" s="60" t="s">
        <v>333</v>
      </c>
      <c r="C108" s="32"/>
      <c r="D108" s="32">
        <f t="shared" ref="D108:R108" si="141">D107*D106</f>
        <v>0</v>
      </c>
      <c r="E108" s="32">
        <f t="shared" si="141"/>
        <v>0.66122999999999998</v>
      </c>
      <c r="F108" s="32">
        <f t="shared" si="141"/>
        <v>2.4942599999999997</v>
      </c>
      <c r="G108" s="32">
        <f t="shared" si="141"/>
        <v>1.2709999999999999</v>
      </c>
      <c r="H108" s="32">
        <f t="shared" si="141"/>
        <v>0.496</v>
      </c>
      <c r="I108" s="32">
        <f t="shared" si="141"/>
        <v>20.987000000000002</v>
      </c>
      <c r="J108" s="32">
        <f t="shared" si="141"/>
        <v>102.393</v>
      </c>
      <c r="K108" s="32">
        <f t="shared" si="141"/>
        <v>161.07599999999999</v>
      </c>
      <c r="L108" s="32">
        <f t="shared" si="141"/>
        <v>0</v>
      </c>
      <c r="M108" s="32">
        <f t="shared" si="141"/>
        <v>0</v>
      </c>
      <c r="N108" s="32">
        <f t="shared" si="141"/>
        <v>0</v>
      </c>
      <c r="O108" s="32">
        <f t="shared" si="141"/>
        <v>0</v>
      </c>
      <c r="P108" s="32">
        <f t="shared" si="141"/>
        <v>0</v>
      </c>
      <c r="Q108" s="32">
        <f t="shared" si="141"/>
        <v>0</v>
      </c>
      <c r="R108" s="24">
        <f t="shared" si="141"/>
        <v>0</v>
      </c>
      <c r="S108" s="32">
        <f t="shared" ref="S108:AE108" si="142">S107*S106</f>
        <v>0</v>
      </c>
      <c r="T108" s="32">
        <f t="shared" si="142"/>
        <v>0</v>
      </c>
      <c r="U108" s="32">
        <f t="shared" si="142"/>
        <v>0</v>
      </c>
      <c r="V108" s="32">
        <f t="shared" si="142"/>
        <v>0</v>
      </c>
      <c r="W108" s="32">
        <f t="shared" si="142"/>
        <v>0</v>
      </c>
      <c r="X108" s="32">
        <f t="shared" si="142"/>
        <v>0</v>
      </c>
      <c r="Y108" s="32">
        <f t="shared" si="142"/>
        <v>0</v>
      </c>
      <c r="Z108" s="32">
        <f t="shared" si="142"/>
        <v>0</v>
      </c>
      <c r="AA108" s="32">
        <f t="shared" si="142"/>
        <v>0</v>
      </c>
      <c r="AB108" s="32">
        <f t="shared" si="142"/>
        <v>0</v>
      </c>
      <c r="AC108" s="32">
        <f t="shared" si="142"/>
        <v>0</v>
      </c>
      <c r="AD108" s="32">
        <f t="shared" si="142"/>
        <v>0</v>
      </c>
      <c r="AE108" s="32">
        <f t="shared" si="142"/>
        <v>0</v>
      </c>
      <c r="AG108" s="32">
        <f>AG107*AG106</f>
        <v>0</v>
      </c>
      <c r="AH108" s="32">
        <f>AH107*AH106</f>
        <v>0</v>
      </c>
      <c r="AI108" s="32">
        <f>AI107*AI106</f>
        <v>0</v>
      </c>
      <c r="AJ108" s="32">
        <f t="shared" ref="AJ108:AO108" si="143">AJ107*AJ106</f>
        <v>0</v>
      </c>
      <c r="AK108" s="32">
        <f t="shared" si="143"/>
        <v>0</v>
      </c>
      <c r="AL108" s="32">
        <f t="shared" si="143"/>
        <v>0</v>
      </c>
      <c r="AM108" s="32">
        <f t="shared" si="143"/>
        <v>0</v>
      </c>
      <c r="AN108" s="32">
        <f t="shared" si="143"/>
        <v>0</v>
      </c>
      <c r="AO108" s="32">
        <f t="shared" si="143"/>
        <v>0</v>
      </c>
      <c r="AP108" s="32">
        <f>AP107*AP106</f>
        <v>0</v>
      </c>
      <c r="AQ108" s="32">
        <f>AQ107*AQ106</f>
        <v>0</v>
      </c>
      <c r="AR108" s="32">
        <f>AR107*AR106</f>
        <v>0</v>
      </c>
      <c r="AS108" s="32">
        <f>AS107*AS106</f>
        <v>0</v>
      </c>
    </row>
    <row r="109" spans="2:45" x14ac:dyDescent="0.45">
      <c r="B109" s="42" t="s">
        <v>334</v>
      </c>
      <c r="C109" s="28"/>
      <c r="D109" s="28">
        <f t="shared" ref="D109:R109" si="144">D112</f>
        <v>0</v>
      </c>
      <c r="E109" s="28">
        <f t="shared" si="144"/>
        <v>8.2952899999999996</v>
      </c>
      <c r="F109" s="28">
        <f t="shared" si="144"/>
        <v>0.57504999999999995</v>
      </c>
      <c r="G109" s="28">
        <f t="shared" si="144"/>
        <v>0.62</v>
      </c>
      <c r="H109" s="28">
        <f t="shared" si="144"/>
        <v>20.149999999999999</v>
      </c>
      <c r="I109" s="28">
        <f t="shared" si="144"/>
        <v>94.581000000000003</v>
      </c>
      <c r="J109" s="28">
        <f t="shared" si="144"/>
        <v>5.8589999999999991</v>
      </c>
      <c r="K109" s="28">
        <f t="shared" si="144"/>
        <v>7.4089999999999998</v>
      </c>
      <c r="L109" s="28">
        <f t="shared" si="144"/>
        <v>0</v>
      </c>
      <c r="M109" s="28">
        <f t="shared" si="144"/>
        <v>0</v>
      </c>
      <c r="N109" s="28">
        <f t="shared" si="144"/>
        <v>0</v>
      </c>
      <c r="O109" s="28">
        <f t="shared" si="144"/>
        <v>0</v>
      </c>
      <c r="P109" s="28">
        <f t="shared" si="144"/>
        <v>0</v>
      </c>
      <c r="Q109" s="28">
        <f t="shared" si="144"/>
        <v>0</v>
      </c>
      <c r="R109" s="24">
        <f t="shared" si="144"/>
        <v>0</v>
      </c>
      <c r="S109" s="28">
        <f t="shared" ref="S109:AE109" si="145">S112</f>
        <v>0</v>
      </c>
      <c r="T109" s="28">
        <f t="shared" si="145"/>
        <v>0</v>
      </c>
      <c r="U109" s="28">
        <f t="shared" si="145"/>
        <v>0</v>
      </c>
      <c r="V109" s="28">
        <f t="shared" si="145"/>
        <v>0</v>
      </c>
      <c r="W109" s="28">
        <f t="shared" si="145"/>
        <v>0</v>
      </c>
      <c r="X109" s="28">
        <f t="shared" si="145"/>
        <v>0</v>
      </c>
      <c r="Y109" s="28">
        <f t="shared" si="145"/>
        <v>0</v>
      </c>
      <c r="Z109" s="28">
        <f t="shared" si="145"/>
        <v>0</v>
      </c>
      <c r="AA109" s="28">
        <f t="shared" si="145"/>
        <v>0</v>
      </c>
      <c r="AB109" s="28">
        <f t="shared" si="145"/>
        <v>0</v>
      </c>
      <c r="AC109" s="28">
        <f t="shared" si="145"/>
        <v>0</v>
      </c>
      <c r="AD109" s="28">
        <f t="shared" si="145"/>
        <v>0</v>
      </c>
      <c r="AE109" s="28">
        <f t="shared" si="145"/>
        <v>0</v>
      </c>
      <c r="AG109" s="28">
        <f>AG112</f>
        <v>0</v>
      </c>
      <c r="AH109" s="28">
        <f t="shared" ref="AH109:AS109" si="146">AH112</f>
        <v>0</v>
      </c>
      <c r="AI109" s="28">
        <f t="shared" si="146"/>
        <v>0</v>
      </c>
      <c r="AJ109" s="28">
        <f t="shared" si="146"/>
        <v>0</v>
      </c>
      <c r="AK109" s="28">
        <f t="shared" si="146"/>
        <v>0</v>
      </c>
      <c r="AL109" s="28">
        <f t="shared" si="146"/>
        <v>0</v>
      </c>
      <c r="AM109" s="28">
        <f t="shared" si="146"/>
        <v>0</v>
      </c>
      <c r="AN109" s="28">
        <f t="shared" si="146"/>
        <v>0</v>
      </c>
      <c r="AO109" s="28">
        <f t="shared" si="146"/>
        <v>0</v>
      </c>
      <c r="AP109" s="28">
        <f t="shared" si="146"/>
        <v>0</v>
      </c>
      <c r="AQ109" s="28">
        <f t="shared" si="146"/>
        <v>0</v>
      </c>
      <c r="AR109" s="28">
        <f t="shared" si="146"/>
        <v>0</v>
      </c>
      <c r="AS109" s="28">
        <f t="shared" si="146"/>
        <v>0</v>
      </c>
    </row>
    <row r="110" spans="2:45" x14ac:dyDescent="0.45">
      <c r="B110" s="47" t="s">
        <v>335</v>
      </c>
      <c r="D110" s="24">
        <f t="shared" ref="D110:AE110" si="147">-(D14)</f>
        <v>0</v>
      </c>
      <c r="E110" s="24">
        <f t="shared" si="147"/>
        <v>26.759</v>
      </c>
      <c r="F110" s="24">
        <f t="shared" si="147"/>
        <v>1.855</v>
      </c>
      <c r="G110" s="24">
        <f t="shared" si="147"/>
        <v>2</v>
      </c>
      <c r="H110" s="24">
        <f t="shared" si="147"/>
        <v>65</v>
      </c>
      <c r="I110" s="24">
        <f t="shared" si="147"/>
        <v>305.10000000000002</v>
      </c>
      <c r="J110" s="24">
        <f t="shared" si="147"/>
        <v>18.899999999999999</v>
      </c>
      <c r="K110" s="24">
        <f t="shared" si="147"/>
        <v>23.9</v>
      </c>
      <c r="L110" s="24">
        <f t="shared" si="147"/>
        <v>0</v>
      </c>
      <c r="M110" s="24">
        <f t="shared" si="147"/>
        <v>0</v>
      </c>
      <c r="N110" s="24">
        <f t="shared" si="147"/>
        <v>0</v>
      </c>
      <c r="O110" s="24">
        <f t="shared" si="147"/>
        <v>0</v>
      </c>
      <c r="P110" s="24">
        <f t="shared" si="147"/>
        <v>0</v>
      </c>
      <c r="Q110" s="24">
        <f t="shared" si="147"/>
        <v>0</v>
      </c>
      <c r="R110" s="24">
        <f t="shared" si="147"/>
        <v>0</v>
      </c>
      <c r="S110" s="24">
        <f t="shared" si="147"/>
        <v>0</v>
      </c>
      <c r="T110" s="24">
        <f t="shared" si="147"/>
        <v>0</v>
      </c>
      <c r="U110" s="24">
        <f t="shared" si="147"/>
        <v>0</v>
      </c>
      <c r="V110" s="24">
        <f t="shared" si="147"/>
        <v>0</v>
      </c>
      <c r="W110" s="24">
        <f t="shared" si="147"/>
        <v>0</v>
      </c>
      <c r="X110" s="24">
        <f t="shared" si="147"/>
        <v>0</v>
      </c>
      <c r="Y110" s="24">
        <f t="shared" si="147"/>
        <v>0</v>
      </c>
      <c r="Z110" s="24">
        <f t="shared" si="147"/>
        <v>0</v>
      </c>
      <c r="AA110" s="24">
        <f t="shared" si="147"/>
        <v>0</v>
      </c>
      <c r="AB110" s="24">
        <f t="shared" si="147"/>
        <v>0</v>
      </c>
      <c r="AC110" s="24">
        <f t="shared" si="147"/>
        <v>0</v>
      </c>
      <c r="AD110" s="24">
        <f t="shared" si="147"/>
        <v>0</v>
      </c>
      <c r="AE110" s="24">
        <f t="shared" si="147"/>
        <v>0</v>
      </c>
      <c r="AG110" s="24">
        <f t="shared" ref="AG110:AS110" si="148">-(AG14)</f>
        <v>26.759</v>
      </c>
      <c r="AH110" s="24">
        <f t="shared" si="148"/>
        <v>1.855</v>
      </c>
      <c r="AI110" s="24">
        <f t="shared" si="148"/>
        <v>2</v>
      </c>
      <c r="AJ110" s="24">
        <f t="shared" si="148"/>
        <v>65</v>
      </c>
      <c r="AK110" s="24">
        <f t="shared" si="148"/>
        <v>305.10000000000002</v>
      </c>
      <c r="AL110" s="24">
        <f t="shared" si="148"/>
        <v>18.899999999999999</v>
      </c>
      <c r="AM110" s="24">
        <f t="shared" si="148"/>
        <v>23.9</v>
      </c>
      <c r="AN110" s="24">
        <f t="shared" si="148"/>
        <v>0</v>
      </c>
      <c r="AO110" s="24">
        <f t="shared" si="148"/>
        <v>0</v>
      </c>
      <c r="AP110" s="24">
        <f t="shared" si="148"/>
        <v>0</v>
      </c>
      <c r="AQ110" s="24">
        <f t="shared" si="148"/>
        <v>0</v>
      </c>
      <c r="AR110" s="24">
        <f t="shared" si="148"/>
        <v>0</v>
      </c>
      <c r="AS110" s="24">
        <f t="shared" si="148"/>
        <v>0</v>
      </c>
    </row>
    <row r="111" spans="2:45" x14ac:dyDescent="0.45">
      <c r="B111" s="47" t="s">
        <v>329</v>
      </c>
      <c r="C111" s="68"/>
      <c r="D111" s="68"/>
      <c r="E111" s="68">
        <f t="shared" ref="E111:K111" si="149">$D$4</f>
        <v>0.31</v>
      </c>
      <c r="F111" s="68">
        <f t="shared" si="149"/>
        <v>0.31</v>
      </c>
      <c r="G111" s="68">
        <f t="shared" si="149"/>
        <v>0.31</v>
      </c>
      <c r="H111" s="68">
        <f t="shared" si="149"/>
        <v>0.31</v>
      </c>
      <c r="I111" s="68">
        <f t="shared" si="149"/>
        <v>0.31</v>
      </c>
      <c r="J111" s="68">
        <f t="shared" si="149"/>
        <v>0.31</v>
      </c>
      <c r="K111" s="68">
        <f t="shared" si="149"/>
        <v>0.31</v>
      </c>
      <c r="L111" s="27"/>
      <c r="M111" s="27"/>
      <c r="N111" s="27"/>
      <c r="O111" s="27"/>
      <c r="P111" s="27"/>
      <c r="Q111" s="27"/>
      <c r="S111" s="27"/>
      <c r="T111" s="27"/>
      <c r="U111" s="27"/>
      <c r="V111" s="27"/>
      <c r="W111" s="27"/>
      <c r="X111" s="27"/>
      <c r="Y111" s="27"/>
      <c r="Z111" s="27"/>
      <c r="AA111" s="27"/>
      <c r="AB111" s="27"/>
      <c r="AC111" s="27"/>
      <c r="AD111" s="27"/>
      <c r="AE111" s="27"/>
      <c r="AG111" s="27"/>
      <c r="AH111" s="27"/>
      <c r="AI111" s="27"/>
      <c r="AJ111" s="27"/>
      <c r="AK111" s="27"/>
      <c r="AL111" s="27"/>
      <c r="AM111" s="27"/>
      <c r="AN111" s="27"/>
      <c r="AO111" s="27"/>
      <c r="AP111" s="27"/>
      <c r="AQ111" s="27"/>
      <c r="AR111" s="27"/>
      <c r="AS111" s="27"/>
    </row>
    <row r="112" spans="2:45" x14ac:dyDescent="0.45">
      <c r="B112" s="60" t="s">
        <v>336</v>
      </c>
      <c r="C112" s="32"/>
      <c r="D112" s="32">
        <f t="shared" ref="D112:R112" si="150">D111*D110</f>
        <v>0</v>
      </c>
      <c r="E112" s="32">
        <f t="shared" si="150"/>
        <v>8.2952899999999996</v>
      </c>
      <c r="F112" s="32">
        <f t="shared" si="150"/>
        <v>0.57504999999999995</v>
      </c>
      <c r="G112" s="32">
        <f t="shared" si="150"/>
        <v>0.62</v>
      </c>
      <c r="H112" s="32">
        <f t="shared" si="150"/>
        <v>20.149999999999999</v>
      </c>
      <c r="I112" s="32">
        <f t="shared" si="150"/>
        <v>94.581000000000003</v>
      </c>
      <c r="J112" s="32">
        <f t="shared" si="150"/>
        <v>5.8589999999999991</v>
      </c>
      <c r="K112" s="32">
        <f t="shared" si="150"/>
        <v>7.4089999999999998</v>
      </c>
      <c r="L112" s="32">
        <f t="shared" si="150"/>
        <v>0</v>
      </c>
      <c r="M112" s="32">
        <f t="shared" si="150"/>
        <v>0</v>
      </c>
      <c r="N112" s="32">
        <f t="shared" si="150"/>
        <v>0</v>
      </c>
      <c r="O112" s="32">
        <f t="shared" si="150"/>
        <v>0</v>
      </c>
      <c r="P112" s="32">
        <f t="shared" si="150"/>
        <v>0</v>
      </c>
      <c r="Q112" s="32">
        <f t="shared" si="150"/>
        <v>0</v>
      </c>
      <c r="R112" s="24">
        <f t="shared" si="150"/>
        <v>0</v>
      </c>
      <c r="S112" s="32">
        <f t="shared" ref="S112:AE112" si="151">S111*S110</f>
        <v>0</v>
      </c>
      <c r="T112" s="32">
        <f t="shared" si="151"/>
        <v>0</v>
      </c>
      <c r="U112" s="32">
        <f t="shared" si="151"/>
        <v>0</v>
      </c>
      <c r="V112" s="32">
        <f t="shared" si="151"/>
        <v>0</v>
      </c>
      <c r="W112" s="32">
        <f t="shared" si="151"/>
        <v>0</v>
      </c>
      <c r="X112" s="32">
        <f t="shared" si="151"/>
        <v>0</v>
      </c>
      <c r="Y112" s="32">
        <f t="shared" si="151"/>
        <v>0</v>
      </c>
      <c r="Z112" s="32">
        <f t="shared" si="151"/>
        <v>0</v>
      </c>
      <c r="AA112" s="32">
        <f t="shared" si="151"/>
        <v>0</v>
      </c>
      <c r="AB112" s="32">
        <f t="shared" si="151"/>
        <v>0</v>
      </c>
      <c r="AC112" s="32">
        <f t="shared" si="151"/>
        <v>0</v>
      </c>
      <c r="AD112" s="32">
        <f t="shared" si="151"/>
        <v>0</v>
      </c>
      <c r="AE112" s="32">
        <f t="shared" si="151"/>
        <v>0</v>
      </c>
      <c r="AG112" s="32">
        <f>AG111*AG110</f>
        <v>0</v>
      </c>
      <c r="AH112" s="32">
        <f>AH111*AH110</f>
        <v>0</v>
      </c>
      <c r="AI112" s="32">
        <f>AI111*AI110</f>
        <v>0</v>
      </c>
      <c r="AJ112" s="32">
        <f t="shared" ref="AJ112:AO112" si="152">AJ111*AJ110</f>
        <v>0</v>
      </c>
      <c r="AK112" s="32">
        <f t="shared" si="152"/>
        <v>0</v>
      </c>
      <c r="AL112" s="32">
        <f t="shared" si="152"/>
        <v>0</v>
      </c>
      <c r="AM112" s="32">
        <f t="shared" si="152"/>
        <v>0</v>
      </c>
      <c r="AN112" s="32">
        <f t="shared" si="152"/>
        <v>0</v>
      </c>
      <c r="AO112" s="32">
        <f t="shared" si="152"/>
        <v>0</v>
      </c>
      <c r="AP112" s="32">
        <f>AP111*AP110</f>
        <v>0</v>
      </c>
      <c r="AQ112" s="32">
        <f>AQ111*AQ110</f>
        <v>0</v>
      </c>
      <c r="AR112" s="32">
        <f>AR111*AR110</f>
        <v>0</v>
      </c>
      <c r="AS112" s="32">
        <f>AS111*AS110</f>
        <v>0</v>
      </c>
    </row>
    <row r="113" spans="1:45" ht="14.65" thickBot="1" x14ac:dyDescent="0.5">
      <c r="B113" s="52" t="s">
        <v>337</v>
      </c>
      <c r="C113" s="44"/>
      <c r="D113" s="44">
        <f t="shared" ref="D113:R113" si="153">D100+D105-D109</f>
        <v>0</v>
      </c>
      <c r="E113" s="44">
        <f t="shared" si="153"/>
        <v>-85.94899999999997</v>
      </c>
      <c r="F113" s="44">
        <f t="shared" si="153"/>
        <v>-48.262999999999998</v>
      </c>
      <c r="G113" s="44">
        <f t="shared" si="153"/>
        <v>-179.20000000000002</v>
      </c>
      <c r="H113" s="44">
        <f t="shared" si="153"/>
        <v>15.200000000000074</v>
      </c>
      <c r="I113" s="44">
        <f t="shared" si="153"/>
        <v>10292.500000000002</v>
      </c>
      <c r="J113" s="44">
        <f t="shared" si="153"/>
        <v>9434.3999999999978</v>
      </c>
      <c r="K113" s="44">
        <f t="shared" si="153"/>
        <v>930.3</v>
      </c>
      <c r="L113" s="44">
        <f t="shared" si="153"/>
        <v>0</v>
      </c>
      <c r="M113" s="44">
        <f t="shared" si="153"/>
        <v>0</v>
      </c>
      <c r="N113" s="44">
        <f t="shared" si="153"/>
        <v>0</v>
      </c>
      <c r="O113" s="44">
        <f t="shared" si="153"/>
        <v>0</v>
      </c>
      <c r="P113" s="44">
        <f t="shared" si="153"/>
        <v>0</v>
      </c>
      <c r="Q113" s="44">
        <f t="shared" si="153"/>
        <v>0</v>
      </c>
      <c r="R113" s="24">
        <f t="shared" si="153"/>
        <v>0</v>
      </c>
      <c r="S113" s="44">
        <f t="shared" ref="S113:AE113" si="154">S100+S105-S109</f>
        <v>0</v>
      </c>
      <c r="T113" s="44">
        <f t="shared" si="154"/>
        <v>0</v>
      </c>
      <c r="U113" s="44">
        <f t="shared" si="154"/>
        <v>0</v>
      </c>
      <c r="V113" s="44">
        <f t="shared" si="154"/>
        <v>0</v>
      </c>
      <c r="W113" s="44">
        <f t="shared" si="154"/>
        <v>0</v>
      </c>
      <c r="X113" s="44">
        <f t="shared" si="154"/>
        <v>0</v>
      </c>
      <c r="Y113" s="44">
        <f t="shared" si="154"/>
        <v>0</v>
      </c>
      <c r="Z113" s="44">
        <f t="shared" si="154"/>
        <v>0</v>
      </c>
      <c r="AA113" s="44">
        <f t="shared" si="154"/>
        <v>0</v>
      </c>
      <c r="AB113" s="44">
        <f t="shared" si="154"/>
        <v>0</v>
      </c>
      <c r="AC113" s="44">
        <f t="shared" si="154"/>
        <v>0</v>
      </c>
      <c r="AD113" s="44">
        <f t="shared" si="154"/>
        <v>0</v>
      </c>
      <c r="AE113" s="44">
        <f t="shared" si="154"/>
        <v>0</v>
      </c>
      <c r="AG113" s="44">
        <f t="shared" ref="AG113:AS113" si="155">AG100+AG105-AG109</f>
        <v>-85.94899999999997</v>
      </c>
      <c r="AH113" s="44">
        <f t="shared" si="155"/>
        <v>-48.262999999999998</v>
      </c>
      <c r="AI113" s="44">
        <f t="shared" si="155"/>
        <v>-179.20000000000002</v>
      </c>
      <c r="AJ113" s="44">
        <f t="shared" si="155"/>
        <v>15.200000000000074</v>
      </c>
      <c r="AK113" s="44">
        <f t="shared" si="155"/>
        <v>10292.500000000002</v>
      </c>
      <c r="AL113" s="44">
        <f t="shared" si="155"/>
        <v>9434.3999999999978</v>
      </c>
      <c r="AM113" s="44">
        <f t="shared" si="155"/>
        <v>930.3</v>
      </c>
      <c r="AN113" s="44">
        <f t="shared" si="155"/>
        <v>0</v>
      </c>
      <c r="AO113" s="44">
        <f t="shared" si="155"/>
        <v>0</v>
      </c>
      <c r="AP113" s="44">
        <f t="shared" si="155"/>
        <v>0</v>
      </c>
      <c r="AQ113" s="44">
        <f t="shared" si="155"/>
        <v>0</v>
      </c>
      <c r="AR113" s="44">
        <f t="shared" si="155"/>
        <v>0</v>
      </c>
      <c r="AS113" s="44">
        <f t="shared" si="155"/>
        <v>0</v>
      </c>
    </row>
    <row r="114" spans="1:45" ht="15" thickTop="1" thickBot="1" x14ac:dyDescent="0.5">
      <c r="B114" s="34"/>
    </row>
    <row r="115" spans="1:45" ht="14.65" thickTop="1" x14ac:dyDescent="0.45">
      <c r="A115" s="24" t="s">
        <v>14</v>
      </c>
      <c r="B115" s="57" t="s">
        <v>338</v>
      </c>
      <c r="C115" s="58"/>
      <c r="D115" s="58"/>
      <c r="E115" s="58"/>
      <c r="F115" s="58"/>
      <c r="G115" s="58"/>
      <c r="H115" s="58"/>
      <c r="I115" s="58"/>
      <c r="J115" s="58"/>
      <c r="K115" s="58"/>
      <c r="L115" s="58"/>
      <c r="M115" s="58"/>
      <c r="N115" s="58"/>
      <c r="O115" s="58"/>
      <c r="P115" s="58"/>
      <c r="Q115" s="58"/>
      <c r="S115" s="58"/>
      <c r="T115" s="58"/>
      <c r="U115" s="58"/>
      <c r="V115" s="58"/>
      <c r="W115" s="58"/>
      <c r="X115" s="58"/>
      <c r="Y115" s="58"/>
      <c r="Z115" s="58"/>
      <c r="AA115" s="58"/>
      <c r="AB115" s="58"/>
      <c r="AC115" s="58"/>
      <c r="AD115" s="58"/>
      <c r="AE115" s="58"/>
      <c r="AG115" s="58"/>
      <c r="AH115" s="58"/>
      <c r="AI115" s="58"/>
      <c r="AJ115" s="58"/>
      <c r="AK115" s="58"/>
      <c r="AL115" s="58"/>
      <c r="AM115" s="58"/>
      <c r="AN115" s="58"/>
      <c r="AO115" s="58"/>
      <c r="AP115" s="58"/>
      <c r="AQ115" s="58"/>
      <c r="AR115" s="58"/>
      <c r="AS115" s="58"/>
    </row>
    <row r="116" spans="1:45" x14ac:dyDescent="0.45">
      <c r="B116" s="42" t="s">
        <v>339</v>
      </c>
    </row>
    <row r="117" spans="1:45" x14ac:dyDescent="0.45">
      <c r="B117" s="47" t="s">
        <v>340</v>
      </c>
      <c r="D117" s="24">
        <f>MIN(D3*D8,D45)</f>
        <v>0</v>
      </c>
      <c r="E117" s="24">
        <f t="shared" ref="E117:R117" si="156">MIN(E3*E8,E45)</f>
        <v>3.0799000000000003</v>
      </c>
      <c r="F117" s="24">
        <f t="shared" si="156"/>
        <v>6.3787500000000001</v>
      </c>
      <c r="G117" s="24">
        <f t="shared" si="156"/>
        <v>5.4300000000000006</v>
      </c>
      <c r="H117" s="24">
        <f t="shared" si="156"/>
        <v>24.115000000000002</v>
      </c>
      <c r="I117" s="24">
        <f t="shared" si="156"/>
        <v>948.83500000000004</v>
      </c>
      <c r="J117" s="24">
        <f t="shared" si="156"/>
        <v>865.53</v>
      </c>
      <c r="K117" s="24">
        <f t="shared" si="156"/>
        <v>190.95000000000002</v>
      </c>
      <c r="L117" s="24">
        <f t="shared" si="156"/>
        <v>0</v>
      </c>
      <c r="M117" s="24">
        <f t="shared" si="156"/>
        <v>0</v>
      </c>
      <c r="N117" s="24">
        <f t="shared" si="156"/>
        <v>0</v>
      </c>
      <c r="O117" s="24">
        <f t="shared" si="156"/>
        <v>0</v>
      </c>
      <c r="P117" s="24">
        <f t="shared" si="156"/>
        <v>0</v>
      </c>
      <c r="Q117" s="24">
        <f t="shared" si="156"/>
        <v>0</v>
      </c>
      <c r="R117" s="24">
        <f t="shared" si="156"/>
        <v>0</v>
      </c>
      <c r="AG117" s="24">
        <f>MIN(AG3*AG8,AG45)</f>
        <v>3.0799000000000003</v>
      </c>
      <c r="AH117" s="24">
        <f>MIN(AH3*AH8,AG45)</f>
        <v>6.3787500000000001</v>
      </c>
      <c r="AI117" s="24">
        <f t="shared" ref="AI117:AS117" si="157">MIN(AI3*AI8,AI45)</f>
        <v>5.4300000000000006</v>
      </c>
      <c r="AJ117" s="24">
        <f t="shared" si="157"/>
        <v>24.115000000000002</v>
      </c>
      <c r="AK117" s="24">
        <f t="shared" si="157"/>
        <v>948.83500000000004</v>
      </c>
      <c r="AL117" s="24">
        <f t="shared" si="157"/>
        <v>865.53</v>
      </c>
      <c r="AM117" s="24">
        <f t="shared" si="157"/>
        <v>190.95000000000002</v>
      </c>
      <c r="AO117" s="24">
        <f t="shared" si="157"/>
        <v>0</v>
      </c>
      <c r="AP117" s="24">
        <f t="shared" si="157"/>
        <v>0</v>
      </c>
      <c r="AQ117" s="24">
        <f t="shared" si="157"/>
        <v>0</v>
      </c>
      <c r="AR117" s="24">
        <f t="shared" si="157"/>
        <v>0</v>
      </c>
      <c r="AS117" s="24">
        <f t="shared" si="157"/>
        <v>0</v>
      </c>
    </row>
    <row r="118" spans="1:45" x14ac:dyDescent="0.45">
      <c r="B118" s="59" t="s">
        <v>341</v>
      </c>
      <c r="C118" s="69"/>
      <c r="D118" s="24">
        <f t="shared" ref="D118:R118" si="158">D43</f>
        <v>3.161</v>
      </c>
      <c r="E118" s="24">
        <f t="shared" si="158"/>
        <v>4.5750000000000002</v>
      </c>
      <c r="F118" s="24">
        <f t="shared" si="158"/>
        <v>18.937999999999999</v>
      </c>
      <c r="G118" s="24">
        <f t="shared" si="158"/>
        <v>11.913</v>
      </c>
      <c r="H118" s="24">
        <f t="shared" si="158"/>
        <v>165.5</v>
      </c>
      <c r="I118" s="24">
        <f t="shared" si="158"/>
        <v>12381.7</v>
      </c>
      <c r="J118" s="24">
        <f t="shared" si="158"/>
        <v>7145.6</v>
      </c>
      <c r="K118" s="24">
        <f t="shared" si="158"/>
        <v>2155.6999999999998</v>
      </c>
      <c r="L118" s="24">
        <f t="shared" si="158"/>
        <v>0</v>
      </c>
      <c r="M118" s="24">
        <f t="shared" si="158"/>
        <v>0</v>
      </c>
      <c r="N118" s="24">
        <f t="shared" si="158"/>
        <v>0</v>
      </c>
      <c r="O118" s="24">
        <f t="shared" si="158"/>
        <v>0</v>
      </c>
      <c r="P118" s="24">
        <f t="shared" si="158"/>
        <v>0</v>
      </c>
      <c r="Q118" s="24">
        <f t="shared" si="158"/>
        <v>0</v>
      </c>
      <c r="R118" s="24">
        <f t="shared" si="158"/>
        <v>0</v>
      </c>
      <c r="AG118" s="24">
        <f>AG43</f>
        <v>4.5750000000000002</v>
      </c>
      <c r="AH118" s="24">
        <f t="shared" ref="AH118:AM118" si="159">AH43</f>
        <v>18.937999999999999</v>
      </c>
      <c r="AI118" s="24">
        <f t="shared" si="159"/>
        <v>11.913</v>
      </c>
      <c r="AJ118" s="24">
        <f t="shared" si="159"/>
        <v>165.5</v>
      </c>
      <c r="AK118" s="24">
        <f t="shared" si="159"/>
        <v>12381.7</v>
      </c>
      <c r="AL118" s="24">
        <f t="shared" si="159"/>
        <v>7145.6</v>
      </c>
      <c r="AM118" s="24">
        <f t="shared" si="159"/>
        <v>2155.6999999999998</v>
      </c>
      <c r="AN118" s="24">
        <f t="shared" ref="AN118:AS118" si="160">AN43</f>
        <v>0</v>
      </c>
      <c r="AO118" s="24">
        <f t="shared" si="160"/>
        <v>0</v>
      </c>
      <c r="AP118" s="24">
        <f t="shared" si="160"/>
        <v>0</v>
      </c>
      <c r="AQ118" s="24">
        <f t="shared" si="160"/>
        <v>0</v>
      </c>
      <c r="AR118" s="24">
        <f t="shared" si="160"/>
        <v>0</v>
      </c>
      <c r="AS118" s="24">
        <f t="shared" si="160"/>
        <v>0</v>
      </c>
    </row>
    <row r="119" spans="1:45" x14ac:dyDescent="0.45">
      <c r="B119" s="47" t="s">
        <v>342</v>
      </c>
      <c r="D119" s="24">
        <f t="shared" ref="D119:R119" si="161">D42</f>
        <v>3.266</v>
      </c>
      <c r="E119" s="24">
        <f t="shared" si="161"/>
        <v>3.8759999999999999</v>
      </c>
      <c r="F119" s="24">
        <f t="shared" si="161"/>
        <v>5.7889999999999997</v>
      </c>
      <c r="G119" s="24">
        <f t="shared" si="161"/>
        <v>11.722</v>
      </c>
      <c r="H119" s="24">
        <f t="shared" si="161"/>
        <v>64.099999999999994</v>
      </c>
      <c r="I119" s="24">
        <f t="shared" si="161"/>
        <v>502.5</v>
      </c>
      <c r="J119" s="24">
        <f t="shared" si="161"/>
        <v>439.6</v>
      </c>
      <c r="K119" s="24">
        <f t="shared" si="161"/>
        <v>357.7</v>
      </c>
      <c r="L119" s="24">
        <f t="shared" si="161"/>
        <v>0</v>
      </c>
      <c r="M119" s="24">
        <f t="shared" si="161"/>
        <v>0</v>
      </c>
      <c r="N119" s="24">
        <f t="shared" si="161"/>
        <v>0</v>
      </c>
      <c r="O119" s="24">
        <f t="shared" si="161"/>
        <v>0</v>
      </c>
      <c r="P119" s="24">
        <f t="shared" si="161"/>
        <v>0</v>
      </c>
      <c r="Q119" s="24">
        <f t="shared" si="161"/>
        <v>0</v>
      </c>
      <c r="R119" s="24">
        <f t="shared" si="161"/>
        <v>0</v>
      </c>
      <c r="AG119" s="24">
        <f>AG42</f>
        <v>3.8759999999999999</v>
      </c>
      <c r="AH119" s="24">
        <f t="shared" ref="AH119:AM119" si="162">AH42</f>
        <v>5.7889999999999997</v>
      </c>
      <c r="AI119" s="24">
        <f t="shared" si="162"/>
        <v>11.722</v>
      </c>
      <c r="AJ119" s="24">
        <f t="shared" si="162"/>
        <v>64.099999999999994</v>
      </c>
      <c r="AK119" s="24">
        <f t="shared" si="162"/>
        <v>502.5</v>
      </c>
      <c r="AL119" s="24">
        <f t="shared" si="162"/>
        <v>439.6</v>
      </c>
      <c r="AM119" s="24">
        <f t="shared" si="162"/>
        <v>357.7</v>
      </c>
      <c r="AN119" s="24">
        <f t="shared" ref="AN119:AS119" si="163">AN42</f>
        <v>0</v>
      </c>
      <c r="AO119" s="24">
        <f t="shared" si="163"/>
        <v>0</v>
      </c>
      <c r="AP119" s="24">
        <f t="shared" si="163"/>
        <v>0</v>
      </c>
      <c r="AQ119" s="24">
        <f t="shared" si="163"/>
        <v>0</v>
      </c>
      <c r="AR119" s="24">
        <f t="shared" si="163"/>
        <v>0</v>
      </c>
      <c r="AS119" s="24">
        <f t="shared" si="163"/>
        <v>0</v>
      </c>
    </row>
    <row r="120" spans="1:45" x14ac:dyDescent="0.45">
      <c r="B120" s="47" t="s">
        <v>343</v>
      </c>
      <c r="D120" s="24">
        <f t="shared" ref="D120:R120" si="164">D44</f>
        <v>8.016</v>
      </c>
      <c r="E120" s="24">
        <f t="shared" si="164"/>
        <v>8.3920000000000012</v>
      </c>
      <c r="F120" s="24">
        <f t="shared" si="164"/>
        <v>11.847</v>
      </c>
      <c r="G120" s="24">
        <f t="shared" si="164"/>
        <v>16.611000000000001</v>
      </c>
      <c r="H120" s="24">
        <f t="shared" si="164"/>
        <v>226.2</v>
      </c>
      <c r="I120" s="24">
        <f t="shared" si="164"/>
        <v>495</v>
      </c>
      <c r="J120" s="24">
        <f t="shared" si="164"/>
        <v>461.29999999999995</v>
      </c>
      <c r="K120" s="24">
        <f t="shared" si="164"/>
        <v>5171.0999999999995</v>
      </c>
      <c r="L120" s="24">
        <f t="shared" si="164"/>
        <v>0</v>
      </c>
      <c r="M120" s="24">
        <f t="shared" si="164"/>
        <v>0</v>
      </c>
      <c r="N120" s="24">
        <f t="shared" si="164"/>
        <v>0</v>
      </c>
      <c r="O120" s="24">
        <f t="shared" si="164"/>
        <v>0</v>
      </c>
      <c r="P120" s="24">
        <f t="shared" si="164"/>
        <v>0</v>
      </c>
      <c r="Q120" s="24">
        <f t="shared" si="164"/>
        <v>0</v>
      </c>
      <c r="R120" s="24">
        <f t="shared" si="164"/>
        <v>0</v>
      </c>
      <c r="AG120" s="24">
        <f>AG44</f>
        <v>8.3920000000000012</v>
      </c>
      <c r="AH120" s="24">
        <f t="shared" ref="AH120:AM120" si="165">AH44</f>
        <v>11.847</v>
      </c>
      <c r="AI120" s="24">
        <f t="shared" si="165"/>
        <v>16.611000000000001</v>
      </c>
      <c r="AJ120" s="24">
        <f t="shared" si="165"/>
        <v>226.2</v>
      </c>
      <c r="AK120" s="24">
        <f t="shared" si="165"/>
        <v>495</v>
      </c>
      <c r="AL120" s="24">
        <f t="shared" si="165"/>
        <v>461.29999999999995</v>
      </c>
      <c r="AM120" s="24">
        <f t="shared" si="165"/>
        <v>5171.0999999999995</v>
      </c>
      <c r="AN120" s="24">
        <f t="shared" ref="AN120:AS120" si="166">AN44</f>
        <v>0</v>
      </c>
      <c r="AO120" s="24">
        <f t="shared" si="166"/>
        <v>0</v>
      </c>
      <c r="AP120" s="24">
        <f t="shared" si="166"/>
        <v>0</v>
      </c>
      <c r="AQ120" s="24">
        <f t="shared" si="166"/>
        <v>0</v>
      </c>
      <c r="AR120" s="24">
        <f t="shared" si="166"/>
        <v>0</v>
      </c>
      <c r="AS120" s="24">
        <f t="shared" si="166"/>
        <v>0</v>
      </c>
    </row>
    <row r="121" spans="1:45" x14ac:dyDescent="0.45">
      <c r="B121" s="47" t="s">
        <v>344</v>
      </c>
      <c r="D121" s="24">
        <f t="shared" ref="D121:R121" si="167">D62</f>
        <v>6.218</v>
      </c>
      <c r="E121" s="24">
        <f t="shared" si="167"/>
        <v>52.537999999999997</v>
      </c>
      <c r="F121" s="24">
        <f t="shared" si="167"/>
        <v>41.720999999999997</v>
      </c>
      <c r="G121" s="24">
        <f t="shared" si="167"/>
        <v>20.498000000000001</v>
      </c>
      <c r="H121" s="24">
        <f t="shared" si="167"/>
        <v>102.3</v>
      </c>
      <c r="I121" s="24">
        <f t="shared" si="167"/>
        <v>160</v>
      </c>
      <c r="J121" s="24">
        <f t="shared" si="167"/>
        <v>204.1</v>
      </c>
      <c r="K121" s="24">
        <f t="shared" si="167"/>
        <v>354</v>
      </c>
      <c r="L121" s="24">
        <f t="shared" si="167"/>
        <v>0</v>
      </c>
      <c r="M121" s="24">
        <f t="shared" si="167"/>
        <v>0</v>
      </c>
      <c r="N121" s="24">
        <f t="shared" si="167"/>
        <v>0</v>
      </c>
      <c r="O121" s="24">
        <f t="shared" si="167"/>
        <v>0</v>
      </c>
      <c r="P121" s="24">
        <f t="shared" si="167"/>
        <v>0</v>
      </c>
      <c r="Q121" s="24">
        <f t="shared" si="167"/>
        <v>0</v>
      </c>
      <c r="R121" s="24">
        <f t="shared" si="167"/>
        <v>0</v>
      </c>
      <c r="AG121" s="24">
        <f t="shared" ref="AG121:AS121" si="168">AG62</f>
        <v>52.537999999999997</v>
      </c>
      <c r="AH121" s="24">
        <f t="shared" si="168"/>
        <v>41.720999999999997</v>
      </c>
      <c r="AI121" s="24">
        <f t="shared" si="168"/>
        <v>20.498000000000001</v>
      </c>
      <c r="AJ121" s="24">
        <f t="shared" si="168"/>
        <v>102.3</v>
      </c>
      <c r="AK121" s="24">
        <f t="shared" si="168"/>
        <v>160</v>
      </c>
      <c r="AL121" s="24">
        <f t="shared" si="168"/>
        <v>204.1</v>
      </c>
      <c r="AM121" s="24">
        <f t="shared" si="168"/>
        <v>354</v>
      </c>
      <c r="AN121" s="24">
        <f t="shared" si="168"/>
        <v>0</v>
      </c>
      <c r="AO121" s="24">
        <f t="shared" si="168"/>
        <v>0</v>
      </c>
      <c r="AP121" s="24">
        <f t="shared" si="168"/>
        <v>0</v>
      </c>
      <c r="AQ121" s="24">
        <f t="shared" si="168"/>
        <v>0</v>
      </c>
      <c r="AR121" s="24">
        <f t="shared" si="168"/>
        <v>0</v>
      </c>
      <c r="AS121" s="24">
        <f t="shared" si="168"/>
        <v>0</v>
      </c>
    </row>
    <row r="122" spans="1:45" x14ac:dyDescent="0.45">
      <c r="B122" s="47" t="s">
        <v>345</v>
      </c>
      <c r="C122" s="27"/>
      <c r="D122" s="27">
        <f t="shared" ref="D122:R122" si="169">D63</f>
        <v>50.417999999999999</v>
      </c>
      <c r="E122" s="27">
        <f t="shared" si="169"/>
        <v>106.006</v>
      </c>
      <c r="F122" s="27">
        <f t="shared" si="169"/>
        <v>84.399999999999991</v>
      </c>
      <c r="G122" s="27">
        <f t="shared" si="169"/>
        <v>112.337</v>
      </c>
      <c r="H122" s="27">
        <f t="shared" si="169"/>
        <v>494.6</v>
      </c>
      <c r="I122" s="27">
        <f t="shared" si="169"/>
        <v>3196.1000000000004</v>
      </c>
      <c r="J122" s="27">
        <f t="shared" si="169"/>
        <v>2720.9</v>
      </c>
      <c r="K122" s="27">
        <f t="shared" si="169"/>
        <v>1688.3999999999999</v>
      </c>
      <c r="L122" s="27">
        <f t="shared" si="169"/>
        <v>0</v>
      </c>
      <c r="M122" s="27">
        <f t="shared" si="169"/>
        <v>0</v>
      </c>
      <c r="N122" s="27">
        <f t="shared" si="169"/>
        <v>0</v>
      </c>
      <c r="O122" s="27">
        <f t="shared" si="169"/>
        <v>0</v>
      </c>
      <c r="P122" s="27">
        <f t="shared" si="169"/>
        <v>0</v>
      </c>
      <c r="Q122" s="27">
        <f t="shared" si="169"/>
        <v>0</v>
      </c>
      <c r="R122" s="24">
        <f t="shared" si="169"/>
        <v>0</v>
      </c>
      <c r="S122" s="27"/>
      <c r="T122" s="27"/>
      <c r="U122" s="27"/>
      <c r="V122" s="27"/>
      <c r="W122" s="27"/>
      <c r="X122" s="27"/>
      <c r="Y122" s="27"/>
      <c r="Z122" s="27"/>
      <c r="AA122" s="27"/>
      <c r="AB122" s="27"/>
      <c r="AC122" s="27"/>
      <c r="AD122" s="27"/>
      <c r="AE122" s="27"/>
      <c r="AG122" s="27">
        <f t="shared" ref="AG122:AS122" si="170">AG63</f>
        <v>106.006</v>
      </c>
      <c r="AH122" s="27">
        <f t="shared" si="170"/>
        <v>84.399999999999991</v>
      </c>
      <c r="AI122" s="27">
        <f t="shared" si="170"/>
        <v>112.337</v>
      </c>
      <c r="AJ122" s="27">
        <f t="shared" si="170"/>
        <v>494.6</v>
      </c>
      <c r="AK122" s="27">
        <f t="shared" si="170"/>
        <v>3196.1000000000004</v>
      </c>
      <c r="AL122" s="27">
        <f t="shared" si="170"/>
        <v>2720.9</v>
      </c>
      <c r="AM122" s="27">
        <f t="shared" si="170"/>
        <v>1688.3999999999999</v>
      </c>
      <c r="AN122" s="27">
        <f t="shared" si="170"/>
        <v>0</v>
      </c>
      <c r="AO122" s="27">
        <f t="shared" si="170"/>
        <v>0</v>
      </c>
      <c r="AP122" s="27">
        <f t="shared" si="170"/>
        <v>0</v>
      </c>
      <c r="AQ122" s="27">
        <f t="shared" si="170"/>
        <v>0</v>
      </c>
      <c r="AR122" s="27">
        <f t="shared" si="170"/>
        <v>0</v>
      </c>
      <c r="AS122" s="27">
        <f t="shared" si="170"/>
        <v>0</v>
      </c>
    </row>
    <row r="123" spans="1:45" x14ac:dyDescent="0.45">
      <c r="B123" s="60" t="s">
        <v>138</v>
      </c>
      <c r="C123" s="32"/>
      <c r="D123" s="32">
        <f t="shared" ref="D123:R123" si="171">SUM(D117:D120)-SUM(D121:D122)</f>
        <v>-42.192999999999998</v>
      </c>
      <c r="E123" s="32">
        <f t="shared" si="171"/>
        <v>-138.62109999999998</v>
      </c>
      <c r="F123" s="32">
        <f t="shared" si="171"/>
        <v>-83.168249999999972</v>
      </c>
      <c r="G123" s="32">
        <f t="shared" si="171"/>
        <v>-87.159000000000006</v>
      </c>
      <c r="H123" s="32">
        <f t="shared" si="171"/>
        <v>-116.98500000000001</v>
      </c>
      <c r="I123" s="32">
        <f t="shared" si="171"/>
        <v>10971.934999999999</v>
      </c>
      <c r="J123" s="32">
        <f t="shared" si="171"/>
        <v>5987.0299999999988</v>
      </c>
      <c r="K123" s="32">
        <f t="shared" si="171"/>
        <v>5833.0499999999993</v>
      </c>
      <c r="L123" s="32">
        <f t="shared" si="171"/>
        <v>0</v>
      </c>
      <c r="M123" s="32">
        <f t="shared" si="171"/>
        <v>0</v>
      </c>
      <c r="N123" s="32">
        <f t="shared" si="171"/>
        <v>0</v>
      </c>
      <c r="O123" s="32">
        <f t="shared" si="171"/>
        <v>0</v>
      </c>
      <c r="P123" s="32">
        <f t="shared" si="171"/>
        <v>0</v>
      </c>
      <c r="Q123" s="32">
        <f t="shared" si="171"/>
        <v>0</v>
      </c>
      <c r="R123" s="24">
        <f t="shared" si="171"/>
        <v>0</v>
      </c>
      <c r="S123" s="32"/>
      <c r="T123" s="32"/>
      <c r="U123" s="32"/>
      <c r="V123" s="32"/>
      <c r="W123" s="32"/>
      <c r="X123" s="32"/>
      <c r="Y123" s="32"/>
      <c r="Z123" s="32"/>
      <c r="AA123" s="32"/>
      <c r="AB123" s="32"/>
      <c r="AC123" s="32"/>
      <c r="AD123" s="32"/>
      <c r="AE123" s="32"/>
      <c r="AG123" s="32">
        <f>SUM(AG117:AG120)-SUM(AG121:AG122)</f>
        <v>-138.62109999999998</v>
      </c>
      <c r="AH123" s="32">
        <f t="shared" ref="AH123:AM123" si="172">SUM(AH117:AH120)-SUM(AH121:AH122)</f>
        <v>-83.168249999999972</v>
      </c>
      <c r="AI123" s="32">
        <f t="shared" si="172"/>
        <v>-87.159000000000006</v>
      </c>
      <c r="AJ123" s="32">
        <f t="shared" si="172"/>
        <v>-116.98500000000001</v>
      </c>
      <c r="AK123" s="32">
        <f t="shared" si="172"/>
        <v>10971.934999999999</v>
      </c>
      <c r="AL123" s="32">
        <f t="shared" si="172"/>
        <v>5987.0299999999988</v>
      </c>
      <c r="AM123" s="32">
        <f t="shared" si="172"/>
        <v>5833.0499999999993</v>
      </c>
      <c r="AN123" s="32">
        <f t="shared" ref="AN123:AS123" si="173">SUM(AN117:AN120)-SUM(AN121:AN122)</f>
        <v>0</v>
      </c>
      <c r="AO123" s="32">
        <f t="shared" si="173"/>
        <v>0</v>
      </c>
      <c r="AP123" s="32">
        <f t="shared" si="173"/>
        <v>0</v>
      </c>
      <c r="AQ123" s="32">
        <f t="shared" si="173"/>
        <v>0</v>
      </c>
      <c r="AR123" s="32">
        <f t="shared" si="173"/>
        <v>0</v>
      </c>
      <c r="AS123" s="32">
        <f t="shared" si="173"/>
        <v>0</v>
      </c>
    </row>
    <row r="124" spans="1:45" x14ac:dyDescent="0.45">
      <c r="B124" s="62" t="s">
        <v>346</v>
      </c>
      <c r="C124" s="69"/>
      <c r="D124" s="69"/>
      <c r="AG124" s="63"/>
      <c r="AH124" s="63"/>
    </row>
    <row r="125" spans="1:45" x14ac:dyDescent="0.45">
      <c r="B125" s="47" t="s">
        <v>347</v>
      </c>
      <c r="D125" s="24">
        <f t="shared" ref="D125:R125" si="174">D36</f>
        <v>60.584000000000003</v>
      </c>
      <c r="E125" s="24">
        <f t="shared" si="174"/>
        <v>101.521</v>
      </c>
      <c r="F125" s="24">
        <f t="shared" si="174"/>
        <v>115.96600000000001</v>
      </c>
      <c r="G125" s="24">
        <f t="shared" si="174"/>
        <v>148.06200000000001</v>
      </c>
      <c r="H125" s="24">
        <f t="shared" si="174"/>
        <v>327</v>
      </c>
      <c r="I125" s="24">
        <f t="shared" si="174"/>
        <v>534.79999999999995</v>
      </c>
      <c r="J125" s="24">
        <f t="shared" si="174"/>
        <v>827.6</v>
      </c>
      <c r="K125" s="24">
        <f t="shared" si="174"/>
        <v>1055</v>
      </c>
      <c r="L125" s="24">
        <f t="shared" si="174"/>
        <v>0</v>
      </c>
      <c r="M125" s="24">
        <f t="shared" si="174"/>
        <v>0</v>
      </c>
      <c r="N125" s="24">
        <f t="shared" si="174"/>
        <v>0</v>
      </c>
      <c r="O125" s="24">
        <f t="shared" si="174"/>
        <v>0</v>
      </c>
      <c r="P125" s="24">
        <f t="shared" si="174"/>
        <v>0</v>
      </c>
      <c r="Q125" s="24">
        <f t="shared" si="174"/>
        <v>0</v>
      </c>
      <c r="R125" s="24">
        <f t="shared" si="174"/>
        <v>0</v>
      </c>
      <c r="AG125" s="24">
        <f>AG36</f>
        <v>101.521</v>
      </c>
      <c r="AH125" s="24">
        <f t="shared" ref="AH125:AM125" si="175">AH36</f>
        <v>115.96600000000001</v>
      </c>
      <c r="AI125" s="24">
        <f t="shared" si="175"/>
        <v>148.06200000000001</v>
      </c>
      <c r="AJ125" s="24">
        <f t="shared" si="175"/>
        <v>327</v>
      </c>
      <c r="AK125" s="24">
        <f t="shared" si="175"/>
        <v>534.79999999999995</v>
      </c>
      <c r="AL125" s="24">
        <f t="shared" si="175"/>
        <v>827.6</v>
      </c>
      <c r="AM125" s="24">
        <f t="shared" si="175"/>
        <v>1055</v>
      </c>
      <c r="AN125" s="24">
        <f t="shared" ref="AN125:AS125" si="176">AN36</f>
        <v>0</v>
      </c>
      <c r="AO125" s="24">
        <f t="shared" si="176"/>
        <v>0</v>
      </c>
      <c r="AP125" s="24">
        <f t="shared" si="176"/>
        <v>0</v>
      </c>
      <c r="AQ125" s="24">
        <f t="shared" si="176"/>
        <v>0</v>
      </c>
      <c r="AR125" s="24">
        <f t="shared" si="176"/>
        <v>0</v>
      </c>
      <c r="AS125" s="24">
        <f t="shared" si="176"/>
        <v>0</v>
      </c>
    </row>
    <row r="126" spans="1:45" x14ac:dyDescent="0.45">
      <c r="B126" s="47" t="s">
        <v>348</v>
      </c>
      <c r="D126" s="24">
        <f t="shared" ref="D126:R126" si="177">D37</f>
        <v>11.183999999999999</v>
      </c>
      <c r="E126" s="24">
        <f t="shared" si="177"/>
        <v>83.537000000000006</v>
      </c>
      <c r="F126" s="24">
        <f t="shared" si="177"/>
        <v>88.042000000000002</v>
      </c>
      <c r="G126" s="24">
        <f t="shared" si="177"/>
        <v>89.433999999999997</v>
      </c>
      <c r="H126" s="24">
        <f t="shared" si="177"/>
        <v>163.5</v>
      </c>
      <c r="I126" s="24">
        <f t="shared" si="177"/>
        <v>202.4</v>
      </c>
      <c r="J126" s="24">
        <f t="shared" si="177"/>
        <v>219.7</v>
      </c>
      <c r="K126" s="24">
        <f t="shared" si="177"/>
        <v>1166.5999999999999</v>
      </c>
      <c r="L126" s="24">
        <f t="shared" si="177"/>
        <v>0</v>
      </c>
      <c r="M126" s="24">
        <f t="shared" si="177"/>
        <v>0</v>
      </c>
      <c r="N126" s="24">
        <f t="shared" si="177"/>
        <v>0</v>
      </c>
      <c r="O126" s="24">
        <f t="shared" si="177"/>
        <v>0</v>
      </c>
      <c r="P126" s="24">
        <f t="shared" si="177"/>
        <v>0</v>
      </c>
      <c r="Q126" s="24">
        <f t="shared" si="177"/>
        <v>0</v>
      </c>
      <c r="R126" s="24">
        <f t="shared" si="177"/>
        <v>0</v>
      </c>
      <c r="AG126" s="24">
        <f>AG37</f>
        <v>83.537000000000006</v>
      </c>
      <c r="AH126" s="24">
        <f t="shared" ref="AH126:AM126" si="178">AH37</f>
        <v>88.042000000000002</v>
      </c>
      <c r="AI126" s="24">
        <f t="shared" si="178"/>
        <v>89.433999999999997</v>
      </c>
      <c r="AJ126" s="24">
        <f t="shared" si="178"/>
        <v>163.5</v>
      </c>
      <c r="AK126" s="24">
        <f t="shared" si="178"/>
        <v>202.4</v>
      </c>
      <c r="AL126" s="24">
        <f t="shared" si="178"/>
        <v>219.7</v>
      </c>
      <c r="AM126" s="24">
        <f t="shared" si="178"/>
        <v>1166.5999999999999</v>
      </c>
      <c r="AN126" s="24">
        <f t="shared" ref="AN126:AS126" si="179">AN37</f>
        <v>0</v>
      </c>
      <c r="AO126" s="24">
        <f t="shared" si="179"/>
        <v>0</v>
      </c>
      <c r="AP126" s="24">
        <f t="shared" si="179"/>
        <v>0</v>
      </c>
      <c r="AQ126" s="24">
        <f t="shared" si="179"/>
        <v>0</v>
      </c>
      <c r="AR126" s="24">
        <f t="shared" si="179"/>
        <v>0</v>
      </c>
      <c r="AS126" s="24">
        <f t="shared" si="179"/>
        <v>0</v>
      </c>
    </row>
    <row r="127" spans="1:45" x14ac:dyDescent="0.45">
      <c r="B127" s="47" t="s">
        <v>349</v>
      </c>
      <c r="D127" s="24">
        <f t="shared" ref="D127:R127" si="180">D58-D39</f>
        <v>-2E-3</v>
      </c>
      <c r="E127" s="24">
        <f t="shared" si="180"/>
        <v>-0.68700000000000006</v>
      </c>
      <c r="F127" s="24">
        <f t="shared" si="180"/>
        <v>-0.89100000000000001</v>
      </c>
      <c r="G127" s="24">
        <f t="shared" si="180"/>
        <v>-0.75600000000000001</v>
      </c>
      <c r="H127" s="24">
        <f t="shared" si="180"/>
        <v>-161.9</v>
      </c>
      <c r="I127" s="24">
        <f t="shared" si="180"/>
        <v>66.3</v>
      </c>
      <c r="J127" s="24">
        <f t="shared" si="180"/>
        <v>-223.8</v>
      </c>
      <c r="K127" s="24">
        <f t="shared" si="180"/>
        <v>-220.7</v>
      </c>
      <c r="L127" s="24">
        <f t="shared" si="180"/>
        <v>0</v>
      </c>
      <c r="M127" s="24">
        <f t="shared" si="180"/>
        <v>0</v>
      </c>
      <c r="N127" s="24">
        <f t="shared" si="180"/>
        <v>0</v>
      </c>
      <c r="O127" s="24">
        <f t="shared" si="180"/>
        <v>0</v>
      </c>
      <c r="P127" s="24">
        <f t="shared" si="180"/>
        <v>0</v>
      </c>
      <c r="Q127" s="24">
        <f t="shared" si="180"/>
        <v>0</v>
      </c>
      <c r="R127" s="24">
        <f t="shared" si="180"/>
        <v>0</v>
      </c>
      <c r="AG127" s="24">
        <f t="shared" ref="AG127:AL127" si="181">AG58-AG39</f>
        <v>-0.68700000000000006</v>
      </c>
      <c r="AH127" s="24">
        <f t="shared" si="181"/>
        <v>-0.89100000000000001</v>
      </c>
      <c r="AI127" s="24">
        <f t="shared" si="181"/>
        <v>-0.75600000000000001</v>
      </c>
      <c r="AJ127" s="24">
        <f t="shared" si="181"/>
        <v>-161.9</v>
      </c>
      <c r="AK127" s="24">
        <f t="shared" si="181"/>
        <v>66.3</v>
      </c>
      <c r="AL127" s="24">
        <f t="shared" si="181"/>
        <v>-223.8</v>
      </c>
      <c r="AM127" s="24">
        <f>AM58-AM39</f>
        <v>-220.7</v>
      </c>
      <c r="AN127" s="24">
        <f t="shared" ref="AN127:AS127" si="182">AN58-AN39</f>
        <v>0</v>
      </c>
      <c r="AO127" s="24">
        <f t="shared" si="182"/>
        <v>0</v>
      </c>
      <c r="AP127" s="24">
        <f t="shared" si="182"/>
        <v>0</v>
      </c>
      <c r="AQ127" s="24">
        <f t="shared" si="182"/>
        <v>0</v>
      </c>
      <c r="AR127" s="24">
        <f t="shared" si="182"/>
        <v>0</v>
      </c>
      <c r="AS127" s="24">
        <f t="shared" si="182"/>
        <v>0</v>
      </c>
    </row>
    <row r="128" spans="1:45" ht="28.5" x14ac:dyDescent="0.45">
      <c r="B128" s="47" t="s">
        <v>350</v>
      </c>
      <c r="C128" s="25"/>
      <c r="D128" s="25">
        <f t="shared" ref="D128:R128" si="183">D59</f>
        <v>301.46499999999997</v>
      </c>
      <c r="E128" s="25">
        <f t="shared" si="183"/>
        <v>264.375</v>
      </c>
      <c r="F128" s="25">
        <f t="shared" si="183"/>
        <v>259.86500000000001</v>
      </c>
      <c r="G128" s="25">
        <f t="shared" si="183"/>
        <v>97.108999999999995</v>
      </c>
      <c r="H128" s="25">
        <f t="shared" si="183"/>
        <v>109.60000000000001</v>
      </c>
      <c r="I128" s="25">
        <f t="shared" si="183"/>
        <v>212.8</v>
      </c>
      <c r="J128" s="25">
        <f t="shared" si="183"/>
        <v>80.099999999999994</v>
      </c>
      <c r="K128" s="25">
        <f t="shared" si="183"/>
        <v>459.20000000000005</v>
      </c>
      <c r="L128" s="25">
        <f t="shared" si="183"/>
        <v>0</v>
      </c>
      <c r="M128" s="25">
        <f t="shared" si="183"/>
        <v>0</v>
      </c>
      <c r="N128" s="27">
        <f t="shared" si="183"/>
        <v>0</v>
      </c>
      <c r="O128" s="27">
        <f t="shared" si="183"/>
        <v>0</v>
      </c>
      <c r="P128" s="27">
        <f t="shared" si="183"/>
        <v>0</v>
      </c>
      <c r="Q128" s="27">
        <f t="shared" si="183"/>
        <v>0</v>
      </c>
      <c r="R128" s="24">
        <f t="shared" si="183"/>
        <v>0</v>
      </c>
      <c r="S128" s="27"/>
      <c r="T128" s="27"/>
      <c r="U128" s="27"/>
      <c r="V128" s="27"/>
      <c r="W128" s="27"/>
      <c r="X128" s="27"/>
      <c r="Y128" s="27"/>
      <c r="Z128" s="27"/>
      <c r="AA128" s="27"/>
      <c r="AB128" s="27"/>
      <c r="AC128" s="27"/>
      <c r="AD128" s="27"/>
      <c r="AE128" s="27"/>
      <c r="AG128" s="25">
        <f t="shared" ref="AG128:AS128" si="184">AG59</f>
        <v>264.375</v>
      </c>
      <c r="AH128" s="25">
        <f t="shared" si="184"/>
        <v>259.86500000000001</v>
      </c>
      <c r="AI128" s="25">
        <f t="shared" si="184"/>
        <v>97.108999999999995</v>
      </c>
      <c r="AJ128" s="25">
        <f t="shared" si="184"/>
        <v>109.60000000000001</v>
      </c>
      <c r="AK128" s="25">
        <f t="shared" si="184"/>
        <v>212.8</v>
      </c>
      <c r="AL128" s="25">
        <f t="shared" si="184"/>
        <v>80.099999999999994</v>
      </c>
      <c r="AM128" s="25">
        <f t="shared" si="184"/>
        <v>459.20000000000005</v>
      </c>
      <c r="AN128" s="25">
        <f t="shared" si="184"/>
        <v>0</v>
      </c>
      <c r="AO128" s="25">
        <f t="shared" si="184"/>
        <v>0</v>
      </c>
      <c r="AP128" s="27">
        <f t="shared" si="184"/>
        <v>0</v>
      </c>
      <c r="AQ128" s="27">
        <f t="shared" si="184"/>
        <v>0</v>
      </c>
      <c r="AR128" s="27">
        <f t="shared" si="184"/>
        <v>0</v>
      </c>
      <c r="AS128" s="27">
        <f t="shared" si="184"/>
        <v>0</v>
      </c>
    </row>
    <row r="129" spans="2:45" ht="28.5" x14ac:dyDescent="0.45">
      <c r="B129" s="60" t="s">
        <v>351</v>
      </c>
      <c r="C129" s="36"/>
      <c r="D129" s="36">
        <f>SUM(D125:D126)-SUM(D127:D128)</f>
        <v>-229.69499999999996</v>
      </c>
      <c r="E129" s="36">
        <f t="shared" ref="E129:R129" si="185">SUM(E125:E126)-SUM(E127:E128)</f>
        <v>-78.63</v>
      </c>
      <c r="F129" s="36">
        <f t="shared" si="185"/>
        <v>-54.96599999999998</v>
      </c>
      <c r="G129" s="36">
        <f t="shared" si="185"/>
        <v>141.14300000000003</v>
      </c>
      <c r="H129" s="36">
        <f t="shared" si="185"/>
        <v>542.79999999999995</v>
      </c>
      <c r="I129" s="36">
        <f>SUM(I125:I126)-SUM(I127:I128)</f>
        <v>458.09999999999991</v>
      </c>
      <c r="J129" s="36">
        <f t="shared" si="185"/>
        <v>1191</v>
      </c>
      <c r="K129" s="36">
        <f t="shared" si="185"/>
        <v>1983.1</v>
      </c>
      <c r="L129" s="36">
        <f t="shared" si="185"/>
        <v>0</v>
      </c>
      <c r="M129" s="36">
        <f t="shared" si="185"/>
        <v>0</v>
      </c>
      <c r="N129" s="36">
        <f t="shared" si="185"/>
        <v>0</v>
      </c>
      <c r="O129" s="36">
        <f t="shared" si="185"/>
        <v>0</v>
      </c>
      <c r="P129" s="36">
        <f t="shared" si="185"/>
        <v>0</v>
      </c>
      <c r="Q129" s="36">
        <f t="shared" si="185"/>
        <v>0</v>
      </c>
      <c r="R129" s="24">
        <f t="shared" si="185"/>
        <v>0</v>
      </c>
      <c r="S129" s="36"/>
      <c r="T129" s="36"/>
      <c r="U129" s="36"/>
      <c r="V129" s="36"/>
      <c r="W129" s="36"/>
      <c r="X129" s="36"/>
      <c r="Y129" s="36"/>
      <c r="Z129" s="36"/>
      <c r="AA129" s="36"/>
      <c r="AB129" s="36"/>
      <c r="AC129" s="36"/>
      <c r="AD129" s="36"/>
      <c r="AE129" s="36"/>
      <c r="AG129" s="36">
        <f>SUM(AG125:AG126)-SUM(AG127:AG128)</f>
        <v>-78.63</v>
      </c>
      <c r="AH129" s="36">
        <f>SUM(AH125:AH126)-SUM(AH127:AH128)</f>
        <v>-54.96599999999998</v>
      </c>
      <c r="AI129" s="36">
        <f t="shared" ref="AI129:AL129" si="186">SUM(AI125:AI126)-SUM(AI127:AI128)</f>
        <v>141.14300000000003</v>
      </c>
      <c r="AJ129" s="36">
        <f t="shared" si="186"/>
        <v>542.79999999999995</v>
      </c>
      <c r="AK129" s="36">
        <f t="shared" si="186"/>
        <v>458.09999999999991</v>
      </c>
      <c r="AL129" s="36">
        <f t="shared" si="186"/>
        <v>1191</v>
      </c>
      <c r="AM129" s="36">
        <f>SUM(AM125:AM126)-SUM(AM127:AM128)</f>
        <v>1983.1</v>
      </c>
      <c r="AN129" s="36">
        <f t="shared" ref="AN129:AS129" si="187">SUM(AN125:AN126)-SUM(AN127:AN128)</f>
        <v>0</v>
      </c>
      <c r="AO129" s="36">
        <f t="shared" si="187"/>
        <v>0</v>
      </c>
      <c r="AP129" s="36">
        <f t="shared" si="187"/>
        <v>0</v>
      </c>
      <c r="AQ129" s="36">
        <f t="shared" si="187"/>
        <v>0</v>
      </c>
      <c r="AR129" s="36">
        <f t="shared" si="187"/>
        <v>0</v>
      </c>
      <c r="AS129" s="36">
        <f t="shared" si="187"/>
        <v>0</v>
      </c>
    </row>
    <row r="130" spans="2:45" x14ac:dyDescent="0.45">
      <c r="B130" s="62" t="s">
        <v>352</v>
      </c>
      <c r="C130" s="70"/>
      <c r="D130" s="70"/>
      <c r="E130" s="32"/>
      <c r="F130" s="32"/>
      <c r="G130" s="32"/>
      <c r="H130" s="32"/>
      <c r="I130" s="32"/>
      <c r="J130" s="32"/>
      <c r="K130" s="32"/>
      <c r="L130" s="32"/>
      <c r="M130" s="32"/>
      <c r="N130" s="32"/>
      <c r="O130" s="32"/>
      <c r="P130" s="32"/>
      <c r="Q130" s="32"/>
      <c r="S130" s="32"/>
      <c r="T130" s="32"/>
      <c r="U130" s="32"/>
      <c r="V130" s="32"/>
      <c r="W130" s="32"/>
      <c r="X130" s="32"/>
      <c r="Y130" s="32"/>
      <c r="Z130" s="32"/>
      <c r="AA130" s="32"/>
      <c r="AB130" s="32"/>
      <c r="AC130" s="32"/>
      <c r="AD130" s="32"/>
      <c r="AE130" s="32"/>
      <c r="AG130" s="32"/>
      <c r="AH130" s="32"/>
      <c r="AI130" s="32"/>
      <c r="AJ130" s="32"/>
      <c r="AK130" s="32"/>
      <c r="AL130" s="32"/>
      <c r="AM130" s="32"/>
      <c r="AN130" s="32"/>
      <c r="AO130" s="32"/>
      <c r="AP130" s="32"/>
      <c r="AQ130" s="32"/>
      <c r="AR130" s="32"/>
      <c r="AS130" s="32"/>
    </row>
    <row r="131" spans="2:45" x14ac:dyDescent="0.45">
      <c r="B131" s="47" t="s">
        <v>353</v>
      </c>
      <c r="C131" s="216"/>
      <c r="D131" s="216">
        <f>MAX(0,D45-D117)</f>
        <v>303.68</v>
      </c>
      <c r="E131" s="216">
        <f t="shared" ref="E131:R131" si="188">MAX(0,E45-E117)</f>
        <v>169.02609999999999</v>
      </c>
      <c r="F131" s="216">
        <f>MAX(0,F45-F117)</f>
        <v>405.11624999999998</v>
      </c>
      <c r="G131" s="216">
        <f t="shared" si="188"/>
        <v>513.71900000000005</v>
      </c>
      <c r="H131" s="216">
        <f t="shared" si="188"/>
        <v>1186.085</v>
      </c>
      <c r="I131" s="216">
        <f t="shared" si="188"/>
        <v>743.86500000000001</v>
      </c>
      <c r="J131" s="216">
        <f t="shared" si="188"/>
        <v>13009.57</v>
      </c>
      <c r="K131" s="216">
        <f t="shared" si="188"/>
        <v>11472.75</v>
      </c>
      <c r="L131" s="216">
        <f t="shared" si="188"/>
        <v>0</v>
      </c>
      <c r="M131" s="216">
        <f>MAX(0,M45-M117)</f>
        <v>0</v>
      </c>
      <c r="N131" s="216">
        <f t="shared" si="188"/>
        <v>0</v>
      </c>
      <c r="O131" s="216">
        <f t="shared" si="188"/>
        <v>0</v>
      </c>
      <c r="P131" s="216">
        <f t="shared" si="188"/>
        <v>0</v>
      </c>
      <c r="Q131" s="216">
        <f t="shared" si="188"/>
        <v>0</v>
      </c>
      <c r="R131" s="24">
        <f t="shared" si="188"/>
        <v>0</v>
      </c>
      <c r="S131" s="32"/>
      <c r="T131" s="32"/>
      <c r="U131" s="32"/>
      <c r="V131" s="32"/>
      <c r="W131" s="32"/>
      <c r="X131" s="32"/>
      <c r="Y131" s="32"/>
      <c r="Z131" s="32"/>
      <c r="AA131" s="32"/>
      <c r="AB131" s="32"/>
      <c r="AC131" s="32"/>
      <c r="AD131" s="32"/>
      <c r="AE131" s="32"/>
      <c r="AG131" s="216">
        <f>MAX(0,AG45-AG117)</f>
        <v>169.02609999999999</v>
      </c>
      <c r="AH131" s="216">
        <f>MAX(0,AH45-AH117)</f>
        <v>405.11624999999998</v>
      </c>
      <c r="AI131" s="216">
        <f t="shared" ref="AI131:AM131" si="189">MAX(0,AI45-AI117)</f>
        <v>513.71900000000005</v>
      </c>
      <c r="AJ131" s="216">
        <f t="shared" si="189"/>
        <v>1186.085</v>
      </c>
      <c r="AK131" s="216">
        <f t="shared" si="189"/>
        <v>743.86500000000001</v>
      </c>
      <c r="AL131" s="216">
        <f t="shared" si="189"/>
        <v>13009.57</v>
      </c>
      <c r="AM131" s="216">
        <f t="shared" si="189"/>
        <v>11472.75</v>
      </c>
      <c r="AN131" s="216">
        <f t="shared" ref="AN131:AS131" si="190">MAX(0,AN45-AN117)</f>
        <v>0</v>
      </c>
      <c r="AO131" s="216">
        <f t="shared" si="190"/>
        <v>0</v>
      </c>
      <c r="AP131" s="216">
        <f t="shared" si="190"/>
        <v>0</v>
      </c>
      <c r="AQ131" s="216">
        <f t="shared" si="190"/>
        <v>0</v>
      </c>
      <c r="AR131" s="216">
        <f t="shared" si="190"/>
        <v>0</v>
      </c>
      <c r="AS131" s="216">
        <f t="shared" si="190"/>
        <v>0</v>
      </c>
    </row>
    <row r="132" spans="2:45" x14ac:dyDescent="0.45">
      <c r="B132" s="47" t="s">
        <v>354</v>
      </c>
      <c r="D132" s="24">
        <f t="shared" ref="D132:R132" si="191">D38</f>
        <v>6.6000000000000003E-2</v>
      </c>
      <c r="E132" s="24">
        <f t="shared" si="191"/>
        <v>1.9E-2</v>
      </c>
      <c r="F132" s="24">
        <f t="shared" si="191"/>
        <v>1.7999999999999999E-2</v>
      </c>
      <c r="G132" s="24">
        <f t="shared" si="191"/>
        <v>0</v>
      </c>
      <c r="H132" s="24">
        <f t="shared" si="191"/>
        <v>0</v>
      </c>
      <c r="I132" s="24">
        <f t="shared" si="191"/>
        <v>21.3</v>
      </c>
      <c r="J132" s="24">
        <f t="shared" si="191"/>
        <v>80.2</v>
      </c>
      <c r="K132" s="24">
        <f t="shared" si="191"/>
        <v>1176.0999999999999</v>
      </c>
      <c r="L132" s="24">
        <f t="shared" si="191"/>
        <v>0</v>
      </c>
      <c r="M132" s="24">
        <f t="shared" si="191"/>
        <v>0</v>
      </c>
      <c r="N132" s="24">
        <f t="shared" si="191"/>
        <v>0</v>
      </c>
      <c r="O132" s="24">
        <f t="shared" si="191"/>
        <v>0</v>
      </c>
      <c r="P132" s="24">
        <f t="shared" si="191"/>
        <v>0</v>
      </c>
      <c r="Q132" s="24">
        <f t="shared" si="191"/>
        <v>0</v>
      </c>
      <c r="R132" s="24">
        <f t="shared" si="191"/>
        <v>0</v>
      </c>
      <c r="AG132" s="24">
        <f>AG38</f>
        <v>1.9E-2</v>
      </c>
      <c r="AH132" s="24">
        <f t="shared" ref="AH132:AM132" si="192">AH38</f>
        <v>1.7999999999999999E-2</v>
      </c>
      <c r="AI132" s="24">
        <f t="shared" si="192"/>
        <v>0</v>
      </c>
      <c r="AJ132" s="24">
        <f t="shared" si="192"/>
        <v>0</v>
      </c>
      <c r="AK132" s="24">
        <f t="shared" si="192"/>
        <v>21.3</v>
      </c>
      <c r="AL132" s="24">
        <f t="shared" si="192"/>
        <v>80.2</v>
      </c>
      <c r="AM132" s="24">
        <f t="shared" si="192"/>
        <v>1176.0999999999999</v>
      </c>
      <c r="AN132" s="24">
        <f t="shared" ref="AN132:AS132" si="193">AN38</f>
        <v>0</v>
      </c>
      <c r="AO132" s="24">
        <f t="shared" si="193"/>
        <v>0</v>
      </c>
      <c r="AP132" s="24">
        <f t="shared" si="193"/>
        <v>0</v>
      </c>
      <c r="AQ132" s="24">
        <f t="shared" si="193"/>
        <v>0</v>
      </c>
      <c r="AR132" s="24">
        <f t="shared" si="193"/>
        <v>0</v>
      </c>
      <c r="AS132" s="24">
        <f t="shared" si="193"/>
        <v>0</v>
      </c>
    </row>
    <row r="133" spans="2:45" ht="14.65" thickBot="1" x14ac:dyDescent="0.5">
      <c r="B133" s="60" t="s">
        <v>355</v>
      </c>
      <c r="C133" s="64"/>
      <c r="D133" s="64">
        <f t="shared" ref="D133:R133" si="194">SUM(D131:D132)</f>
        <v>303.74599999999998</v>
      </c>
      <c r="E133" s="64">
        <f t="shared" si="194"/>
        <v>169.04509999999999</v>
      </c>
      <c r="F133" s="64">
        <f t="shared" si="194"/>
        <v>405.13424999999995</v>
      </c>
      <c r="G133" s="64">
        <f t="shared" si="194"/>
        <v>513.71900000000005</v>
      </c>
      <c r="H133" s="64">
        <f t="shared" si="194"/>
        <v>1186.085</v>
      </c>
      <c r="I133" s="64">
        <f t="shared" si="194"/>
        <v>765.16499999999996</v>
      </c>
      <c r="J133" s="64">
        <f t="shared" si="194"/>
        <v>13089.77</v>
      </c>
      <c r="K133" s="64">
        <f t="shared" si="194"/>
        <v>12648.85</v>
      </c>
      <c r="L133" s="64">
        <f t="shared" si="194"/>
        <v>0</v>
      </c>
      <c r="M133" s="64">
        <f t="shared" si="194"/>
        <v>0</v>
      </c>
      <c r="N133" s="64">
        <f t="shared" si="194"/>
        <v>0</v>
      </c>
      <c r="O133" s="64">
        <f t="shared" si="194"/>
        <v>0</v>
      </c>
      <c r="P133" s="64">
        <f t="shared" si="194"/>
        <v>0</v>
      </c>
      <c r="Q133" s="64">
        <f t="shared" si="194"/>
        <v>0</v>
      </c>
      <c r="R133" s="24">
        <f t="shared" si="194"/>
        <v>0</v>
      </c>
      <c r="S133" s="64"/>
      <c r="T133" s="64"/>
      <c r="U133" s="64"/>
      <c r="V133" s="64"/>
      <c r="W133" s="64"/>
      <c r="X133" s="64"/>
      <c r="Y133" s="64"/>
      <c r="Z133" s="64"/>
      <c r="AA133" s="64"/>
      <c r="AB133" s="64"/>
      <c r="AC133" s="64"/>
      <c r="AD133" s="64"/>
      <c r="AE133" s="64"/>
      <c r="AG133" s="64">
        <f>SUM(AG131:AG132)</f>
        <v>169.04509999999999</v>
      </c>
      <c r="AH133" s="64">
        <f>SUM(AH131:AH132)</f>
        <v>405.13424999999995</v>
      </c>
      <c r="AI133" s="64">
        <f t="shared" ref="AI133:AM133" si="195">SUM(AI131:AI132)</f>
        <v>513.71900000000005</v>
      </c>
      <c r="AJ133" s="64">
        <f t="shared" si="195"/>
        <v>1186.085</v>
      </c>
      <c r="AK133" s="64">
        <f t="shared" si="195"/>
        <v>765.16499999999996</v>
      </c>
      <c r="AL133" s="64">
        <f t="shared" si="195"/>
        <v>13089.77</v>
      </c>
      <c r="AM133" s="64">
        <f t="shared" si="195"/>
        <v>12648.85</v>
      </c>
      <c r="AN133" s="64">
        <f t="shared" ref="AN133:AS133" si="196">SUM(AN131:AN132)</f>
        <v>0</v>
      </c>
      <c r="AO133" s="64">
        <f t="shared" si="196"/>
        <v>0</v>
      </c>
      <c r="AP133" s="64">
        <f t="shared" si="196"/>
        <v>0</v>
      </c>
      <c r="AQ133" s="64">
        <f t="shared" si="196"/>
        <v>0</v>
      </c>
      <c r="AR133" s="64">
        <f t="shared" si="196"/>
        <v>0</v>
      </c>
      <c r="AS133" s="64">
        <f t="shared" si="196"/>
        <v>0</v>
      </c>
    </row>
    <row r="134" spans="2:45" ht="14.65" thickTop="1" x14ac:dyDescent="0.45">
      <c r="B134" s="42" t="s">
        <v>356</v>
      </c>
      <c r="C134" s="32"/>
      <c r="D134" s="32">
        <f t="shared" ref="D134:R134" si="197">SUM(D123,D129,D133)</f>
        <v>31.858000000000004</v>
      </c>
      <c r="E134" s="32">
        <f t="shared" si="197"/>
        <v>-48.205999999999989</v>
      </c>
      <c r="F134" s="32">
        <f t="shared" si="197"/>
        <v>267</v>
      </c>
      <c r="G134" s="32">
        <f t="shared" si="197"/>
        <v>567.70300000000009</v>
      </c>
      <c r="H134" s="32">
        <f t="shared" si="197"/>
        <v>1611.9</v>
      </c>
      <c r="I134" s="32">
        <f t="shared" si="197"/>
        <v>12195.2</v>
      </c>
      <c r="J134" s="32">
        <f t="shared" si="197"/>
        <v>20267.8</v>
      </c>
      <c r="K134" s="32">
        <f t="shared" si="197"/>
        <v>20465</v>
      </c>
      <c r="L134" s="32">
        <f t="shared" si="197"/>
        <v>0</v>
      </c>
      <c r="M134" s="32">
        <f t="shared" si="197"/>
        <v>0</v>
      </c>
      <c r="N134" s="32">
        <f t="shared" si="197"/>
        <v>0</v>
      </c>
      <c r="O134" s="32">
        <f t="shared" si="197"/>
        <v>0</v>
      </c>
      <c r="P134" s="32">
        <f t="shared" si="197"/>
        <v>0</v>
      </c>
      <c r="Q134" s="32">
        <f t="shared" si="197"/>
        <v>0</v>
      </c>
      <c r="R134" s="24">
        <f t="shared" si="197"/>
        <v>0</v>
      </c>
      <c r="S134" s="32"/>
      <c r="T134" s="32"/>
      <c r="U134" s="32"/>
      <c r="V134" s="32"/>
      <c r="W134" s="32"/>
      <c r="X134" s="32"/>
      <c r="Y134" s="32"/>
      <c r="Z134" s="32"/>
      <c r="AA134" s="32"/>
      <c r="AB134" s="32"/>
      <c r="AC134" s="32"/>
      <c r="AD134" s="32"/>
      <c r="AE134" s="32"/>
      <c r="AG134" s="32">
        <f>SUM(AG123,AG129,AG133)</f>
        <v>-48.205999999999989</v>
      </c>
      <c r="AH134" s="32">
        <f t="shared" ref="AH134:AM134" si="198">SUM(AH123,AH129,AH133)</f>
        <v>267</v>
      </c>
      <c r="AI134" s="32">
        <f t="shared" si="198"/>
        <v>567.70300000000009</v>
      </c>
      <c r="AJ134" s="32">
        <f t="shared" si="198"/>
        <v>1611.9</v>
      </c>
      <c r="AK134" s="32">
        <f t="shared" si="198"/>
        <v>12195.2</v>
      </c>
      <c r="AL134" s="32">
        <f t="shared" si="198"/>
        <v>20267.8</v>
      </c>
      <c r="AM134" s="32">
        <f t="shared" si="198"/>
        <v>20465</v>
      </c>
      <c r="AN134" s="32">
        <f t="shared" ref="AN134:AS134" si="199">SUM(AN123,AN129,AN133)</f>
        <v>0</v>
      </c>
      <c r="AO134" s="32">
        <f t="shared" si="199"/>
        <v>0</v>
      </c>
      <c r="AP134" s="32">
        <f t="shared" si="199"/>
        <v>0</v>
      </c>
      <c r="AQ134" s="32">
        <f t="shared" si="199"/>
        <v>0</v>
      </c>
      <c r="AR134" s="32">
        <f t="shared" si="199"/>
        <v>0</v>
      </c>
      <c r="AS134" s="32">
        <f t="shared" si="199"/>
        <v>0</v>
      </c>
    </row>
    <row r="135" spans="2:45" x14ac:dyDescent="0.45">
      <c r="B135" s="42"/>
      <c r="C135" s="71"/>
      <c r="D135" s="71"/>
      <c r="E135" s="65"/>
      <c r="F135" s="65"/>
      <c r="G135" s="65"/>
      <c r="H135" s="65"/>
      <c r="I135" s="65"/>
      <c r="J135" s="32"/>
      <c r="K135" s="32"/>
      <c r="L135" s="32"/>
      <c r="M135" s="32"/>
      <c r="N135" s="32"/>
      <c r="O135" s="32"/>
      <c r="P135" s="32"/>
      <c r="Q135" s="32"/>
      <c r="S135" s="32"/>
      <c r="T135" s="32"/>
      <c r="U135" s="32"/>
      <c r="V135" s="32"/>
      <c r="W135" s="32"/>
      <c r="X135" s="32"/>
      <c r="Y135" s="32"/>
      <c r="Z135" s="32"/>
      <c r="AA135" s="32"/>
      <c r="AB135" s="32"/>
      <c r="AC135" s="32"/>
      <c r="AD135" s="32"/>
      <c r="AE135" s="32"/>
      <c r="AG135" s="65"/>
      <c r="AH135" s="65"/>
      <c r="AI135" s="65"/>
      <c r="AJ135" s="65"/>
      <c r="AK135" s="65"/>
      <c r="AL135" s="65"/>
      <c r="AM135" s="65"/>
      <c r="AN135" s="65"/>
      <c r="AO135" s="65"/>
      <c r="AP135" s="65"/>
      <c r="AQ135" s="32"/>
      <c r="AR135" s="32"/>
      <c r="AS135" s="32"/>
    </row>
    <row r="136" spans="2:45" x14ac:dyDescent="0.45">
      <c r="B136" s="42" t="s">
        <v>357</v>
      </c>
      <c r="C136" s="71"/>
      <c r="D136" s="71"/>
      <c r="E136" s="65"/>
      <c r="F136" s="65"/>
      <c r="G136" s="65"/>
      <c r="H136" s="65"/>
      <c r="I136" s="65"/>
      <c r="AG136" s="65"/>
      <c r="AH136" s="65"/>
      <c r="AI136" s="65"/>
      <c r="AJ136" s="65"/>
      <c r="AK136" s="65"/>
      <c r="AL136" s="65"/>
      <c r="AM136" s="65"/>
      <c r="AN136" s="65"/>
      <c r="AO136" s="65"/>
      <c r="AP136" s="65"/>
    </row>
    <row r="137" spans="2:45" x14ac:dyDescent="0.45">
      <c r="B137" s="47" t="s">
        <v>358</v>
      </c>
      <c r="D137" s="24">
        <f t="shared" ref="D137:R137" si="200">D64</f>
        <v>0</v>
      </c>
      <c r="E137" s="24">
        <f t="shared" si="200"/>
        <v>0</v>
      </c>
      <c r="F137" s="24">
        <f t="shared" si="200"/>
        <v>0</v>
      </c>
      <c r="G137" s="24">
        <f t="shared" si="200"/>
        <v>5.3070000000000004</v>
      </c>
      <c r="H137" s="24">
        <f t="shared" si="200"/>
        <v>9.1</v>
      </c>
      <c r="I137" s="24">
        <f t="shared" si="200"/>
        <v>129.9</v>
      </c>
      <c r="J137" s="24">
        <f t="shared" si="200"/>
        <v>36</v>
      </c>
      <c r="K137" s="24">
        <f t="shared" si="200"/>
        <v>28.1</v>
      </c>
      <c r="L137" s="24">
        <f t="shared" si="200"/>
        <v>0</v>
      </c>
      <c r="M137" s="24">
        <f t="shared" si="200"/>
        <v>0</v>
      </c>
      <c r="N137" s="24">
        <f t="shared" si="200"/>
        <v>0</v>
      </c>
      <c r="O137" s="24">
        <f t="shared" si="200"/>
        <v>0</v>
      </c>
      <c r="P137" s="24">
        <f t="shared" si="200"/>
        <v>0</v>
      </c>
      <c r="Q137" s="24">
        <f t="shared" si="200"/>
        <v>0</v>
      </c>
      <c r="R137" s="24">
        <f t="shared" si="200"/>
        <v>0</v>
      </c>
      <c r="AG137" s="24">
        <f t="shared" ref="AG137:AS137" si="201">AG64</f>
        <v>0</v>
      </c>
      <c r="AH137" s="24">
        <f t="shared" si="201"/>
        <v>0</v>
      </c>
      <c r="AI137" s="24">
        <f t="shared" si="201"/>
        <v>5.3070000000000004</v>
      </c>
      <c r="AJ137" s="24">
        <f t="shared" si="201"/>
        <v>9.1</v>
      </c>
      <c r="AK137" s="24">
        <f t="shared" si="201"/>
        <v>129.9</v>
      </c>
      <c r="AL137" s="24">
        <f t="shared" si="201"/>
        <v>36</v>
      </c>
      <c r="AM137" s="24">
        <f t="shared" si="201"/>
        <v>28.1</v>
      </c>
      <c r="AN137" s="24">
        <f t="shared" si="201"/>
        <v>0</v>
      </c>
      <c r="AO137" s="24">
        <f t="shared" si="201"/>
        <v>0</v>
      </c>
      <c r="AP137" s="24">
        <f t="shared" si="201"/>
        <v>0</v>
      </c>
      <c r="AQ137" s="24">
        <f t="shared" si="201"/>
        <v>0</v>
      </c>
      <c r="AR137" s="24">
        <f t="shared" si="201"/>
        <v>0</v>
      </c>
      <c r="AS137" s="24">
        <f t="shared" si="201"/>
        <v>0</v>
      </c>
    </row>
    <row r="138" spans="2:45" x14ac:dyDescent="0.45">
      <c r="B138" s="47" t="s">
        <v>359</v>
      </c>
      <c r="D138" s="24">
        <f t="shared" ref="D138:R138" si="202">D57</f>
        <v>0</v>
      </c>
      <c r="E138" s="24">
        <f t="shared" si="202"/>
        <v>0</v>
      </c>
      <c r="F138" s="24">
        <f t="shared" si="202"/>
        <v>0</v>
      </c>
      <c r="G138" s="24">
        <f t="shared" si="202"/>
        <v>68.903999999999996</v>
      </c>
      <c r="H138" s="24">
        <f t="shared" si="202"/>
        <v>231</v>
      </c>
      <c r="I138" s="24">
        <f t="shared" si="202"/>
        <v>171.6</v>
      </c>
      <c r="J138" s="24">
        <f t="shared" si="202"/>
        <v>176.2</v>
      </c>
      <c r="K138" s="24">
        <f t="shared" si="202"/>
        <v>191</v>
      </c>
      <c r="L138" s="24">
        <f t="shared" si="202"/>
        <v>0</v>
      </c>
      <c r="M138" s="24">
        <f t="shared" si="202"/>
        <v>0</v>
      </c>
      <c r="N138" s="24">
        <f t="shared" si="202"/>
        <v>0</v>
      </c>
      <c r="O138" s="24">
        <f t="shared" si="202"/>
        <v>0</v>
      </c>
      <c r="P138" s="24">
        <f t="shared" si="202"/>
        <v>0</v>
      </c>
      <c r="Q138" s="24">
        <f t="shared" si="202"/>
        <v>0</v>
      </c>
      <c r="R138" s="24">
        <f t="shared" si="202"/>
        <v>0</v>
      </c>
      <c r="AG138" s="24">
        <f t="shared" ref="AG138:AS138" si="203">AG57</f>
        <v>0</v>
      </c>
      <c r="AH138" s="24">
        <f t="shared" si="203"/>
        <v>0</v>
      </c>
      <c r="AI138" s="24">
        <f t="shared" si="203"/>
        <v>68.903999999999996</v>
      </c>
      <c r="AJ138" s="24">
        <f t="shared" si="203"/>
        <v>231</v>
      </c>
      <c r="AK138" s="24">
        <f t="shared" si="203"/>
        <v>171.6</v>
      </c>
      <c r="AL138" s="24">
        <f t="shared" si="203"/>
        <v>176.2</v>
      </c>
      <c r="AM138" s="24">
        <f t="shared" si="203"/>
        <v>191</v>
      </c>
      <c r="AN138" s="24">
        <f t="shared" si="203"/>
        <v>0</v>
      </c>
      <c r="AO138" s="24">
        <f t="shared" si="203"/>
        <v>0</v>
      </c>
      <c r="AP138" s="24">
        <f t="shared" si="203"/>
        <v>0</v>
      </c>
      <c r="AQ138" s="24">
        <f t="shared" si="203"/>
        <v>0</v>
      </c>
      <c r="AR138" s="24">
        <f t="shared" si="203"/>
        <v>0</v>
      </c>
      <c r="AS138" s="24">
        <f t="shared" si="203"/>
        <v>0</v>
      </c>
    </row>
    <row r="139" spans="2:45" x14ac:dyDescent="0.45">
      <c r="B139" s="60" t="s">
        <v>360</v>
      </c>
      <c r="C139" s="32"/>
      <c r="D139" s="32">
        <f t="shared" ref="D139:R139" si="204">SUM(D137:D138)</f>
        <v>0</v>
      </c>
      <c r="E139" s="32">
        <f t="shared" si="204"/>
        <v>0</v>
      </c>
      <c r="F139" s="32">
        <f t="shared" si="204"/>
        <v>0</v>
      </c>
      <c r="G139" s="32">
        <f t="shared" si="204"/>
        <v>74.210999999999999</v>
      </c>
      <c r="H139" s="32">
        <f t="shared" si="204"/>
        <v>240.1</v>
      </c>
      <c r="I139" s="32">
        <f t="shared" si="204"/>
        <v>301.5</v>
      </c>
      <c r="J139" s="32">
        <f t="shared" si="204"/>
        <v>212.2</v>
      </c>
      <c r="K139" s="32">
        <f t="shared" si="204"/>
        <v>219.1</v>
      </c>
      <c r="L139" s="32">
        <f t="shared" si="204"/>
        <v>0</v>
      </c>
      <c r="M139" s="32">
        <f t="shared" si="204"/>
        <v>0</v>
      </c>
      <c r="N139" s="32">
        <f t="shared" si="204"/>
        <v>0</v>
      </c>
      <c r="O139" s="32">
        <f t="shared" si="204"/>
        <v>0</v>
      </c>
      <c r="P139" s="32">
        <f t="shared" si="204"/>
        <v>0</v>
      </c>
      <c r="Q139" s="32">
        <f t="shared" si="204"/>
        <v>0</v>
      </c>
      <c r="R139" s="24">
        <f t="shared" si="204"/>
        <v>0</v>
      </c>
      <c r="S139" s="32"/>
      <c r="T139" s="32"/>
      <c r="U139" s="32"/>
      <c r="V139" s="32"/>
      <c r="W139" s="32"/>
      <c r="X139" s="32"/>
      <c r="Y139" s="32"/>
      <c r="Z139" s="32"/>
      <c r="AA139" s="32"/>
      <c r="AB139" s="32"/>
      <c r="AC139" s="32"/>
      <c r="AD139" s="32"/>
      <c r="AE139" s="32"/>
      <c r="AG139" s="32">
        <f t="shared" ref="AG139:AS139" si="205">SUM(AG137:AG138)</f>
        <v>0</v>
      </c>
      <c r="AH139" s="32">
        <f t="shared" si="205"/>
        <v>0</v>
      </c>
      <c r="AI139" s="32">
        <f t="shared" si="205"/>
        <v>74.210999999999999</v>
      </c>
      <c r="AJ139" s="32">
        <f t="shared" si="205"/>
        <v>240.1</v>
      </c>
      <c r="AK139" s="32">
        <f t="shared" si="205"/>
        <v>301.5</v>
      </c>
      <c r="AL139" s="32">
        <f t="shared" si="205"/>
        <v>212.2</v>
      </c>
      <c r="AM139" s="32">
        <f t="shared" si="205"/>
        <v>219.1</v>
      </c>
      <c r="AN139" s="32">
        <f t="shared" si="205"/>
        <v>0</v>
      </c>
      <c r="AO139" s="32">
        <f t="shared" si="205"/>
        <v>0</v>
      </c>
      <c r="AP139" s="32">
        <f t="shared" si="205"/>
        <v>0</v>
      </c>
      <c r="AQ139" s="32">
        <f t="shared" si="205"/>
        <v>0</v>
      </c>
      <c r="AR139" s="32">
        <f t="shared" si="205"/>
        <v>0</v>
      </c>
      <c r="AS139" s="32">
        <f t="shared" si="205"/>
        <v>0</v>
      </c>
    </row>
    <row r="140" spans="2:45" x14ac:dyDescent="0.45">
      <c r="B140" s="62" t="s">
        <v>361</v>
      </c>
      <c r="C140" s="69"/>
      <c r="D140" s="69"/>
    </row>
    <row r="141" spans="2:45" x14ac:dyDescent="0.45">
      <c r="B141" s="47" t="s">
        <v>362</v>
      </c>
      <c r="D141" s="24">
        <f t="shared" ref="D141:R141" si="206">D52</f>
        <v>30.470999999999997</v>
      </c>
      <c r="E141" s="24">
        <f t="shared" si="206"/>
        <v>-49.295999999999978</v>
      </c>
      <c r="F141" s="24">
        <f t="shared" si="206"/>
        <v>266.15299999999996</v>
      </c>
      <c r="G141" s="24">
        <f t="shared" si="206"/>
        <v>493.49200000000008</v>
      </c>
      <c r="H141" s="24">
        <f t="shared" si="206"/>
        <v>1371.8000000000002</v>
      </c>
      <c r="I141" s="24">
        <f t="shared" si="206"/>
        <v>11893.699999999999</v>
      </c>
      <c r="J141" s="24">
        <f t="shared" si="206"/>
        <v>20055.599999999999</v>
      </c>
      <c r="K141" s="24">
        <f t="shared" si="206"/>
        <v>20245.900000000001</v>
      </c>
      <c r="L141" s="24">
        <f t="shared" si="206"/>
        <v>0</v>
      </c>
      <c r="M141" s="24">
        <f t="shared" si="206"/>
        <v>0</v>
      </c>
      <c r="N141" s="24">
        <f t="shared" si="206"/>
        <v>0</v>
      </c>
      <c r="O141" s="24">
        <f t="shared" si="206"/>
        <v>0</v>
      </c>
      <c r="P141" s="24">
        <f t="shared" si="206"/>
        <v>0</v>
      </c>
      <c r="Q141" s="24">
        <f t="shared" si="206"/>
        <v>0</v>
      </c>
      <c r="R141" s="24">
        <f t="shared" si="206"/>
        <v>0</v>
      </c>
      <c r="AG141" s="24">
        <f t="shared" ref="AG141:AS141" si="207">AG52</f>
        <v>-49.295999999999978</v>
      </c>
      <c r="AH141" s="24">
        <f t="shared" si="207"/>
        <v>266.15299999999996</v>
      </c>
      <c r="AI141" s="24">
        <f t="shared" si="207"/>
        <v>493.49200000000008</v>
      </c>
      <c r="AJ141" s="24">
        <f t="shared" si="207"/>
        <v>1371.8000000000002</v>
      </c>
      <c r="AK141" s="24">
        <f t="shared" si="207"/>
        <v>11893.699999999999</v>
      </c>
      <c r="AL141" s="24">
        <f t="shared" si="207"/>
        <v>20055.599999999999</v>
      </c>
      <c r="AM141" s="24">
        <f t="shared" si="207"/>
        <v>20245.900000000001</v>
      </c>
      <c r="AN141" s="24">
        <f t="shared" si="207"/>
        <v>0</v>
      </c>
      <c r="AO141" s="24">
        <f t="shared" si="207"/>
        <v>0</v>
      </c>
      <c r="AP141" s="24">
        <f t="shared" si="207"/>
        <v>0</v>
      </c>
      <c r="AQ141" s="24">
        <f t="shared" si="207"/>
        <v>0</v>
      </c>
      <c r="AR141" s="24">
        <f t="shared" si="207"/>
        <v>0</v>
      </c>
      <c r="AS141" s="24">
        <f t="shared" si="207"/>
        <v>0</v>
      </c>
    </row>
    <row r="142" spans="2:45" x14ac:dyDescent="0.45">
      <c r="B142" s="59" t="s">
        <v>363</v>
      </c>
      <c r="D142" s="24">
        <f t="shared" ref="D142:R142" si="208">D54</f>
        <v>1.387</v>
      </c>
      <c r="E142" s="24">
        <f t="shared" si="208"/>
        <v>1.0900000000000001</v>
      </c>
      <c r="F142" s="24">
        <f t="shared" si="208"/>
        <v>0.84699999999999998</v>
      </c>
      <c r="G142" s="24">
        <f t="shared" si="208"/>
        <v>0</v>
      </c>
      <c r="H142" s="24">
        <f t="shared" si="208"/>
        <v>0</v>
      </c>
      <c r="I142" s="24">
        <f t="shared" si="208"/>
        <v>0</v>
      </c>
      <c r="J142" s="24">
        <f t="shared" si="208"/>
        <v>0</v>
      </c>
      <c r="K142" s="24">
        <f t="shared" si="208"/>
        <v>0</v>
      </c>
      <c r="L142" s="24">
        <f t="shared" si="208"/>
        <v>0</v>
      </c>
      <c r="M142" s="24">
        <f t="shared" si="208"/>
        <v>0</v>
      </c>
      <c r="N142" s="24">
        <f t="shared" si="208"/>
        <v>0</v>
      </c>
      <c r="O142" s="24">
        <f t="shared" si="208"/>
        <v>0</v>
      </c>
      <c r="P142" s="24">
        <f t="shared" si="208"/>
        <v>0</v>
      </c>
      <c r="Q142" s="24">
        <f t="shared" si="208"/>
        <v>0</v>
      </c>
      <c r="R142" s="24">
        <f t="shared" si="208"/>
        <v>0</v>
      </c>
      <c r="AG142" s="24">
        <f t="shared" ref="AG142:AS142" si="209">AG54</f>
        <v>1.0900000000000001</v>
      </c>
      <c r="AH142" s="24">
        <f t="shared" si="209"/>
        <v>0.84699999999999998</v>
      </c>
      <c r="AI142" s="24">
        <f t="shared" si="209"/>
        <v>0</v>
      </c>
      <c r="AJ142" s="24">
        <f t="shared" si="209"/>
        <v>0</v>
      </c>
      <c r="AK142" s="24">
        <f t="shared" si="209"/>
        <v>0</v>
      </c>
      <c r="AL142" s="24">
        <f t="shared" si="209"/>
        <v>0</v>
      </c>
      <c r="AM142" s="24">
        <f t="shared" si="209"/>
        <v>0</v>
      </c>
      <c r="AN142" s="24">
        <f t="shared" si="209"/>
        <v>0</v>
      </c>
      <c r="AO142" s="24">
        <f t="shared" si="209"/>
        <v>0</v>
      </c>
      <c r="AP142" s="24">
        <f t="shared" si="209"/>
        <v>0</v>
      </c>
      <c r="AQ142" s="24">
        <f t="shared" si="209"/>
        <v>0</v>
      </c>
      <c r="AR142" s="24">
        <f t="shared" si="209"/>
        <v>0</v>
      </c>
      <c r="AS142" s="24">
        <f t="shared" si="209"/>
        <v>0</v>
      </c>
    </row>
    <row r="143" spans="2:45" ht="14.65" thickBot="1" x14ac:dyDescent="0.5">
      <c r="B143" s="66" t="s">
        <v>364</v>
      </c>
      <c r="C143" s="64"/>
      <c r="D143" s="64">
        <f t="shared" ref="D143:R143" si="210">SUM(D141:D142)</f>
        <v>31.857999999999997</v>
      </c>
      <c r="E143" s="64">
        <f>SUM(E141:E142)</f>
        <v>-48.205999999999975</v>
      </c>
      <c r="F143" s="64">
        <f t="shared" si="210"/>
        <v>266.99999999999994</v>
      </c>
      <c r="G143" s="64">
        <f t="shared" si="210"/>
        <v>493.49200000000008</v>
      </c>
      <c r="H143" s="64">
        <f t="shared" si="210"/>
        <v>1371.8000000000002</v>
      </c>
      <c r="I143" s="64">
        <f t="shared" si="210"/>
        <v>11893.699999999999</v>
      </c>
      <c r="J143" s="64">
        <f t="shared" si="210"/>
        <v>20055.599999999999</v>
      </c>
      <c r="K143" s="64">
        <f t="shared" si="210"/>
        <v>20245.900000000001</v>
      </c>
      <c r="L143" s="64">
        <f t="shared" si="210"/>
        <v>0</v>
      </c>
      <c r="M143" s="64">
        <f t="shared" si="210"/>
        <v>0</v>
      </c>
      <c r="N143" s="64">
        <f t="shared" si="210"/>
        <v>0</v>
      </c>
      <c r="O143" s="64">
        <f t="shared" si="210"/>
        <v>0</v>
      </c>
      <c r="P143" s="64">
        <f t="shared" si="210"/>
        <v>0</v>
      </c>
      <c r="Q143" s="64">
        <f t="shared" si="210"/>
        <v>0</v>
      </c>
      <c r="R143" s="24">
        <f t="shared" si="210"/>
        <v>0</v>
      </c>
      <c r="S143" s="64"/>
      <c r="T143" s="64"/>
      <c r="U143" s="64"/>
      <c r="V143" s="64"/>
      <c r="W143" s="64"/>
      <c r="X143" s="64"/>
      <c r="Y143" s="64"/>
      <c r="Z143" s="64"/>
      <c r="AA143" s="64"/>
      <c r="AB143" s="64"/>
      <c r="AC143" s="64"/>
      <c r="AD143" s="64"/>
      <c r="AE143" s="64"/>
      <c r="AG143" s="64">
        <f>SUM(AG141:AG142)</f>
        <v>-48.205999999999975</v>
      </c>
      <c r="AH143" s="64">
        <f t="shared" ref="AH143:AS143" si="211">SUM(AH141:AH142)</f>
        <v>266.99999999999994</v>
      </c>
      <c r="AI143" s="64">
        <f t="shared" si="211"/>
        <v>493.49200000000008</v>
      </c>
      <c r="AJ143" s="64">
        <f t="shared" si="211"/>
        <v>1371.8000000000002</v>
      </c>
      <c r="AK143" s="64">
        <f t="shared" si="211"/>
        <v>11893.699999999999</v>
      </c>
      <c r="AL143" s="64">
        <f t="shared" si="211"/>
        <v>20055.599999999999</v>
      </c>
      <c r="AM143" s="64">
        <f t="shared" si="211"/>
        <v>20245.900000000001</v>
      </c>
      <c r="AN143" s="64">
        <f t="shared" si="211"/>
        <v>0</v>
      </c>
      <c r="AO143" s="64">
        <f t="shared" si="211"/>
        <v>0</v>
      </c>
      <c r="AP143" s="64">
        <f t="shared" si="211"/>
        <v>0</v>
      </c>
      <c r="AQ143" s="64">
        <f t="shared" si="211"/>
        <v>0</v>
      </c>
      <c r="AR143" s="64">
        <f t="shared" si="211"/>
        <v>0</v>
      </c>
      <c r="AS143" s="64">
        <f t="shared" si="211"/>
        <v>0</v>
      </c>
    </row>
    <row r="144" spans="2:45" ht="15" thickTop="1" thickBot="1" x14ac:dyDescent="0.5">
      <c r="B144" s="52" t="s">
        <v>365</v>
      </c>
      <c r="C144" s="44"/>
      <c r="D144" s="44">
        <f t="shared" ref="D144:R144" si="212">SUM(D139,D143)</f>
        <v>31.857999999999997</v>
      </c>
      <c r="E144" s="44">
        <f t="shared" si="212"/>
        <v>-48.205999999999975</v>
      </c>
      <c r="F144" s="44">
        <f t="shared" si="212"/>
        <v>266.99999999999994</v>
      </c>
      <c r="G144" s="44">
        <f t="shared" si="212"/>
        <v>567.70300000000009</v>
      </c>
      <c r="H144" s="44">
        <f t="shared" si="212"/>
        <v>1611.9</v>
      </c>
      <c r="I144" s="44">
        <f t="shared" si="212"/>
        <v>12195.199999999999</v>
      </c>
      <c r="J144" s="44">
        <f t="shared" si="212"/>
        <v>20267.8</v>
      </c>
      <c r="K144" s="44">
        <f t="shared" si="212"/>
        <v>20465</v>
      </c>
      <c r="L144" s="44">
        <f t="shared" si="212"/>
        <v>0</v>
      </c>
      <c r="M144" s="44">
        <f t="shared" si="212"/>
        <v>0</v>
      </c>
      <c r="N144" s="44">
        <f t="shared" si="212"/>
        <v>0</v>
      </c>
      <c r="O144" s="44">
        <f t="shared" si="212"/>
        <v>0</v>
      </c>
      <c r="P144" s="44">
        <f t="shared" si="212"/>
        <v>0</v>
      </c>
      <c r="Q144" s="44">
        <f t="shared" si="212"/>
        <v>0</v>
      </c>
      <c r="R144" s="24">
        <f t="shared" si="212"/>
        <v>0</v>
      </c>
      <c r="S144" s="44"/>
      <c r="T144" s="44"/>
      <c r="U144" s="44"/>
      <c r="V144" s="44"/>
      <c r="W144" s="44"/>
      <c r="X144" s="44"/>
      <c r="Y144" s="44"/>
      <c r="Z144" s="44"/>
      <c r="AA144" s="44"/>
      <c r="AB144" s="44"/>
      <c r="AC144" s="44"/>
      <c r="AD144" s="44"/>
      <c r="AE144" s="44"/>
      <c r="AG144" s="44">
        <f t="shared" ref="AG144:AS144" si="213">SUM(AG139,AG143)</f>
        <v>-48.205999999999975</v>
      </c>
      <c r="AH144" s="44">
        <f t="shared" si="213"/>
        <v>266.99999999999994</v>
      </c>
      <c r="AI144" s="44">
        <f t="shared" si="213"/>
        <v>567.70300000000009</v>
      </c>
      <c r="AJ144" s="44">
        <f t="shared" si="213"/>
        <v>1611.9</v>
      </c>
      <c r="AK144" s="44">
        <f t="shared" si="213"/>
        <v>12195.199999999999</v>
      </c>
      <c r="AL144" s="44">
        <f t="shared" si="213"/>
        <v>20267.8</v>
      </c>
      <c r="AM144" s="44">
        <f>SUM(AM139,AM143)</f>
        <v>20465</v>
      </c>
      <c r="AN144" s="44">
        <f t="shared" si="213"/>
        <v>0</v>
      </c>
      <c r="AO144" s="44">
        <f t="shared" si="213"/>
        <v>0</v>
      </c>
      <c r="AP144" s="44">
        <f t="shared" si="213"/>
        <v>0</v>
      </c>
      <c r="AQ144" s="44">
        <f t="shared" si="213"/>
        <v>0</v>
      </c>
      <c r="AR144" s="44">
        <f t="shared" si="213"/>
        <v>0</v>
      </c>
      <c r="AS144" s="44">
        <f t="shared" si="213"/>
        <v>0</v>
      </c>
    </row>
    <row r="145" spans="1:34" ht="14.65" thickTop="1" x14ac:dyDescent="0.45">
      <c r="A145" s="24" t="s">
        <v>14</v>
      </c>
      <c r="B145" s="34"/>
      <c r="C145" s="34"/>
    </row>
    <row r="146" spans="1:34" x14ac:dyDescent="0.45">
      <c r="B146" s="34"/>
      <c r="C146" s="34"/>
      <c r="AG146" s="63"/>
      <c r="AH146" s="63"/>
    </row>
  </sheetData>
  <dataValidations count="1">
    <dataValidation type="list" allowBlank="1" showInputMessage="1" showErrorMessage="1" sqref="B26:C26" xr:uid="{E7568350-460A-4A7F-8245-8281071C5D9E}">
      <formula1>B$236:B$253</formula1>
    </dataValidation>
  </dataValidations>
  <pageMargins left="0.7" right="0.7" top="0.75" bottom="0.75" header="0.3" footer="0.3"/>
  <pageSetup orientation="portrait" r:id="rId1"/>
  <ignoredErrors>
    <ignoredError sqref="E9:K9"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B02EF-7883-9843-AD1B-9CE0C7F84840}">
  <dimension ref="A2:T147"/>
  <sheetViews>
    <sheetView showGridLines="0" topLeftCell="A31" zoomScale="68" workbookViewId="0">
      <selection activeCell="A77" sqref="A77:XFD77"/>
    </sheetView>
  </sheetViews>
  <sheetFormatPr defaultColWidth="9.1328125" defaultRowHeight="14.25" x14ac:dyDescent="0.45"/>
  <cols>
    <col min="1" max="1" width="3.33203125" style="24" customWidth="1"/>
    <col min="2" max="2" width="45.33203125" style="24" customWidth="1"/>
    <col min="3" max="10" width="10" style="24" bestFit="1" customWidth="1"/>
    <col min="11" max="11" width="9.33203125" style="24" bestFit="1" customWidth="1"/>
    <col min="12" max="12" width="9.6640625" style="24" bestFit="1" customWidth="1"/>
    <col min="13" max="17" width="9.33203125" style="24" bestFit="1" customWidth="1"/>
    <col min="18" max="18" width="9.1328125" style="24" bestFit="1"/>
    <col min="19" max="16384" width="9.1328125" style="24"/>
  </cols>
  <sheetData>
    <row r="2" spans="1:17" x14ac:dyDescent="0.45">
      <c r="B2" s="26" t="s">
        <v>366</v>
      </c>
      <c r="C2" s="21">
        <v>2015</v>
      </c>
      <c r="D2" s="21">
        <f t="shared" ref="D2:Q2" si="0">C2+1</f>
        <v>2016</v>
      </c>
      <c r="E2" s="21">
        <f t="shared" si="0"/>
        <v>2017</v>
      </c>
      <c r="F2" s="21">
        <f t="shared" si="0"/>
        <v>2018</v>
      </c>
      <c r="G2" s="21">
        <f t="shared" si="0"/>
        <v>2019</v>
      </c>
      <c r="H2" s="21">
        <f t="shared" si="0"/>
        <v>2020</v>
      </c>
      <c r="I2" s="21">
        <f t="shared" si="0"/>
        <v>2021</v>
      </c>
      <c r="J2" s="21">
        <f t="shared" si="0"/>
        <v>2022</v>
      </c>
      <c r="K2" s="21">
        <f t="shared" si="0"/>
        <v>2023</v>
      </c>
      <c r="L2" s="21">
        <f t="shared" si="0"/>
        <v>2024</v>
      </c>
      <c r="M2" s="22">
        <f t="shared" si="0"/>
        <v>2025</v>
      </c>
      <c r="N2" s="22">
        <f t="shared" si="0"/>
        <v>2026</v>
      </c>
      <c r="O2" s="22">
        <f t="shared" si="0"/>
        <v>2027</v>
      </c>
      <c r="P2" s="22">
        <f t="shared" si="0"/>
        <v>2028</v>
      </c>
      <c r="Q2" s="22">
        <f t="shared" si="0"/>
        <v>2029</v>
      </c>
    </row>
    <row r="3" spans="1:17" x14ac:dyDescent="0.45">
      <c r="B3" s="24" t="s">
        <v>251</v>
      </c>
      <c r="C3" s="14"/>
      <c r="D3" s="14"/>
      <c r="E3" s="14">
        <v>0.05</v>
      </c>
      <c r="F3" s="14">
        <v>0.05</v>
      </c>
      <c r="G3" s="14">
        <v>0.05</v>
      </c>
      <c r="H3" s="14">
        <v>0.05</v>
      </c>
      <c r="I3" s="14">
        <v>0.05</v>
      </c>
      <c r="J3" s="14">
        <v>0.05</v>
      </c>
      <c r="K3" s="14">
        <v>0.05</v>
      </c>
      <c r="L3" s="14">
        <v>0.05</v>
      </c>
      <c r="M3" s="14">
        <v>0.05</v>
      </c>
      <c r="N3" s="14">
        <v>0.05</v>
      </c>
      <c r="O3" s="14">
        <v>0.05</v>
      </c>
      <c r="P3" s="14">
        <v>0.05</v>
      </c>
      <c r="Q3" s="14">
        <v>0.05</v>
      </c>
    </row>
    <row r="4" spans="1:17" x14ac:dyDescent="0.45">
      <c r="B4" s="24" t="s">
        <v>86</v>
      </c>
      <c r="C4" s="14"/>
      <c r="D4" s="14"/>
      <c r="E4" s="14">
        <f t="shared" ref="E4:K4" si="1">-E17/E11</f>
        <v>-0.22065409899631222</v>
      </c>
      <c r="F4" s="14">
        <f t="shared" si="1"/>
        <v>-5.1167342373829167E-2</v>
      </c>
      <c r="G4" s="14">
        <f t="shared" si="1"/>
        <v>0.12860576923076911</v>
      </c>
      <c r="H4" s="14">
        <f t="shared" si="1"/>
        <v>0.20057166976444535</v>
      </c>
      <c r="I4" s="14">
        <f t="shared" si="1"/>
        <v>-0.15839922974128925</v>
      </c>
      <c r="J4" s="14">
        <f t="shared" si="1"/>
        <v>-9.3994743866409491E-2</v>
      </c>
      <c r="K4" s="14">
        <f t="shared" si="1"/>
        <v>0.10062219475624938</v>
      </c>
    </row>
    <row r="5" spans="1:17" x14ac:dyDescent="0.45">
      <c r="B5" s="40" t="s">
        <v>367</v>
      </c>
      <c r="C5" s="217"/>
      <c r="D5" s="40"/>
      <c r="E5" s="40"/>
      <c r="F5" s="40"/>
      <c r="G5" s="40"/>
      <c r="H5" s="40"/>
      <c r="I5" s="40"/>
      <c r="J5" s="40"/>
      <c r="K5" s="40"/>
      <c r="L5" s="40"/>
      <c r="M5" s="40"/>
      <c r="N5" s="40"/>
      <c r="O5" s="40"/>
      <c r="P5" s="40"/>
      <c r="Q5" s="40"/>
    </row>
    <row r="7" spans="1:17" ht="14.65" thickBot="1" x14ac:dyDescent="0.5">
      <c r="B7" s="41"/>
      <c r="C7" s="41"/>
      <c r="D7" s="41"/>
      <c r="E7" s="41"/>
      <c r="F7" s="41"/>
      <c r="G7" s="41"/>
      <c r="H7" s="41"/>
      <c r="I7" s="41"/>
      <c r="J7" s="41"/>
      <c r="K7" s="41"/>
      <c r="L7" s="41"/>
      <c r="M7" s="41"/>
      <c r="N7" s="41"/>
      <c r="O7" s="41"/>
      <c r="P7" s="41"/>
      <c r="Q7" s="41"/>
    </row>
    <row r="8" spans="1:17" ht="14.65" thickTop="1" x14ac:dyDescent="0.45">
      <c r="A8" s="24" t="s">
        <v>14</v>
      </c>
      <c r="B8" s="42" t="s">
        <v>252</v>
      </c>
      <c r="C8" s="54"/>
      <c r="D8" s="54"/>
      <c r="E8" s="54"/>
      <c r="F8" s="54"/>
      <c r="G8" s="54"/>
      <c r="H8" s="54"/>
      <c r="I8" s="54"/>
      <c r="J8" s="54"/>
      <c r="K8" s="54"/>
      <c r="L8" s="54"/>
      <c r="M8" s="54"/>
      <c r="N8" s="54"/>
      <c r="O8" s="54"/>
      <c r="P8" s="54"/>
      <c r="Q8" s="54"/>
    </row>
    <row r="9" spans="1:17" x14ac:dyDescent="0.45">
      <c r="B9" s="42" t="s">
        <v>96</v>
      </c>
      <c r="C9" s="23">
        <f>'Astra Zeneca Standardized'!C5</f>
        <v>22275.974999999999</v>
      </c>
      <c r="D9" s="23">
        <f>'Astra Zeneca Standardized'!D5</f>
        <v>20799.792000000001</v>
      </c>
      <c r="E9" s="23">
        <f>'Astra Zeneca Standardized'!E5</f>
        <v>19923.863000000001</v>
      </c>
      <c r="F9" s="23">
        <f>'Astra Zeneca Standardized'!F5</f>
        <v>18722.875</v>
      </c>
      <c r="G9" s="23">
        <f>'Astra Zeneca Standardized'!G5</f>
        <v>21783.048999999999</v>
      </c>
      <c r="H9" s="23">
        <f>'Astra Zeneca Standardized'!H5</f>
        <v>23346.582999999999</v>
      </c>
      <c r="I9" s="23">
        <f>'Astra Zeneca Standardized'!I5</f>
        <v>31653.118999999999</v>
      </c>
      <c r="J9" s="23">
        <f>'Astra Zeneca Standardized'!J5</f>
        <v>42191.754999999997</v>
      </c>
      <c r="K9" s="23">
        <f>'Astra Zeneca Standardized'!K5</f>
        <v>42368.92</v>
      </c>
      <c r="L9" s="23">
        <f>'Astra Zeneca Standardized'!L5</f>
        <v>49995.091</v>
      </c>
      <c r="M9" s="23"/>
      <c r="N9" s="23"/>
      <c r="O9" s="23"/>
      <c r="P9" s="23"/>
      <c r="Q9" s="23"/>
    </row>
    <row r="10" spans="1:17" x14ac:dyDescent="0.45">
      <c r="B10" s="24" t="s">
        <v>253</v>
      </c>
      <c r="C10" s="27">
        <f>SUM('Astra Zeneca Standardized'!C6:C10)</f>
        <v>-19143.020999999997</v>
      </c>
      <c r="D10" s="27">
        <f>SUM('Astra Zeneca Standardized'!D6:D10)</f>
        <v>-17882.648999999998</v>
      </c>
      <c r="E10" s="27">
        <f>SUM('Astra Zeneca Standardized'!E6:E10)</f>
        <v>-17347.464</v>
      </c>
      <c r="F10" s="27">
        <f>SUM('Astra Zeneca Standardized'!F6:F10)</f>
        <v>-17778.679</v>
      </c>
      <c r="G10" s="27">
        <f>SUM('Astra Zeneca Standardized'!G6:G10)</f>
        <v>-19553.288999999997</v>
      </c>
      <c r="H10" s="27">
        <f>SUM('Astra Zeneca Standardized'!H6:H10)</f>
        <v>-19970.507999999998</v>
      </c>
      <c r="I10" s="27">
        <f>SUM('Astra Zeneca Standardized'!I6:I10)</f>
        <v>-29623.670999999998</v>
      </c>
      <c r="J10" s="27">
        <f>SUM('Astra Zeneca Standardized'!J6:J10)</f>
        <v>-34175.976999999999</v>
      </c>
      <c r="K10" s="27">
        <f>SUM('Astra Zeneca Standardized'!K6:K10)</f>
        <v>-33747.343000000001</v>
      </c>
      <c r="L10" s="27">
        <f>SUM('Astra Zeneca Standardized'!L6:L10)</f>
        <v>-38203.857000000004</v>
      </c>
      <c r="M10" s="27"/>
      <c r="N10" s="27"/>
      <c r="O10" s="27"/>
      <c r="P10" s="27"/>
      <c r="Q10" s="27"/>
    </row>
    <row r="11" spans="1:17" s="26" customFormat="1" x14ac:dyDescent="0.45">
      <c r="B11" s="32" t="s">
        <v>254</v>
      </c>
      <c r="C11" s="26">
        <f t="shared" ref="C11:L11" si="2">SUM(C9:C10)</f>
        <v>3132.9540000000015</v>
      </c>
      <c r="D11" s="26">
        <f t="shared" si="2"/>
        <v>2917.1430000000037</v>
      </c>
      <c r="E11" s="26">
        <f t="shared" si="2"/>
        <v>2576.3990000000013</v>
      </c>
      <c r="F11" s="26">
        <f t="shared" si="2"/>
        <v>944.19599999999991</v>
      </c>
      <c r="G11" s="26">
        <f t="shared" si="2"/>
        <v>2229.760000000002</v>
      </c>
      <c r="H11" s="26">
        <f t="shared" si="2"/>
        <v>3376.0750000000007</v>
      </c>
      <c r="I11" s="26">
        <f t="shared" si="2"/>
        <v>2029.4480000000003</v>
      </c>
      <c r="J11" s="26">
        <f t="shared" si="2"/>
        <v>8015.7779999999984</v>
      </c>
      <c r="K11" s="26">
        <f t="shared" si="2"/>
        <v>8621.5769999999975</v>
      </c>
      <c r="L11" s="26">
        <f t="shared" si="2"/>
        <v>11791.233999999997</v>
      </c>
    </row>
    <row r="12" spans="1:17" x14ac:dyDescent="0.45">
      <c r="B12" s="24" t="s">
        <v>255</v>
      </c>
      <c r="C12" s="25">
        <f>'Astra Zeneca Standardized'!C13</f>
        <v>-29.752000000000002</v>
      </c>
      <c r="D12" s="25">
        <f>'Astra Zeneca Standardized'!D13</f>
        <v>-48.83</v>
      </c>
      <c r="E12" s="25">
        <f>'Astra Zeneca Standardized'!E13</f>
        <v>81.593000000000018</v>
      </c>
      <c r="F12" s="25">
        <f>'Astra Zeneca Standardized'!F13</f>
        <v>-95.775999999999996</v>
      </c>
      <c r="G12" s="25">
        <f>'Astra Zeneca Standardized'!G13</f>
        <v>-103.627</v>
      </c>
      <c r="H12" s="25">
        <f>'Astra Zeneca Standardized'!H13</f>
        <v>-23.683</v>
      </c>
      <c r="I12" s="25">
        <f>'Astra Zeneca Standardized'!I13</f>
        <v>602.32100000000003</v>
      </c>
      <c r="J12" s="25">
        <f>'Astra Zeneca Standardized'!J13</f>
        <v>-4.7569999999999997</v>
      </c>
      <c r="K12" s="25">
        <f>'Astra Zeneca Standardized'!K13</f>
        <v>-11.098000000000001</v>
      </c>
      <c r="L12" s="25">
        <f>'Astra Zeneca Standardized'!L13</f>
        <v>-25.888000000000002</v>
      </c>
      <c r="M12" s="25"/>
      <c r="N12" s="25"/>
      <c r="O12" s="25"/>
      <c r="P12" s="25"/>
      <c r="Q12" s="25"/>
    </row>
    <row r="13" spans="1:17" x14ac:dyDescent="0.45">
      <c r="B13" s="24" t="s">
        <v>256</v>
      </c>
      <c r="C13" s="25">
        <f>'Astra Zeneca Standardized'!C14</f>
        <v>-15.325999999999851</v>
      </c>
      <c r="D13" s="25">
        <f>'Astra Zeneca Standardized'!D14</f>
        <v>862.66399999999999</v>
      </c>
      <c r="E13" s="25">
        <f>'Astra Zeneca Standardized'!E14</f>
        <v>-181.81099999999998</v>
      </c>
      <c r="F13" s="25">
        <f>'Astra Zeneca Standardized'!F14</f>
        <v>1359.5049999999999</v>
      </c>
      <c r="G13" s="25">
        <f>'Astra Zeneca Standardized'!G14</f>
        <v>-175.98700000000008</v>
      </c>
      <c r="H13" s="25">
        <f>'Astra Zeneca Standardized'!H14</f>
        <v>662.23300000000006</v>
      </c>
      <c r="I13" s="25">
        <f>'Astra Zeneca Standardized'!I14</f>
        <v>-2235.8610000000003</v>
      </c>
      <c r="J13" s="25">
        <f>'Astra Zeneca Standardized'!J14</f>
        <v>-4836.4839999999995</v>
      </c>
      <c r="K13" s="25">
        <f>'Astra Zeneca Standardized'!K14</f>
        <v>-1380.8209999999999</v>
      </c>
      <c r="L13" s="25">
        <f>'Astra Zeneca Standardized'!L14</f>
        <v>-2751.5650000000001</v>
      </c>
      <c r="M13" s="25"/>
      <c r="N13" s="25"/>
      <c r="O13" s="25"/>
      <c r="P13" s="25"/>
      <c r="Q13" s="25"/>
    </row>
    <row r="14" spans="1:17" x14ac:dyDescent="0.45">
      <c r="B14" s="43" t="s">
        <v>257</v>
      </c>
      <c r="C14" s="25">
        <f>'Astra Zeneca Standardized'!C11</f>
        <v>32.456000000000003</v>
      </c>
      <c r="D14" s="25">
        <f>'Astra Zeneca Standardized'!D11</f>
        <v>38.883000000000003</v>
      </c>
      <c r="E14" s="25">
        <f>'Astra Zeneca Standardized'!E11</f>
        <v>87.802000000000007</v>
      </c>
      <c r="F14" s="25">
        <f>'Astra Zeneca Standardized'!F11</f>
        <v>111.88</v>
      </c>
      <c r="G14" s="25">
        <f>'Astra Zeneca Standardized'!G11</f>
        <v>129.53299999999999</v>
      </c>
      <c r="H14" s="25">
        <f>'Astra Zeneca Standardized'!H11</f>
        <v>67.539000000000001</v>
      </c>
      <c r="I14" s="25">
        <f>'Astra Zeneca Standardized'!I11</f>
        <v>36.375999999999998</v>
      </c>
      <c r="J14" s="25">
        <f>'Astra Zeneca Standardized'!J11</f>
        <v>77.055999999999997</v>
      </c>
      <c r="K14" s="25">
        <f>'Astra Zeneca Standardized'!K11</f>
        <v>278.38400000000001</v>
      </c>
      <c r="L14" s="25">
        <f>'Astra Zeneca Standardized'!L11</f>
        <v>318.98200000000003</v>
      </c>
      <c r="M14" s="25"/>
      <c r="N14" s="25"/>
      <c r="O14" s="25"/>
      <c r="P14" s="25"/>
      <c r="Q14" s="25"/>
    </row>
    <row r="15" spans="1:17" x14ac:dyDescent="0.45">
      <c r="B15" s="43" t="s">
        <v>258</v>
      </c>
      <c r="C15" s="25">
        <f>'Astra Zeneca Standardized'!C12</f>
        <v>-353.41500000000002</v>
      </c>
      <c r="D15" s="25">
        <f>'Astra Zeneca Standardized'!D12</f>
        <v>-557.92899999999997</v>
      </c>
      <c r="E15" s="25">
        <f>'Astra Zeneca Standardized'!E12</f>
        <v>-588.89099999999996</v>
      </c>
      <c r="F15" s="25">
        <f>'Astra Zeneca Standardized'!F12</f>
        <v>-630.59400000000005</v>
      </c>
      <c r="G15" s="25">
        <f>'Astra Zeneca Standardized'!G12</f>
        <v>-696.8</v>
      </c>
      <c r="H15" s="25">
        <f>'Astra Zeneca Standardized'!H12</f>
        <v>-647.322</v>
      </c>
      <c r="I15" s="25">
        <f>'Astra Zeneca Standardized'!I12</f>
        <v>-656.46199999999999</v>
      </c>
      <c r="J15" s="25">
        <f>'Astra Zeneca Standardized'!J12</f>
        <v>-872.35599999999999</v>
      </c>
      <c r="K15" s="25">
        <f>'Astra Zeneca Standardized'!K12</f>
        <v>-1127.4090000000001</v>
      </c>
      <c r="L15" s="25">
        <f>'Astra Zeneca Standardized'!L12</f>
        <v>-1297.193</v>
      </c>
      <c r="M15" s="25"/>
      <c r="N15" s="25"/>
      <c r="O15" s="27"/>
      <c r="P15" s="27"/>
      <c r="Q15" s="27"/>
    </row>
    <row r="16" spans="1:17" x14ac:dyDescent="0.45">
      <c r="B16" s="32" t="s">
        <v>259</v>
      </c>
      <c r="C16" s="36">
        <f t="shared" ref="C16:L16" si="3">SUM(C11:C15)</f>
        <v>2766.9170000000017</v>
      </c>
      <c r="D16" s="36">
        <f t="shared" si="3"/>
        <v>3211.9310000000032</v>
      </c>
      <c r="E16" s="36">
        <f t="shared" si="3"/>
        <v>1975.092000000001</v>
      </c>
      <c r="F16" s="36">
        <f t="shared" si="3"/>
        <v>1689.2109999999998</v>
      </c>
      <c r="G16" s="36">
        <f t="shared" si="3"/>
        <v>1382.879000000002</v>
      </c>
      <c r="H16" s="36">
        <f t="shared" si="3"/>
        <v>3434.842000000001</v>
      </c>
      <c r="I16" s="36">
        <f t="shared" si="3"/>
        <v>-224.17800000000011</v>
      </c>
      <c r="J16" s="36">
        <f t="shared" si="3"/>
        <v>2379.2369999999992</v>
      </c>
      <c r="K16" s="36">
        <f t="shared" si="3"/>
        <v>6380.632999999998</v>
      </c>
      <c r="L16" s="36">
        <f t="shared" si="3"/>
        <v>8035.5699999999952</v>
      </c>
      <c r="M16" s="36"/>
      <c r="N16" s="36"/>
      <c r="O16" s="32"/>
      <c r="P16" s="32"/>
      <c r="Q16" s="32"/>
    </row>
    <row r="17" spans="1:17" x14ac:dyDescent="0.45">
      <c r="B17" s="24" t="s">
        <v>260</v>
      </c>
      <c r="C17" s="27">
        <f>'Astra Zeneca Standardized'!C15</f>
        <v>-219.08099999999999</v>
      </c>
      <c r="D17" s="27">
        <f>'Astra Zeneca Standardized'!D15</f>
        <v>-132.02199999999999</v>
      </c>
      <c r="E17" s="27">
        <f>'Astra Zeneca Standardized'!E15</f>
        <v>568.49300000000005</v>
      </c>
      <c r="F17" s="27">
        <f>'Astra Zeneca Standardized'!F15</f>
        <v>48.311999999999998</v>
      </c>
      <c r="G17" s="27">
        <f>'Astra Zeneca Standardized'!G15</f>
        <v>-286.76</v>
      </c>
      <c r="H17" s="27">
        <f>'Astra Zeneca Standardized'!H15</f>
        <v>-677.14499999999998</v>
      </c>
      <c r="I17" s="27">
        <f>'Astra Zeneca Standardized'!I15</f>
        <v>321.46300000000002</v>
      </c>
      <c r="J17" s="27">
        <f>'Astra Zeneca Standardized'!J15</f>
        <v>753.44100000000003</v>
      </c>
      <c r="K17" s="27">
        <f>'Astra Zeneca Standardized'!K15</f>
        <v>-867.52200000000005</v>
      </c>
      <c r="L17" s="27">
        <f>'Astra Zeneca Standardized'!L15</f>
        <v>-1525.5650000000001</v>
      </c>
      <c r="M17" s="27"/>
      <c r="N17" s="27"/>
      <c r="O17" s="27"/>
      <c r="P17" s="27"/>
      <c r="Q17" s="27"/>
    </row>
    <row r="18" spans="1:17" x14ac:dyDescent="0.45">
      <c r="B18" s="32" t="s">
        <v>261</v>
      </c>
      <c r="C18" s="32">
        <f t="shared" ref="C18:L18" si="4">SUM(C16:C17)</f>
        <v>2547.8360000000016</v>
      </c>
      <c r="D18" s="32">
        <f t="shared" si="4"/>
        <v>3079.9090000000033</v>
      </c>
      <c r="E18" s="32">
        <f t="shared" si="4"/>
        <v>2543.5850000000009</v>
      </c>
      <c r="F18" s="32">
        <f t="shared" si="4"/>
        <v>1737.5229999999997</v>
      </c>
      <c r="G18" s="32">
        <f t="shared" si="4"/>
        <v>1096.119000000002</v>
      </c>
      <c r="H18" s="32">
        <f t="shared" si="4"/>
        <v>2757.697000000001</v>
      </c>
      <c r="I18" s="32">
        <f t="shared" si="4"/>
        <v>97.284999999999911</v>
      </c>
      <c r="J18" s="32">
        <f t="shared" si="4"/>
        <v>3132.677999999999</v>
      </c>
      <c r="K18" s="32">
        <f t="shared" si="4"/>
        <v>5513.1109999999981</v>
      </c>
      <c r="L18" s="32">
        <f t="shared" si="4"/>
        <v>6510.0049999999956</v>
      </c>
      <c r="M18" s="32"/>
      <c r="N18" s="32"/>
      <c r="O18" s="32"/>
      <c r="P18" s="32"/>
      <c r="Q18" s="32"/>
    </row>
    <row r="19" spans="1:17" x14ac:dyDescent="0.45">
      <c r="B19" s="24" t="s">
        <v>262</v>
      </c>
      <c r="C19" s="32">
        <f>'Astra Zeneca Standardized'!C16</f>
        <v>-0.90200000000000002</v>
      </c>
      <c r="D19" s="32">
        <f>'Astra Zeneca Standardized'!D16</f>
        <v>84.096000000000004</v>
      </c>
      <c r="E19" s="32">
        <f>'Astra Zeneca Standardized'!E16</f>
        <v>117.956</v>
      </c>
      <c r="F19" s="32">
        <f>'Astra Zeneca Standardized'!F16</f>
        <v>88.995000000000005</v>
      </c>
      <c r="G19" s="32">
        <f>'Astra Zeneca Standardized'!G16</f>
        <v>96.48</v>
      </c>
      <c r="H19" s="32">
        <f>'Astra Zeneca Standardized'!H16</f>
        <v>45.610999999999997</v>
      </c>
      <c r="I19" s="32">
        <f>'Astra Zeneca Standardized'!I16</f>
        <v>-2.5379999999999998</v>
      </c>
      <c r="J19" s="32">
        <f>'Astra Zeneca Standardized'!J16</f>
        <v>-4.7569999999999997</v>
      </c>
      <c r="K19" s="32">
        <f>'Astra Zeneca Standardized'!K16</f>
        <v>-5.5490000000000004</v>
      </c>
      <c r="L19" s="32">
        <f>'Astra Zeneca Standardized'!L16</f>
        <v>-5.548</v>
      </c>
      <c r="M19" s="32"/>
      <c r="N19" s="32"/>
      <c r="O19" s="32"/>
      <c r="P19" s="32"/>
      <c r="Q19" s="32"/>
    </row>
    <row r="20" spans="1:17" x14ac:dyDescent="0.45">
      <c r="B20" s="34" t="s">
        <v>263</v>
      </c>
      <c r="C20" s="27">
        <f>'Astra Zeneca Standardized'!C17</f>
        <v>0</v>
      </c>
      <c r="D20" s="27">
        <f>'Astra Zeneca Standardized'!D17</f>
        <v>0</v>
      </c>
      <c r="E20" s="27">
        <f>'Astra Zeneca Standardized'!E17</f>
        <v>0</v>
      </c>
      <c r="F20" s="27">
        <f>'Astra Zeneca Standardized'!F17</f>
        <v>0</v>
      </c>
      <c r="G20" s="27">
        <f>'Astra Zeneca Standardized'!G17</f>
        <v>0</v>
      </c>
      <c r="H20" s="27">
        <f>'Astra Zeneca Standardized'!H17</f>
        <v>0</v>
      </c>
      <c r="I20" s="27">
        <f>'Astra Zeneca Standardized'!I17</f>
        <v>0</v>
      </c>
      <c r="J20" s="27">
        <f>'Astra Zeneca Standardized'!J17</f>
        <v>0</v>
      </c>
      <c r="K20" s="27">
        <f>'Astra Zeneca Standardized'!K17</f>
        <v>0</v>
      </c>
      <c r="L20" s="27">
        <f>'Astra Zeneca Standardized'!L17</f>
        <v>0</v>
      </c>
      <c r="M20" s="27"/>
      <c r="N20" s="27"/>
      <c r="O20" s="27"/>
      <c r="P20" s="27"/>
      <c r="Q20" s="27"/>
    </row>
    <row r="21" spans="1:17" s="26" customFormat="1" ht="14.65" thickBot="1" x14ac:dyDescent="0.5">
      <c r="B21" s="44" t="s">
        <v>264</v>
      </c>
      <c r="C21" s="53">
        <f t="shared" ref="C21:L21" si="5">SUM(C18:C20)</f>
        <v>2546.9340000000016</v>
      </c>
      <c r="D21" s="53">
        <f t="shared" si="5"/>
        <v>3164.0050000000033</v>
      </c>
      <c r="E21" s="53">
        <f t="shared" si="5"/>
        <v>2661.5410000000011</v>
      </c>
      <c r="F21" s="53">
        <f t="shared" si="5"/>
        <v>1826.5179999999996</v>
      </c>
      <c r="G21" s="53">
        <f t="shared" si="5"/>
        <v>1192.599000000002</v>
      </c>
      <c r="H21" s="53">
        <f t="shared" si="5"/>
        <v>2803.3080000000009</v>
      </c>
      <c r="I21" s="53">
        <f t="shared" si="5"/>
        <v>94.746999999999915</v>
      </c>
      <c r="J21" s="53">
        <f t="shared" si="5"/>
        <v>3127.9209999999989</v>
      </c>
      <c r="K21" s="53">
        <f t="shared" si="5"/>
        <v>5507.5619999999981</v>
      </c>
      <c r="L21" s="53">
        <f t="shared" si="5"/>
        <v>6504.4569999999958</v>
      </c>
      <c r="M21" s="53"/>
      <c r="N21" s="53"/>
      <c r="O21" s="53"/>
      <c r="P21" s="53"/>
      <c r="Q21" s="53"/>
    </row>
    <row r="22" spans="1:17" ht="15" thickTop="1" thickBot="1" x14ac:dyDescent="0.5">
      <c r="B22" s="45"/>
      <c r="C22" s="45"/>
      <c r="D22" s="45"/>
      <c r="E22" s="45"/>
      <c r="F22" s="45"/>
      <c r="G22" s="45"/>
      <c r="H22" s="45"/>
      <c r="I22" s="45"/>
      <c r="J22" s="45"/>
      <c r="K22" s="45"/>
      <c r="L22" s="45"/>
      <c r="M22" s="45"/>
      <c r="N22" s="45"/>
      <c r="O22" s="45"/>
      <c r="P22" s="45"/>
      <c r="Q22" s="45"/>
    </row>
    <row r="23" spans="1:17" ht="14.65" thickTop="1" x14ac:dyDescent="0.45">
      <c r="A23" s="24" t="s">
        <v>14</v>
      </c>
      <c r="B23" s="32" t="s">
        <v>265</v>
      </c>
      <c r="C23" s="54"/>
      <c r="D23" s="54"/>
      <c r="E23" s="54"/>
      <c r="F23" s="54"/>
      <c r="G23" s="54"/>
      <c r="H23" s="54"/>
      <c r="I23" s="54"/>
      <c r="J23" s="54"/>
      <c r="K23" s="54"/>
      <c r="L23" s="54"/>
      <c r="M23" s="54"/>
      <c r="N23" s="54"/>
      <c r="O23" s="54"/>
      <c r="P23" s="54"/>
      <c r="Q23" s="54"/>
    </row>
    <row r="24" spans="1:17" x14ac:dyDescent="0.45">
      <c r="B24" s="24" t="s">
        <v>266</v>
      </c>
      <c r="C24" s="46"/>
      <c r="D24" s="46"/>
      <c r="E24" s="46"/>
      <c r="F24" s="46"/>
      <c r="G24" s="46"/>
      <c r="H24" s="46"/>
      <c r="I24" s="46"/>
      <c r="J24" s="46"/>
      <c r="K24" s="46"/>
      <c r="L24" s="46"/>
      <c r="M24" s="46"/>
      <c r="N24" s="46"/>
      <c r="O24" s="46"/>
      <c r="P24" s="46"/>
      <c r="Q24" s="46"/>
    </row>
    <row r="25" spans="1:17" x14ac:dyDescent="0.45">
      <c r="B25" s="47" t="s">
        <v>267</v>
      </c>
      <c r="C25" s="25">
        <f>+'Astra Zeneca Standardized'!C6</f>
        <v>-4046.2429999999999</v>
      </c>
      <c r="D25" s="25">
        <f>+'Astra Zeneca Standardized'!D6</f>
        <v>-3613.424</v>
      </c>
      <c r="E25" s="25">
        <f>+'Astra Zeneca Standardized'!E6</f>
        <v>-3669.0419999999999</v>
      </c>
      <c r="F25" s="25">
        <f>+'Astra Zeneca Standardized'!F6</f>
        <v>-3817.4659999999999</v>
      </c>
      <c r="G25" s="25">
        <f>+'Astra Zeneca Standardized'!G6</f>
        <v>-4330.8819999999996</v>
      </c>
      <c r="H25" s="25">
        <f>+'Astra Zeneca Standardized'!H6</f>
        <v>-4601.4269999999997</v>
      </c>
      <c r="I25" s="25">
        <f>+'Astra Zeneca Standardized'!I6</f>
        <v>-10155.696</v>
      </c>
      <c r="J25" s="25">
        <f>+'Astra Zeneca Standardized'!J6</f>
        <v>-8220.31</v>
      </c>
      <c r="K25" s="25">
        <f>+'Astra Zeneca Standardized'!K6</f>
        <v>-7435.902</v>
      </c>
      <c r="L25" s="25">
        <f>+'Astra Zeneca Standardized'!L6</f>
        <v>-8911.1509999999998</v>
      </c>
      <c r="M25" s="25"/>
      <c r="N25" s="25"/>
      <c r="O25" s="25"/>
      <c r="P25" s="25"/>
      <c r="Q25" s="25"/>
    </row>
    <row r="26" spans="1:17" x14ac:dyDescent="0.45">
      <c r="B26" s="47" t="s">
        <v>268</v>
      </c>
      <c r="C26" s="25">
        <f>+'Astra Zeneca Standardized'!C8</f>
        <v>-9938.9</v>
      </c>
      <c r="D26" s="25">
        <f>+'Astra Zeneca Standardized'!D8</f>
        <v>-8810.2070000000003</v>
      </c>
      <c r="E26" s="25">
        <f>+'Astra Zeneca Standardized'!E8</f>
        <v>-8342.0370000000003</v>
      </c>
      <c r="F26" s="25">
        <f>+'Astra Zeneca Standardized'!F8</f>
        <v>-9172.4290000000001</v>
      </c>
      <c r="G26" s="25">
        <f>+'Astra Zeneca Standardized'!G8</f>
        <v>-10217.950999999999</v>
      </c>
      <c r="H26" s="25">
        <f>+'Astra Zeneca Standardized'!H8</f>
        <v>-10162.433999999999</v>
      </c>
      <c r="I26" s="25">
        <f>+'Astra Zeneca Standardized'!I8</f>
        <v>-12412.706</v>
      </c>
      <c r="J26" s="25">
        <f>+'Astra Zeneca Standardized'!J8</f>
        <v>-16609.953000000001</v>
      </c>
      <c r="K26" s="25">
        <f>+'Astra Zeneca Standardized'!K8</f>
        <v>-16670.664000000001</v>
      </c>
      <c r="L26" s="25">
        <f>+'Astra Zeneca Standardized'!L8</f>
        <v>-17985.954000000002</v>
      </c>
      <c r="M26" s="25"/>
      <c r="N26" s="25"/>
      <c r="O26" s="25"/>
      <c r="P26" s="25"/>
      <c r="Q26" s="25"/>
    </row>
    <row r="27" spans="1:17" x14ac:dyDescent="0.45">
      <c r="B27" s="2" t="s">
        <v>269</v>
      </c>
      <c r="C27" s="24">
        <f>+'Astra Zeneca Standardized'!C9</f>
        <v>-5102.8829999999998</v>
      </c>
      <c r="D27" s="24">
        <f>+'Astra Zeneca Standardized'!D9</f>
        <v>-5135.2929999999997</v>
      </c>
      <c r="E27" s="24">
        <f>+'Astra Zeneca Standardized'!E9</f>
        <v>-4837.9560000000001</v>
      </c>
      <c r="F27" s="24">
        <f>+'Astra Zeneca Standardized'!F9</f>
        <v>-4491.2860000000001</v>
      </c>
      <c r="G27" s="24">
        <f>+'Astra Zeneca Standardized'!G9</f>
        <v>-4778.442</v>
      </c>
      <c r="H27" s="24">
        <f>+'Astra Zeneca Standardized'!H9</f>
        <v>-5175.9470000000001</v>
      </c>
      <c r="I27" s="24">
        <f>+'Astra Zeneca Standardized'!I9</f>
        <v>-6809.0959999999995</v>
      </c>
      <c r="J27" s="24">
        <f>+'Astra Zeneca Standardized'!J9</f>
        <v>-9198.2610000000004</v>
      </c>
      <c r="K27" s="24">
        <f>+'Astra Zeneca Standardized'!K9</f>
        <v>-9593.6090000000004</v>
      </c>
      <c r="L27" s="24">
        <f>+'Astra Zeneca Standardized'!L9</f>
        <v>-11319.696</v>
      </c>
    </row>
    <row r="28" spans="1:17" ht="29" customHeight="1" x14ac:dyDescent="0.45">
      <c r="B28" s="47" t="s">
        <v>270</v>
      </c>
      <c r="C28" s="25">
        <f>+'Astra Zeneca Standardized'!C10</f>
        <v>-54.995000000000061</v>
      </c>
      <c r="D28" s="25">
        <f>+'Astra Zeneca Standardized'!D10</f>
        <v>-323.72499999999997</v>
      </c>
      <c r="E28" s="25">
        <f>+'Astra Zeneca Standardized'!E10</f>
        <v>-498.42899999999997</v>
      </c>
      <c r="F28" s="25">
        <f>+'Astra Zeneca Standardized'!F10</f>
        <v>-297.49799999999999</v>
      </c>
      <c r="G28" s="25">
        <f>+'Astra Zeneca Standardized'!G10</f>
        <v>-226.01400000000001</v>
      </c>
      <c r="H28" s="25">
        <f>+'Astra Zeneca Standardized'!H10</f>
        <v>-30.699999999999989</v>
      </c>
      <c r="I28" s="25">
        <f>+'Astra Zeneca Standardized'!I10</f>
        <v>-246.17300000000003</v>
      </c>
      <c r="J28" s="25">
        <f>+'Astra Zeneca Standardized'!J10</f>
        <v>-147.453</v>
      </c>
      <c r="K28" s="25">
        <f>+'Astra Zeneca Standardized'!K10</f>
        <v>-47.168000000000006</v>
      </c>
      <c r="L28" s="25">
        <f>+'Astra Zeneca Standardized'!L10</f>
        <v>12.943999999999988</v>
      </c>
      <c r="M28" s="25"/>
      <c r="N28" s="25"/>
      <c r="O28" s="25"/>
      <c r="P28" s="25"/>
      <c r="Q28" s="25"/>
    </row>
    <row r="29" spans="1:17" x14ac:dyDescent="0.45">
      <c r="B29" s="24" t="s">
        <v>271</v>
      </c>
    </row>
    <row r="30" spans="1:17" x14ac:dyDescent="0.45">
      <c r="B30" s="47" t="s">
        <v>272</v>
      </c>
      <c r="C30" s="25"/>
      <c r="D30" s="25"/>
      <c r="E30" s="25"/>
      <c r="F30" s="25"/>
      <c r="G30" s="25"/>
      <c r="H30" s="25"/>
      <c r="I30" s="25"/>
      <c r="J30" s="25"/>
      <c r="K30" s="25"/>
      <c r="L30" s="25"/>
      <c r="M30" s="25"/>
      <c r="N30" s="25"/>
      <c r="O30" s="25"/>
      <c r="P30" s="25"/>
      <c r="Q30" s="25"/>
    </row>
    <row r="31" spans="1:17" x14ac:dyDescent="0.45">
      <c r="B31" s="47" t="s">
        <v>273</v>
      </c>
      <c r="C31" s="25"/>
      <c r="D31" s="25"/>
      <c r="E31" s="25"/>
      <c r="F31" s="25"/>
      <c r="G31" s="25"/>
      <c r="H31" s="25"/>
      <c r="I31" s="25"/>
      <c r="J31" s="25"/>
      <c r="K31" s="25"/>
      <c r="L31" s="25"/>
      <c r="M31" s="25"/>
      <c r="N31" s="25"/>
      <c r="O31" s="25"/>
      <c r="P31" s="25"/>
      <c r="Q31" s="25"/>
    </row>
    <row r="32" spans="1:17" ht="14.75" customHeight="1" x14ac:dyDescent="0.45">
      <c r="B32" s="47" t="s">
        <v>274</v>
      </c>
      <c r="C32" s="25"/>
      <c r="D32" s="25"/>
      <c r="E32" s="25"/>
      <c r="F32" s="25"/>
      <c r="G32" s="25"/>
      <c r="H32" s="25"/>
      <c r="I32" s="25"/>
      <c r="J32" s="25"/>
      <c r="K32" s="25"/>
      <c r="L32" s="25"/>
      <c r="M32" s="25"/>
      <c r="N32" s="25"/>
      <c r="O32" s="25"/>
      <c r="P32" s="25"/>
      <c r="Q32" s="25"/>
    </row>
    <row r="33" spans="1:17" ht="28.9" thickBot="1" x14ac:dyDescent="0.5">
      <c r="B33" s="215" t="s">
        <v>275</v>
      </c>
      <c r="C33" s="48"/>
      <c r="D33" s="48"/>
      <c r="E33" s="48"/>
      <c r="F33" s="48"/>
      <c r="G33" s="48"/>
      <c r="H33" s="48"/>
      <c r="I33" s="48"/>
      <c r="J33" s="48"/>
      <c r="K33" s="48"/>
      <c r="L33" s="48"/>
      <c r="M33" s="48"/>
      <c r="N33" s="48"/>
      <c r="O33" s="48"/>
      <c r="P33" s="48"/>
      <c r="Q33" s="48"/>
    </row>
    <row r="34" spans="1:17" ht="15" thickTop="1" thickBot="1" x14ac:dyDescent="0.5">
      <c r="B34" s="41"/>
      <c r="C34" s="41"/>
      <c r="D34" s="41"/>
      <c r="E34" s="41"/>
      <c r="F34" s="41"/>
      <c r="G34" s="41"/>
      <c r="H34" s="41"/>
      <c r="I34" s="41"/>
      <c r="J34" s="41"/>
      <c r="K34" s="41"/>
      <c r="L34" s="41"/>
      <c r="M34" s="41"/>
      <c r="N34" s="41"/>
      <c r="O34" s="41"/>
      <c r="P34" s="41"/>
      <c r="Q34" s="41"/>
    </row>
    <row r="35" spans="1:17" ht="14.65" thickTop="1" x14ac:dyDescent="0.45">
      <c r="A35" s="24" t="s">
        <v>14</v>
      </c>
      <c r="B35" s="32" t="s">
        <v>276</v>
      </c>
      <c r="C35" s="54"/>
      <c r="D35" s="54"/>
      <c r="E35" s="54"/>
      <c r="F35" s="54"/>
      <c r="G35" s="54"/>
      <c r="H35" s="54"/>
      <c r="I35" s="54"/>
      <c r="J35" s="54"/>
      <c r="K35" s="54"/>
      <c r="L35" s="54"/>
      <c r="M35" s="54"/>
      <c r="N35" s="54"/>
      <c r="O35" s="54"/>
      <c r="P35" s="54"/>
      <c r="Q35" s="54"/>
    </row>
    <row r="36" spans="1:17" x14ac:dyDescent="0.45">
      <c r="B36" s="24" t="s">
        <v>277</v>
      </c>
      <c r="C36" s="46"/>
      <c r="D36" s="46"/>
      <c r="E36" s="46"/>
      <c r="F36" s="46"/>
      <c r="G36" s="46"/>
      <c r="H36" s="46"/>
      <c r="I36" s="46"/>
      <c r="J36" s="46"/>
      <c r="K36" s="46"/>
      <c r="L36" s="46"/>
      <c r="M36" s="46"/>
      <c r="N36" s="46"/>
      <c r="O36" s="46"/>
      <c r="P36" s="46"/>
      <c r="Q36" s="46"/>
    </row>
    <row r="37" spans="1:17" x14ac:dyDescent="0.45">
      <c r="B37" s="34" t="s">
        <v>278</v>
      </c>
      <c r="C37" s="25">
        <f>SUM('Astra Zeneca Standardized'!C35)</f>
        <v>7034.1479999999992</v>
      </c>
      <c r="D37" s="25">
        <f>SUM('Astra Zeneca Standardized'!D35)</f>
        <v>7611.2020000000002</v>
      </c>
      <c r="E37" s="25">
        <f>SUM('Astra Zeneca Standardized'!E35)</f>
        <v>7396.93</v>
      </c>
      <c r="F37" s="25">
        <f>SUM('Astra Zeneca Standardized'!F35)</f>
        <v>7019.5150000000003</v>
      </c>
      <c r="G37" s="25">
        <f>SUM('Astra Zeneca Standardized'!G35)</f>
        <v>8093.8620000000001</v>
      </c>
      <c r="H37" s="25">
        <f>SUM('Astra Zeneca Standardized'!H35)</f>
        <v>7981.2530000000006</v>
      </c>
      <c r="I37" s="25">
        <f>SUM('Astra Zeneca Standardized'!I35)</f>
        <v>9798.0400000000009</v>
      </c>
      <c r="J37" s="25">
        <f>SUM('Astra Zeneca Standardized'!J35)</f>
        <v>9691.98</v>
      </c>
      <c r="K37" s="25">
        <f>SUM('Astra Zeneca Standardized'!K35)</f>
        <v>10433.904999999999</v>
      </c>
      <c r="L37" s="25">
        <f>SUM('Astra Zeneca Standardized'!L35)</f>
        <v>12323.918</v>
      </c>
      <c r="M37" s="25"/>
      <c r="N37" s="25"/>
      <c r="O37" s="25"/>
      <c r="P37" s="25"/>
      <c r="Q37" s="25"/>
    </row>
    <row r="38" spans="1:17" x14ac:dyDescent="0.45">
      <c r="B38" s="34" t="s">
        <v>279</v>
      </c>
      <c r="C38" s="25">
        <f>SUM('Astra Zeneca Standardized'!C36)</f>
        <v>31714.432000000001</v>
      </c>
      <c r="D38" s="25">
        <f>SUM('Astra Zeneca Standardized'!D36)</f>
        <v>37211.161</v>
      </c>
      <c r="E38" s="25">
        <f>SUM('Astra Zeneca Standardized'!E36)</f>
        <v>31657.226000000002</v>
      </c>
      <c r="F38" s="25">
        <f>SUM('Astra Zeneca Standardized'!F36)</f>
        <v>29403.885000000002</v>
      </c>
      <c r="G38" s="25">
        <f>SUM('Astra Zeneca Standardized'!G36)</f>
        <v>28961.641</v>
      </c>
      <c r="H38" s="25">
        <f>SUM('Astra Zeneca Standardized'!H36)</f>
        <v>26807.460999999999</v>
      </c>
      <c r="I38" s="25">
        <f>SUM('Astra Zeneca Standardized'!I36)</f>
        <v>54854.251000000004</v>
      </c>
      <c r="J38" s="25">
        <f>SUM('Astra Zeneca Standardized'!J36)</f>
        <v>55325.133999999998</v>
      </c>
      <c r="K38" s="25">
        <f>SUM('Astra Zeneca Standardized'!K36)</f>
        <v>52596.544000000002</v>
      </c>
      <c r="L38" s="25">
        <f>SUM('Astra Zeneca Standardized'!L36)</f>
        <v>56217.312000000005</v>
      </c>
      <c r="M38" s="25"/>
      <c r="N38" s="25"/>
      <c r="O38" s="25"/>
      <c r="P38" s="25"/>
      <c r="Q38" s="25"/>
    </row>
    <row r="39" spans="1:17" x14ac:dyDescent="0.45">
      <c r="B39" s="34" t="s">
        <v>280</v>
      </c>
      <c r="C39" s="25">
        <f>SUM('Astra Zeneca Standardized'!C37)</f>
        <v>615.94799999999998</v>
      </c>
      <c r="D39" s="25">
        <f>SUM('Astra Zeneca Standardized'!D37)</f>
        <v>844.846</v>
      </c>
      <c r="E39" s="25">
        <f>SUM('Astra Zeneca Standardized'!E37)</f>
        <v>932.73599999999999</v>
      </c>
      <c r="F39" s="25">
        <f>SUM('Astra Zeneca Standardized'!F37)</f>
        <v>854.18499999999995</v>
      </c>
      <c r="G39" s="25">
        <f>SUM('Astra Zeneca Standardized'!G37)</f>
        <v>1347.3430000000001</v>
      </c>
      <c r="H39" s="25">
        <f>SUM('Astra Zeneca Standardized'!H37)</f>
        <v>974.46</v>
      </c>
      <c r="I39" s="25">
        <f>SUM('Astra Zeneca Standardized'!I37)</f>
        <v>1109.6769999999999</v>
      </c>
      <c r="J39" s="25">
        <f>SUM('Astra Zeneca Standardized'!J37)</f>
        <v>1068.569</v>
      </c>
      <c r="K39" s="25">
        <f>SUM('Astra Zeneca Standardized'!K37)</f>
        <v>1517.182</v>
      </c>
      <c r="L39" s="25">
        <f>SUM('Astra Zeneca Standardized'!L37)</f>
        <v>1835.21</v>
      </c>
      <c r="M39" s="25"/>
      <c r="N39" s="25"/>
      <c r="O39" s="25"/>
      <c r="P39" s="25"/>
      <c r="Q39" s="25"/>
    </row>
    <row r="40" spans="1:17" x14ac:dyDescent="0.45">
      <c r="B40" s="34" t="s">
        <v>281</v>
      </c>
      <c r="C40" s="25">
        <f>'Astra Zeneca Standardized'!C38</f>
        <v>1191.386</v>
      </c>
      <c r="D40" s="25">
        <f>'Astra Zeneca Standardized'!D38</f>
        <v>1044.9159999999999</v>
      </c>
      <c r="E40" s="25">
        <f>'Astra Zeneca Standardized'!E38</f>
        <v>1822.999</v>
      </c>
      <c r="F40" s="25">
        <f>'Astra Zeneca Standardized'!F38</f>
        <v>2077.819</v>
      </c>
      <c r="G40" s="25">
        <f>'Astra Zeneca Standardized'!G38</f>
        <v>2422.0100000000002</v>
      </c>
      <c r="H40" s="25">
        <f>'Astra Zeneca Standardized'!H38</f>
        <v>2810.5650000000001</v>
      </c>
      <c r="I40" s="25">
        <f>'Astra Zeneca Standardized'!I38</f>
        <v>3807.3690000000001</v>
      </c>
      <c r="J40" s="25">
        <f>'Astra Zeneca Standardized'!J38</f>
        <v>3053.1889999999999</v>
      </c>
      <c r="K40" s="25">
        <f>'Astra Zeneca Standardized'!K38</f>
        <v>4268.375</v>
      </c>
      <c r="L40" s="25">
        <f>'Astra Zeneca Standardized'!L38</f>
        <v>5164.6670000000004</v>
      </c>
      <c r="M40" s="25"/>
      <c r="N40" s="25"/>
      <c r="O40" s="25"/>
      <c r="P40" s="25"/>
      <c r="Q40" s="25"/>
    </row>
    <row r="41" spans="1:17" x14ac:dyDescent="0.45">
      <c r="B41" s="35" t="s">
        <v>282</v>
      </c>
      <c r="C41" s="36">
        <f t="shared" ref="C41:L41" si="6">SUM(C37:C40)</f>
        <v>40555.913999999997</v>
      </c>
      <c r="D41" s="36">
        <f t="shared" si="6"/>
        <v>46712.124999999993</v>
      </c>
      <c r="E41" s="36">
        <f t="shared" si="6"/>
        <v>41809.891000000003</v>
      </c>
      <c r="F41" s="36">
        <f t="shared" si="6"/>
        <v>39355.404000000002</v>
      </c>
      <c r="G41" s="36">
        <f t="shared" si="6"/>
        <v>40824.856</v>
      </c>
      <c r="H41" s="36">
        <f t="shared" si="6"/>
        <v>38573.739000000001</v>
      </c>
      <c r="I41" s="36">
        <f t="shared" si="6"/>
        <v>69569.337000000014</v>
      </c>
      <c r="J41" s="36">
        <f t="shared" si="6"/>
        <v>69138.872000000003</v>
      </c>
      <c r="K41" s="36">
        <f t="shared" si="6"/>
        <v>68816.005999999994</v>
      </c>
      <c r="L41" s="36">
        <f t="shared" si="6"/>
        <v>75541.107000000018</v>
      </c>
      <c r="M41" s="36"/>
      <c r="N41" s="36"/>
      <c r="O41" s="36"/>
      <c r="P41" s="36"/>
      <c r="Q41" s="36"/>
    </row>
    <row r="43" spans="1:17" x14ac:dyDescent="0.45">
      <c r="B43" s="34" t="s">
        <v>136</v>
      </c>
      <c r="C43" s="25">
        <f>'Astra Zeneca Standardized'!C33</f>
        <v>1973.06</v>
      </c>
      <c r="D43" s="25">
        <f>'Astra Zeneca Standardized'!D33</f>
        <v>2213.0990000000002</v>
      </c>
      <c r="E43" s="25">
        <f>'Astra Zeneca Standardized'!E33</f>
        <v>2527.5479999999998</v>
      </c>
      <c r="F43" s="25">
        <f>'Astra Zeneca Standardized'!F33</f>
        <v>2524.1260000000002</v>
      </c>
      <c r="G43" s="25">
        <f>'Astra Zeneca Standardized'!G33</f>
        <v>2845.2820000000002</v>
      </c>
      <c r="H43" s="25">
        <f>'Astra Zeneca Standardized'!H33</f>
        <v>3289.62</v>
      </c>
      <c r="I43" s="25">
        <f>'Astra Zeneca Standardized'!I33</f>
        <v>7898.7520000000004</v>
      </c>
      <c r="J43" s="25">
        <f>'Astra Zeneca Standardized'!J33</f>
        <v>4396.8540000000003</v>
      </c>
      <c r="K43" s="25">
        <f>'Astra Zeneca Standardized'!K33</f>
        <v>4907.0929999999998</v>
      </c>
      <c r="L43" s="25">
        <f>'Astra Zeneca Standardized'!L33</f>
        <v>5107.6790000000001</v>
      </c>
      <c r="M43" s="25"/>
      <c r="N43" s="25"/>
      <c r="O43" s="25"/>
      <c r="P43" s="25"/>
      <c r="Q43" s="25"/>
    </row>
    <row r="44" spans="1:17" x14ac:dyDescent="0.45">
      <c r="B44" s="34" t="s">
        <v>283</v>
      </c>
      <c r="C44" s="25">
        <f>'Astra Zeneca Standardized'!C32</f>
        <v>4265.6030000000001</v>
      </c>
      <c r="D44" s="25">
        <f>'Astra Zeneca Standardized'!D32</f>
        <v>2449.201</v>
      </c>
      <c r="E44" s="25">
        <f>'Astra Zeneca Standardized'!E32</f>
        <v>2333.5059999999999</v>
      </c>
      <c r="F44" s="25">
        <f>'Astra Zeneca Standardized'!F32</f>
        <v>2615.8330000000001</v>
      </c>
      <c r="G44" s="25">
        <f>'Astra Zeneca Standardized'!G32</f>
        <v>3194.5940000000001</v>
      </c>
      <c r="H44" s="25">
        <f>'Astra Zeneca Standardized'!H32</f>
        <v>3111.4050000000002</v>
      </c>
      <c r="I44" s="25">
        <f>'Astra Zeneca Standardized'!I32</f>
        <v>5303.058</v>
      </c>
      <c r="J44" s="25">
        <f>'Astra Zeneca Standardized'!J32</f>
        <v>6748.268</v>
      </c>
      <c r="K44" s="25">
        <f>'Astra Zeneca Standardized'!K32</f>
        <v>7605.8130000000001</v>
      </c>
      <c r="L44" s="25">
        <f>'Astra Zeneca Standardized'!L32</f>
        <v>8018.902</v>
      </c>
      <c r="M44" s="25"/>
      <c r="N44" s="25"/>
      <c r="O44" s="25"/>
      <c r="P44" s="25"/>
      <c r="Q44" s="25"/>
    </row>
    <row r="45" spans="1:17" x14ac:dyDescent="0.45">
      <c r="B45" s="34" t="s">
        <v>284</v>
      </c>
      <c r="C45" s="25">
        <f>'Astra Zeneca Standardized'!C34</f>
        <v>2189.424</v>
      </c>
      <c r="D45" s="25">
        <f>'Astra Zeneca Standardized'!D34</f>
        <v>2316.4529999999995</v>
      </c>
      <c r="E45" s="25">
        <f>'Astra Zeneca Standardized'!E34</f>
        <v>2297.6950000000002</v>
      </c>
      <c r="F45" s="25">
        <f>'Astra Zeneca Standardized'!F34</f>
        <v>4222.8899999999994</v>
      </c>
      <c r="G45" s="25">
        <f>'Astra Zeneca Standardized'!G34</f>
        <v>3010.1369999999997</v>
      </c>
      <c r="H45" s="25">
        <f>'Astra Zeneca Standardized'!H34</f>
        <v>3139.2020000000002</v>
      </c>
      <c r="I45" s="25">
        <f>'Astra Zeneca Standardized'!I34</f>
        <v>4262.8469999999998</v>
      </c>
      <c r="J45" s="25">
        <f>'Astra Zeneca Standardized'!J34</f>
        <v>4165.7359999999999</v>
      </c>
      <c r="K45" s="25">
        <f>'Astra Zeneca Standardized'!K34</f>
        <v>4870</v>
      </c>
      <c r="L45" s="25">
        <f>'Astra Zeneca Standardized'!L34</f>
        <v>6518.8589999999995</v>
      </c>
      <c r="M45" s="25"/>
      <c r="N45" s="25"/>
      <c r="O45" s="25"/>
      <c r="P45" s="25"/>
      <c r="Q45" s="25"/>
    </row>
    <row r="46" spans="1:17" x14ac:dyDescent="0.45">
      <c r="B46" s="34" t="s">
        <v>285</v>
      </c>
      <c r="C46" s="27">
        <f>'Astra Zeneca Standardized'!C31</f>
        <v>6309.5569999999998</v>
      </c>
      <c r="D46" s="27">
        <f>'Astra Zeneca Standardized'!D31</f>
        <v>5596.277</v>
      </c>
      <c r="E46" s="27">
        <f>'Astra Zeneca Standardized'!E31</f>
        <v>3792.5709999999999</v>
      </c>
      <c r="F46" s="27">
        <f>'Astra Zeneca Standardized'!F31</f>
        <v>4254.3310000000001</v>
      </c>
      <c r="G46" s="27">
        <f>'Astra Zeneca Standardized'!G31</f>
        <v>4818.1779999999999</v>
      </c>
      <c r="H46" s="27">
        <f>'Astra Zeneca Standardized'!H31</f>
        <v>6436.9949999999999</v>
      </c>
      <c r="I46" s="27">
        <f>'Astra Zeneca Standardized'!I31</f>
        <v>5611.6930000000002</v>
      </c>
      <c r="J46" s="27">
        <f>'Astra Zeneca Standardized'!J31</f>
        <v>5829.4110000000001</v>
      </c>
      <c r="K46" s="27">
        <f>'Astra Zeneca Standardized'!K31</f>
        <v>5283.4480000000003</v>
      </c>
      <c r="L46" s="27">
        <f>'Astra Zeneca Standardized'!L31</f>
        <v>5300.8590000000004</v>
      </c>
      <c r="M46" s="27"/>
      <c r="N46" s="27"/>
      <c r="O46" s="27"/>
      <c r="P46" s="27"/>
      <c r="Q46" s="27"/>
    </row>
    <row r="47" spans="1:17" x14ac:dyDescent="0.45">
      <c r="B47" s="42" t="s">
        <v>286</v>
      </c>
      <c r="C47" s="32">
        <f t="shared" ref="C47:L47" si="7">SUM(C43:C46)</f>
        <v>14737.644</v>
      </c>
      <c r="D47" s="32">
        <f t="shared" si="7"/>
        <v>12575.029999999999</v>
      </c>
      <c r="E47" s="32">
        <f t="shared" si="7"/>
        <v>10951.32</v>
      </c>
      <c r="F47" s="32">
        <f t="shared" si="7"/>
        <v>13617.18</v>
      </c>
      <c r="G47" s="32">
        <f t="shared" si="7"/>
        <v>13868.190999999999</v>
      </c>
      <c r="H47" s="32">
        <f t="shared" si="7"/>
        <v>15977.221999999998</v>
      </c>
      <c r="I47" s="32">
        <f t="shared" si="7"/>
        <v>23076.35</v>
      </c>
      <c r="J47" s="32">
        <f t="shared" si="7"/>
        <v>21140.269</v>
      </c>
      <c r="K47" s="32">
        <f t="shared" si="7"/>
        <v>22666.353999999999</v>
      </c>
      <c r="L47" s="32">
        <f t="shared" si="7"/>
        <v>24946.298999999999</v>
      </c>
      <c r="M47" s="32"/>
      <c r="N47" s="32"/>
      <c r="O47" s="32"/>
      <c r="P47" s="32"/>
      <c r="Q47" s="32"/>
    </row>
    <row r="49" spans="2:17" ht="14.65" thickBot="1" x14ac:dyDescent="0.5">
      <c r="B49" s="34"/>
      <c r="C49" s="49"/>
      <c r="D49" s="49"/>
      <c r="E49" s="49"/>
      <c r="F49" s="49"/>
      <c r="G49" s="49"/>
      <c r="H49" s="49"/>
      <c r="I49" s="49"/>
      <c r="J49" s="49"/>
      <c r="K49" s="49"/>
      <c r="L49" s="49"/>
      <c r="M49" s="49"/>
      <c r="N49" s="49"/>
      <c r="O49" s="49"/>
      <c r="P49" s="49"/>
      <c r="Q49" s="49"/>
    </row>
    <row r="50" spans="2:17" ht="14.65" thickTop="1" x14ac:dyDescent="0.45">
      <c r="B50" s="42" t="s">
        <v>287</v>
      </c>
      <c r="C50" s="32">
        <f t="shared" ref="C50:K50" si="8">SUM(C41,C47)</f>
        <v>55293.557999999997</v>
      </c>
      <c r="D50" s="32">
        <f t="shared" si="8"/>
        <v>59287.154999999992</v>
      </c>
      <c r="E50" s="32">
        <f t="shared" si="8"/>
        <v>52761.211000000003</v>
      </c>
      <c r="F50" s="32">
        <f t="shared" si="8"/>
        <v>52972.584000000003</v>
      </c>
      <c r="G50" s="32">
        <f t="shared" si="8"/>
        <v>54693.046999999999</v>
      </c>
      <c r="H50" s="32">
        <f t="shared" si="8"/>
        <v>54550.960999999996</v>
      </c>
      <c r="I50" s="32">
        <f t="shared" si="8"/>
        <v>92645.687000000005</v>
      </c>
      <c r="J50" s="32">
        <f t="shared" si="8"/>
        <v>90279.141000000003</v>
      </c>
      <c r="K50" s="32">
        <f t="shared" si="8"/>
        <v>91482.359999999986</v>
      </c>
      <c r="L50" s="32">
        <f>SUM(L41,L47)</f>
        <v>100487.40600000002</v>
      </c>
      <c r="M50" s="32"/>
      <c r="N50" s="32"/>
      <c r="O50" s="32"/>
      <c r="P50" s="32"/>
      <c r="Q50" s="32"/>
    </row>
    <row r="52" spans="2:17" x14ac:dyDescent="0.45">
      <c r="B52" s="24" t="s">
        <v>288</v>
      </c>
    </row>
    <row r="53" spans="2:17" x14ac:dyDescent="0.45">
      <c r="B53" s="42" t="s">
        <v>289</v>
      </c>
      <c r="C53" s="23">
        <f>'Astra Zeneca Standardized'!C50</f>
        <v>17023.743000000002</v>
      </c>
      <c r="D53" s="23">
        <f>'Astra Zeneca Standardized'!D50</f>
        <v>14084.562999999998</v>
      </c>
      <c r="E53" s="23">
        <f>'Astra Zeneca Standardized'!E50</f>
        <v>12458.688</v>
      </c>
      <c r="F53" s="23">
        <f>'Astra Zeneca Standardized'!F50</f>
        <v>10889.552</v>
      </c>
      <c r="G53" s="23">
        <f>'Astra Zeneca Standardized'!G50</f>
        <v>11697.470000000001</v>
      </c>
      <c r="H53" s="23">
        <f>'Astra Zeneca Standardized'!H50</f>
        <v>12770.986000000001</v>
      </c>
      <c r="I53" s="23">
        <f>'Astra Zeneca Standardized'!I50</f>
        <v>34528.351999999999</v>
      </c>
      <c r="J53" s="23">
        <f>'Astra Zeneca Standardized'!J50</f>
        <v>34655.521000000001</v>
      </c>
      <c r="K53" s="23">
        <f>'Astra Zeneca Standardized'!K50</f>
        <v>35412.673000000003</v>
      </c>
      <c r="L53" s="23">
        <f>'Astra Zeneca Standardized'!L50</f>
        <v>39395.197</v>
      </c>
      <c r="M53" s="23"/>
      <c r="N53" s="23"/>
      <c r="O53" s="23"/>
      <c r="P53" s="23"/>
      <c r="Q53" s="23"/>
    </row>
    <row r="54" spans="2:17" x14ac:dyDescent="0.45">
      <c r="B54" s="24" t="s">
        <v>290</v>
      </c>
      <c r="C54" s="24">
        <f>'Astra Zeneca Standardized'!C51</f>
        <v>0</v>
      </c>
      <c r="D54" s="24">
        <f>'Astra Zeneca Standardized'!D51</f>
        <v>0</v>
      </c>
      <c r="E54" s="24">
        <f>'Astra Zeneca Standardized'!E51</f>
        <v>0</v>
      </c>
      <c r="F54" s="24">
        <f>'Astra Zeneca Standardized'!F51</f>
        <v>0</v>
      </c>
      <c r="G54" s="24">
        <f>'Astra Zeneca Standardized'!G51</f>
        <v>0</v>
      </c>
      <c r="H54" s="24">
        <f>'Astra Zeneca Standardized'!H51</f>
        <v>0</v>
      </c>
      <c r="I54" s="24">
        <f>'Astra Zeneca Standardized'!I51</f>
        <v>0</v>
      </c>
      <c r="J54" s="24">
        <f>'Astra Zeneca Standardized'!J51</f>
        <v>0</v>
      </c>
      <c r="K54" s="24">
        <f>'Astra Zeneca Standardized'!K51</f>
        <v>0</v>
      </c>
      <c r="L54" s="24">
        <f>'Astra Zeneca Standardized'!L51</f>
        <v>0</v>
      </c>
    </row>
    <row r="55" spans="2:17" x14ac:dyDescent="0.45">
      <c r="B55" s="216" t="s">
        <v>291</v>
      </c>
      <c r="C55" s="25">
        <f>'Astra Zeneca Standardized'!C49</f>
        <v>17.492999999999999</v>
      </c>
      <c r="D55" s="25">
        <f>'Astra Zeneca Standardized'!D49</f>
        <v>1720.9829999999999</v>
      </c>
      <c r="E55" s="25">
        <f>'Astra Zeneca Standardized'!E49</f>
        <v>1400.77</v>
      </c>
      <c r="F55" s="25">
        <f>'Astra Zeneca Standardized'!F49</f>
        <v>1376.4780000000001</v>
      </c>
      <c r="G55" s="25">
        <f>'Astra Zeneca Standardized'!G49</f>
        <v>1309.0260000000001</v>
      </c>
      <c r="H55" s="25">
        <f>'Astra Zeneca Standardized'!H49</f>
        <v>13.08</v>
      </c>
      <c r="I55" s="25">
        <f>'Astra Zeneca Standardized'!I49</f>
        <v>16.707000000000001</v>
      </c>
      <c r="J55" s="25">
        <f>'Astra Zeneca Standardized'!J49</f>
        <v>19.649999999999999</v>
      </c>
      <c r="K55" s="25">
        <f>'Astra Zeneca Standardized'!K49</f>
        <v>20.808</v>
      </c>
      <c r="L55" s="25">
        <f>'Astra Zeneca Standardized'!L49</f>
        <v>82.102000000000004</v>
      </c>
      <c r="M55" s="23"/>
      <c r="N55" s="23"/>
      <c r="O55" s="23"/>
      <c r="P55" s="23"/>
      <c r="Q55" s="23"/>
    </row>
    <row r="58" spans="2:17" x14ac:dyDescent="0.45">
      <c r="B58" s="34" t="s">
        <v>292</v>
      </c>
      <c r="C58" s="25">
        <f>'Astra Zeneca Standardized'!C46</f>
        <v>14834.319</v>
      </c>
      <c r="D58" s="25">
        <f>'Astra Zeneca Standardized'!D46</f>
        <v>17736.081000000002</v>
      </c>
      <c r="E58" s="25">
        <f>'Astra Zeneca Standardized'!E46</f>
        <v>16631.016</v>
      </c>
      <c r="F58" s="25">
        <f>'Astra Zeneca Standardized'!F46</f>
        <v>18963.259999999998</v>
      </c>
      <c r="G58" s="25">
        <f>'Astra Zeneca Standardized'!G46</f>
        <v>18880.627</v>
      </c>
      <c r="H58" s="25">
        <f>'Astra Zeneca Standardized'!H46</f>
        <v>19207.163</v>
      </c>
      <c r="I58" s="25">
        <f>'Astra Zeneca Standardized'!I46</f>
        <v>28950.951999999997</v>
      </c>
      <c r="J58" s="25">
        <f>'Astra Zeneca Standardized'!J46</f>
        <v>24141.997000000003</v>
      </c>
      <c r="K58" s="25">
        <f>'Astra Zeneca Standardized'!K46</f>
        <v>22418.466</v>
      </c>
      <c r="L58" s="25">
        <f>'Astra Zeneca Standardized'!L46</f>
        <v>28072.917999999998</v>
      </c>
      <c r="M58" s="25"/>
      <c r="N58" s="25"/>
      <c r="O58" s="25"/>
      <c r="P58" s="25"/>
      <c r="Q58" s="25"/>
    </row>
    <row r="59" spans="2:17" x14ac:dyDescent="0.45">
      <c r="B59" s="34" t="s">
        <v>293</v>
      </c>
      <c r="C59" s="25">
        <f>'Astra Zeneca Standardized'!C47</f>
        <v>2453.6660000000002</v>
      </c>
      <c r="D59" s="25">
        <f>'Astra Zeneca Standardized'!D47</f>
        <v>3751.0790000000002</v>
      </c>
      <c r="E59" s="25">
        <f>'Astra Zeneca Standardized'!E47</f>
        <v>3327.0360000000001</v>
      </c>
      <c r="F59" s="25">
        <f>'Astra Zeneca Standardized'!F47</f>
        <v>2869.9920000000002</v>
      </c>
      <c r="G59" s="25">
        <f>'Astra Zeneca Standardized'!G47</f>
        <v>2218.8389999999999</v>
      </c>
      <c r="H59" s="25">
        <f>'Astra Zeneca Standardized'!H47</f>
        <v>2385.4650000000001</v>
      </c>
      <c r="I59" s="25">
        <f>'Astra Zeneca Standardized'!I47</f>
        <v>5456.9359999999997</v>
      </c>
      <c r="J59" s="25">
        <f>'Astra Zeneca Standardized'!J47</f>
        <v>2754.701</v>
      </c>
      <c r="K59" s="25">
        <f>'Astra Zeneca Standardized'!K47</f>
        <v>2572.9670000000001</v>
      </c>
      <c r="L59" s="25">
        <f>'Astra Zeneca Standardized'!L47</f>
        <v>3192.3</v>
      </c>
      <c r="M59" s="25"/>
      <c r="N59" s="25"/>
      <c r="O59" s="25"/>
      <c r="P59" s="25"/>
      <c r="Q59" s="25"/>
    </row>
    <row r="60" spans="2:17" x14ac:dyDescent="0.45">
      <c r="B60" s="34" t="s">
        <v>294</v>
      </c>
      <c r="C60" s="27">
        <f>'Astra Zeneca Standardized'!C48</f>
        <v>7274.451</v>
      </c>
      <c r="D60" s="27">
        <f>'Astra Zeneca Standardized'!D48</f>
        <v>7528.7079999999996</v>
      </c>
      <c r="E60" s="27">
        <f>'Astra Zeneca Standardized'!E48</f>
        <v>5299.9390000000003</v>
      </c>
      <c r="F60" s="27">
        <f>'Astra Zeneca Standardized'!F48</f>
        <v>4643.8680000000004</v>
      </c>
      <c r="G60" s="27">
        <f>'Astra Zeneca Standardized'!G48</f>
        <v>4443.0250000000005</v>
      </c>
      <c r="H60" s="27">
        <f>'Astra Zeneca Standardized'!H48</f>
        <v>3573.2930000000001</v>
      </c>
      <c r="I60" s="27">
        <f>'Astra Zeneca Standardized'!I48</f>
        <v>3825.835</v>
      </c>
      <c r="J60" s="27">
        <f>'Astra Zeneca Standardized'!J48</f>
        <v>4104.9160000000002</v>
      </c>
      <c r="K60" s="27">
        <f>'Astra Zeneca Standardized'!K48</f>
        <v>3426.0990000000002</v>
      </c>
      <c r="L60" s="27">
        <f>'Astra Zeneca Standardized'!L48</f>
        <v>2829.1210000000001</v>
      </c>
      <c r="M60" s="27"/>
      <c r="N60" s="27"/>
      <c r="O60" s="27"/>
      <c r="P60" s="27"/>
      <c r="Q60" s="27"/>
    </row>
    <row r="61" spans="2:17" x14ac:dyDescent="0.45">
      <c r="B61" s="42" t="s">
        <v>295</v>
      </c>
      <c r="C61" s="32">
        <f t="shared" ref="C61:Q61" si="9">SUM(C58:C60)</f>
        <v>24562.436000000002</v>
      </c>
      <c r="D61" s="32">
        <f t="shared" si="9"/>
        <v>29015.868000000002</v>
      </c>
      <c r="E61" s="32">
        <f t="shared" si="9"/>
        <v>25257.991000000002</v>
      </c>
      <c r="F61" s="32">
        <f t="shared" si="9"/>
        <v>26477.120000000003</v>
      </c>
      <c r="G61" s="32">
        <f t="shared" si="9"/>
        <v>25542.491000000002</v>
      </c>
      <c r="H61" s="32">
        <f t="shared" si="9"/>
        <v>25165.921000000002</v>
      </c>
      <c r="I61" s="32">
        <f t="shared" si="9"/>
        <v>38233.722999999998</v>
      </c>
      <c r="J61" s="32">
        <f t="shared" si="9"/>
        <v>31001.614000000005</v>
      </c>
      <c r="K61" s="32">
        <f t="shared" si="9"/>
        <v>28417.531999999999</v>
      </c>
      <c r="L61" s="32">
        <f t="shared" si="9"/>
        <v>34094.339</v>
      </c>
      <c r="M61" s="32">
        <f t="shared" si="9"/>
        <v>0</v>
      </c>
      <c r="N61" s="32">
        <f t="shared" si="9"/>
        <v>0</v>
      </c>
      <c r="O61" s="32">
        <f t="shared" si="9"/>
        <v>0</v>
      </c>
      <c r="P61" s="32">
        <f t="shared" si="9"/>
        <v>0</v>
      </c>
      <c r="Q61" s="32">
        <f t="shared" si="9"/>
        <v>0</v>
      </c>
    </row>
    <row r="63" spans="2:17" x14ac:dyDescent="0.45">
      <c r="B63" s="34" t="s">
        <v>296</v>
      </c>
      <c r="C63" s="25">
        <f>'Astra Zeneca Standardized'!C44</f>
        <v>3193.9079999999999</v>
      </c>
      <c r="D63" s="25">
        <f>'Astra Zeneca Standardized'!D44</f>
        <v>1592.9760000000001</v>
      </c>
      <c r="E63" s="25">
        <f>'Astra Zeneca Standardized'!E44</f>
        <v>1902.9480000000001</v>
      </c>
      <c r="F63" s="25">
        <f>'Astra Zeneca Standardized'!F44</f>
        <v>1502.248</v>
      </c>
      <c r="G63" s="25">
        <f>'Astra Zeneca Standardized'!G44</f>
        <v>1580.8109999999999</v>
      </c>
      <c r="H63" s="25">
        <f>'Astra Zeneca Standardized'!H44</f>
        <v>1921.125</v>
      </c>
      <c r="I63" s="25">
        <f>'Astra Zeneca Standardized'!I44</f>
        <v>2483.143</v>
      </c>
      <c r="J63" s="25">
        <f>'Astra Zeneca Standardized'!J44</f>
        <v>2386.0349999999999</v>
      </c>
      <c r="K63" s="25">
        <f>'Astra Zeneca Standardized'!K44</f>
        <v>2955.6550000000002</v>
      </c>
      <c r="L63" s="25">
        <f>'Astra Zeneca Standardized'!L44</f>
        <v>3515.8760000000002</v>
      </c>
      <c r="M63" s="25"/>
      <c r="N63" s="25"/>
      <c r="O63" s="25"/>
      <c r="P63" s="25"/>
      <c r="Q63" s="25"/>
    </row>
    <row r="64" spans="2:17" x14ac:dyDescent="0.45">
      <c r="B64" s="34" t="s">
        <v>297</v>
      </c>
      <c r="C64" s="25">
        <f>'Astra Zeneca Standardized'!C45</f>
        <v>9644.3329999999987</v>
      </c>
      <c r="D64" s="25">
        <f>'Astra Zeneca Standardized'!D45</f>
        <v>10668.198</v>
      </c>
      <c r="E64" s="25">
        <f>'Astra Zeneca Standardized'!E45</f>
        <v>9849.5249999999996</v>
      </c>
      <c r="F64" s="25">
        <f>'Astra Zeneca Standardized'!F45</f>
        <v>11171.66</v>
      </c>
      <c r="G64" s="25">
        <f>'Astra Zeneca Standardized'!G45</f>
        <v>12740.057000000003</v>
      </c>
      <c r="H64" s="25">
        <f>'Astra Zeneca Standardized'!H45</f>
        <v>12702.315999999999</v>
      </c>
      <c r="I64" s="25">
        <f>'Astra Zeneca Standardized'!I45</f>
        <v>14840.824999999999</v>
      </c>
      <c r="J64" s="25">
        <f>'Astra Zeneca Standardized'!J45</f>
        <v>16132.403</v>
      </c>
      <c r="K64" s="25">
        <f>'Astra Zeneca Standardized'!K45</f>
        <v>18895.564999999999</v>
      </c>
      <c r="L64" s="25">
        <f>'Astra Zeneca Standardized'!L45</f>
        <v>20766.848999999998</v>
      </c>
      <c r="M64" s="25"/>
      <c r="N64" s="25"/>
      <c r="O64" s="25"/>
      <c r="P64" s="25"/>
      <c r="Q64" s="25"/>
    </row>
    <row r="65" spans="1:20" x14ac:dyDescent="0.45">
      <c r="B65" s="34" t="s">
        <v>298</v>
      </c>
      <c r="C65" s="27">
        <f>'Astra Zeneca Standardized'!C43</f>
        <v>851.64699999999993</v>
      </c>
      <c r="D65" s="27">
        <f>'Astra Zeneca Standardized'!D43</f>
        <v>2204.5639999999999</v>
      </c>
      <c r="E65" s="27">
        <f>'Astra Zeneca Standardized'!E43</f>
        <v>1891.289</v>
      </c>
      <c r="F65" s="27">
        <f>'Astra Zeneca Standardized'!F43</f>
        <v>1555.5250000000001</v>
      </c>
      <c r="G65" s="27">
        <f>'Astra Zeneca Standardized'!G43</f>
        <v>1823.191</v>
      </c>
      <c r="H65" s="27">
        <f>'Astra Zeneca Standardized'!H43</f>
        <v>1977.5329999999999</v>
      </c>
      <c r="I65" s="27">
        <f>'Astra Zeneca Standardized'!I43</f>
        <v>2542.9349999999999</v>
      </c>
      <c r="J65" s="27">
        <f>'Astra Zeneca Standardized'!J43</f>
        <v>6083.9220000000005</v>
      </c>
      <c r="K65" s="27">
        <f>'Astra Zeneca Standardized'!K43</f>
        <v>5780.1279999999997</v>
      </c>
      <c r="L65" s="27">
        <f>'Astra Zeneca Standardized'!L43</f>
        <v>2633.0430000000001</v>
      </c>
      <c r="M65" s="27"/>
      <c r="N65" s="27"/>
      <c r="O65" s="27"/>
      <c r="P65" s="27"/>
      <c r="Q65" s="27"/>
    </row>
    <row r="66" spans="1:20" x14ac:dyDescent="0.45">
      <c r="B66" s="42" t="s">
        <v>299</v>
      </c>
      <c r="C66" s="32">
        <f t="shared" ref="C66:Q66" si="10">SUM(C63:C65)</f>
        <v>13689.887999999999</v>
      </c>
      <c r="D66" s="32">
        <f t="shared" si="10"/>
        <v>14465.738000000001</v>
      </c>
      <c r="E66" s="32">
        <f t="shared" si="10"/>
        <v>13643.762000000001</v>
      </c>
      <c r="F66" s="32">
        <f t="shared" si="10"/>
        <v>14229.432999999999</v>
      </c>
      <c r="G66" s="32">
        <f t="shared" si="10"/>
        <v>16144.059000000003</v>
      </c>
      <c r="H66" s="32">
        <f t="shared" si="10"/>
        <v>16600.973999999998</v>
      </c>
      <c r="I66" s="32">
        <f t="shared" si="10"/>
        <v>19866.903000000002</v>
      </c>
      <c r="J66" s="32">
        <f t="shared" si="10"/>
        <v>24602.36</v>
      </c>
      <c r="K66" s="32">
        <f t="shared" si="10"/>
        <v>27631.347999999998</v>
      </c>
      <c r="L66" s="32">
        <f t="shared" si="10"/>
        <v>26915.768</v>
      </c>
      <c r="M66" s="32">
        <f t="shared" si="10"/>
        <v>0</v>
      </c>
      <c r="N66" s="32">
        <f t="shared" si="10"/>
        <v>0</v>
      </c>
      <c r="O66" s="32">
        <f t="shared" si="10"/>
        <v>0</v>
      </c>
      <c r="P66" s="32">
        <f t="shared" si="10"/>
        <v>0</v>
      </c>
      <c r="Q66" s="32">
        <f t="shared" si="10"/>
        <v>0</v>
      </c>
    </row>
    <row r="68" spans="1:20" ht="14.65" thickBot="1" x14ac:dyDescent="0.5">
      <c r="C68" s="49"/>
      <c r="D68" s="49"/>
      <c r="E68" s="49"/>
      <c r="F68" s="49"/>
      <c r="G68" s="49"/>
      <c r="H68" s="49"/>
      <c r="I68" s="49"/>
      <c r="J68" s="49"/>
      <c r="K68" s="49"/>
      <c r="L68" s="49"/>
      <c r="M68" s="49"/>
      <c r="N68" s="49"/>
      <c r="O68" s="49"/>
      <c r="P68" s="49"/>
      <c r="Q68" s="49"/>
    </row>
    <row r="69" spans="1:20" ht="15" thickTop="1" thickBot="1" x14ac:dyDescent="0.5">
      <c r="B69" s="44" t="s">
        <v>300</v>
      </c>
      <c r="C69" s="44">
        <f>SUM(C53:C55,C61,C66)</f>
        <v>55293.560000000005</v>
      </c>
      <c r="D69" s="44">
        <f t="shared" ref="D69:L69" si="11">SUM(D53:D55,D61,D66)</f>
        <v>59287.152000000002</v>
      </c>
      <c r="E69" s="44">
        <f t="shared" si="11"/>
        <v>52761.211000000003</v>
      </c>
      <c r="F69" s="44">
        <f t="shared" si="11"/>
        <v>52972.582999999999</v>
      </c>
      <c r="G69" s="44">
        <f t="shared" si="11"/>
        <v>54693.046000000002</v>
      </c>
      <c r="H69" s="44">
        <f t="shared" si="11"/>
        <v>54550.960999999996</v>
      </c>
      <c r="I69" s="44">
        <f t="shared" si="11"/>
        <v>92645.685000000012</v>
      </c>
      <c r="J69" s="44">
        <f t="shared" si="11"/>
        <v>90279.145000000004</v>
      </c>
      <c r="K69" s="44">
        <f t="shared" si="11"/>
        <v>91482.361000000004</v>
      </c>
      <c r="L69" s="44">
        <f t="shared" si="11"/>
        <v>100487.406</v>
      </c>
      <c r="M69" s="44"/>
      <c r="N69" s="44"/>
      <c r="O69" s="44"/>
      <c r="P69" s="44"/>
      <c r="Q69" s="44"/>
    </row>
    <row r="70" spans="1:20" s="56" customFormat="1" ht="15" thickTop="1" thickBot="1" x14ac:dyDescent="0.5">
      <c r="B70" s="55" t="s">
        <v>301</v>
      </c>
      <c r="C70" s="55">
        <f t="shared" ref="C70:L70" si="12">C50-C69</f>
        <v>-2.0000000076834112E-3</v>
      </c>
      <c r="D70" s="55">
        <f t="shared" si="12"/>
        <v>2.999999989697244E-3</v>
      </c>
      <c r="E70" s="55">
        <f t="shared" si="12"/>
        <v>0</v>
      </c>
      <c r="F70" s="55">
        <f t="shared" si="12"/>
        <v>1.0000000038417056E-3</v>
      </c>
      <c r="G70" s="55">
        <f t="shared" si="12"/>
        <v>9.9999999656574801E-4</v>
      </c>
      <c r="H70" s="55">
        <f t="shared" si="12"/>
        <v>0</v>
      </c>
      <c r="I70" s="55">
        <f t="shared" si="12"/>
        <v>1.999999993131496E-3</v>
      </c>
      <c r="J70" s="55">
        <f t="shared" si="12"/>
        <v>-4.0000000008149073E-3</v>
      </c>
      <c r="K70" s="55">
        <f t="shared" si="12"/>
        <v>-1.0000000183936208E-3</v>
      </c>
      <c r="L70" s="55">
        <f t="shared" si="12"/>
        <v>0</v>
      </c>
      <c r="M70" s="55">
        <f>M69-M50</f>
        <v>0</v>
      </c>
      <c r="N70" s="55">
        <f>N69-N50</f>
        <v>0</v>
      </c>
      <c r="O70" s="55">
        <f>O69-O50</f>
        <v>0</v>
      </c>
      <c r="P70" s="55">
        <f>P69-P50</f>
        <v>0</v>
      </c>
      <c r="Q70" s="55">
        <f>Q69-Q50</f>
        <v>0</v>
      </c>
    </row>
    <row r="71" spans="1:20" ht="14.65" thickTop="1" x14ac:dyDescent="0.45">
      <c r="A71" s="24" t="s">
        <v>14</v>
      </c>
      <c r="B71" s="32" t="s">
        <v>302</v>
      </c>
      <c r="C71" s="46"/>
      <c r="D71" s="46"/>
      <c r="E71" s="46"/>
      <c r="F71" s="46"/>
      <c r="G71" s="46"/>
      <c r="H71" s="46"/>
      <c r="I71" s="46"/>
      <c r="J71" s="46"/>
      <c r="K71" s="46"/>
      <c r="L71" s="46"/>
      <c r="M71" s="46"/>
      <c r="N71" s="46"/>
      <c r="O71" s="46"/>
      <c r="P71" s="46"/>
      <c r="Q71" s="46"/>
    </row>
    <row r="72" spans="1:20" x14ac:dyDescent="0.45">
      <c r="B72" s="34" t="s">
        <v>303</v>
      </c>
      <c r="C72" s="25">
        <f>'Astra Zeneca Standardized'!C56</f>
        <v>2713.723</v>
      </c>
      <c r="D72" s="25">
        <f>'Astra Zeneca Standardized'!D56</f>
        <v>3628.7959999999998</v>
      </c>
      <c r="E72" s="25">
        <f>'Astra Zeneca Standardized'!E56</f>
        <v>3906.7270000000003</v>
      </c>
      <c r="F72" s="25">
        <f>'Astra Zeneca Standardized'!F56</f>
        <v>2617.3050000000003</v>
      </c>
      <c r="G72" s="25">
        <f>'Astra Zeneca Standardized'!G56</f>
        <v>1732.174</v>
      </c>
      <c r="H72" s="25">
        <f>'Astra Zeneca Standardized'!H56</f>
        <v>2841.0250000000005</v>
      </c>
      <c r="I72" s="25">
        <f>'Astra Zeneca Standardized'!I56</f>
        <v>1109.048</v>
      </c>
      <c r="J72" s="25">
        <f>'Astra Zeneca Standardized'!J56</f>
        <v>4830.7749999999996</v>
      </c>
      <c r="K72" s="25">
        <f>'Astra Zeneca Standardized'!K56</f>
        <v>6045.8330000000005</v>
      </c>
      <c r="L72" s="25">
        <f>'Astra Zeneca Standardized'!L56</f>
        <v>6595.0659999999998</v>
      </c>
      <c r="M72" s="25"/>
      <c r="N72" s="25"/>
      <c r="O72" s="25"/>
      <c r="P72" s="25"/>
      <c r="Q72" s="25"/>
      <c r="T72" s="51"/>
    </row>
    <row r="73" spans="1:20" x14ac:dyDescent="0.45">
      <c r="B73" s="34" t="s">
        <v>304</v>
      </c>
      <c r="C73" s="25">
        <f>'Astra Zeneca Standardized'!C60</f>
        <v>219.08099999999999</v>
      </c>
      <c r="D73" s="25">
        <f>'Astra Zeneca Standardized'!D60</f>
        <v>132.02199999999999</v>
      </c>
      <c r="E73" s="25">
        <f>'Astra Zeneca Standardized'!E60</f>
        <v>-568.49300000000005</v>
      </c>
      <c r="F73" s="25">
        <f>'Astra Zeneca Standardized'!F60</f>
        <v>-48.311999999999998</v>
      </c>
      <c r="G73" s="25">
        <f>'Astra Zeneca Standardized'!G60</f>
        <v>286.76</v>
      </c>
      <c r="H73" s="25">
        <f>'Astra Zeneca Standardized'!H60</f>
        <v>677.14499999999998</v>
      </c>
      <c r="I73" s="25">
        <f>'Astra Zeneca Standardized'!I60</f>
        <v>-321.46300000000002</v>
      </c>
      <c r="J73" s="25">
        <f>'Astra Zeneca Standardized'!J60</f>
        <v>-753.44100000000003</v>
      </c>
      <c r="K73" s="25">
        <f>'Astra Zeneca Standardized'!K60</f>
        <v>867.52200000000005</v>
      </c>
      <c r="L73" s="25">
        <f>'Astra Zeneca Standardized'!L60</f>
        <v>1525.5650000000001</v>
      </c>
      <c r="M73" s="25"/>
      <c r="N73" s="25"/>
      <c r="O73" s="25"/>
      <c r="P73" s="25"/>
      <c r="Q73" s="25"/>
      <c r="T73" s="51"/>
    </row>
    <row r="74" spans="1:20" x14ac:dyDescent="0.45">
      <c r="B74" s="34" t="s">
        <v>305</v>
      </c>
      <c r="C74" s="25">
        <f>'Astra Zeneca Standardized'!C58</f>
        <v>-928.61700000000008</v>
      </c>
      <c r="D74" s="25">
        <f>'Astra Zeneca Standardized'!D58</f>
        <v>-1172.825</v>
      </c>
      <c r="E74" s="25">
        <f>'Astra Zeneca Standardized'!E58</f>
        <v>-1461.585</v>
      </c>
      <c r="F74" s="25">
        <f>'Astra Zeneca Standardized'!F58</f>
        <v>-1495.117</v>
      </c>
      <c r="G74" s="25">
        <f>'Astra Zeneca Standardized'!G58</f>
        <v>-1006.787</v>
      </c>
      <c r="H74" s="25">
        <f>'Astra Zeneca Standardized'!H58</f>
        <v>-901.69</v>
      </c>
      <c r="I74" s="25">
        <f>'Astra Zeneca Standardized'!I58</f>
        <v>-1032.9119999999998</v>
      </c>
      <c r="J74" s="25">
        <f>'Astra Zeneca Standardized'!J58</f>
        <v>-200.727</v>
      </c>
      <c r="K74" s="25">
        <f>'Astra Zeneca Standardized'!K58</f>
        <v>-258.96199999999999</v>
      </c>
      <c r="L74" s="25">
        <f>'Astra Zeneca Standardized'!L58</f>
        <v>-29.587</v>
      </c>
      <c r="M74" s="25"/>
      <c r="N74" s="25"/>
      <c r="O74" s="25"/>
      <c r="P74" s="25"/>
      <c r="Q74" s="25"/>
      <c r="T74" s="51"/>
    </row>
    <row r="75" spans="1:20" x14ac:dyDescent="0.45">
      <c r="B75" s="34" t="s">
        <v>306</v>
      </c>
      <c r="C75" s="27">
        <f>'Astra Zeneca Standardized'!C59</f>
        <v>1422.675</v>
      </c>
      <c r="D75" s="27">
        <f>'Astra Zeneca Standardized'!D59</f>
        <v>919.63299999999981</v>
      </c>
      <c r="E75" s="27">
        <f>'Astra Zeneca Standardized'!E59</f>
        <v>2017.663</v>
      </c>
      <c r="F75" s="27">
        <f>'Astra Zeneca Standardized'!F59</f>
        <v>2429.1420000000003</v>
      </c>
      <c r="G75" s="27">
        <f>'Astra Zeneca Standardized'!G59</f>
        <v>2775.5889999999999</v>
      </c>
      <c r="H75" s="27">
        <f>'Astra Zeneca Standardized'!H59</f>
        <v>1991.087</v>
      </c>
      <c r="I75" s="27">
        <f>'Astra Zeneca Standardized'!I59</f>
        <v>4272.9210000000003</v>
      </c>
      <c r="J75" s="27">
        <f>'Astra Zeneca Standardized'!J59</f>
        <v>2829.2090000000003</v>
      </c>
      <c r="K75" s="27">
        <f>'Astra Zeneca Standardized'!K59</f>
        <v>4041.6540000000005</v>
      </c>
      <c r="L75" s="27">
        <f>'Astra Zeneca Standardized'!L59</f>
        <v>5317.2889999999998</v>
      </c>
      <c r="M75" s="27"/>
      <c r="N75" s="27"/>
      <c r="O75" s="27"/>
      <c r="P75" s="27"/>
      <c r="Q75" s="27"/>
      <c r="T75" s="51"/>
    </row>
    <row r="76" spans="1:20" ht="28.5" x14ac:dyDescent="0.45">
      <c r="B76" s="42" t="s">
        <v>307</v>
      </c>
      <c r="C76" s="32">
        <f t="shared" ref="C76:Q76" si="13">SUM(C72:C75)</f>
        <v>3426.8620000000001</v>
      </c>
      <c r="D76" s="32">
        <f t="shared" si="13"/>
        <v>3507.6259999999993</v>
      </c>
      <c r="E76" s="32">
        <f t="shared" si="13"/>
        <v>3894.3120000000004</v>
      </c>
      <c r="F76" s="32">
        <f t="shared" si="13"/>
        <v>3503.0180000000009</v>
      </c>
      <c r="G76" s="32">
        <f t="shared" si="13"/>
        <v>3787.7359999999999</v>
      </c>
      <c r="H76" s="32">
        <f t="shared" si="13"/>
        <v>4607.5670000000009</v>
      </c>
      <c r="I76" s="32">
        <f t="shared" si="13"/>
        <v>4027.5940000000005</v>
      </c>
      <c r="J76" s="32">
        <f t="shared" si="13"/>
        <v>6705.8160000000007</v>
      </c>
      <c r="K76" s="32">
        <f t="shared" si="13"/>
        <v>10696.047</v>
      </c>
      <c r="L76" s="32">
        <f t="shared" si="13"/>
        <v>13408.332999999999</v>
      </c>
      <c r="M76" s="32">
        <f t="shared" si="13"/>
        <v>0</v>
      </c>
      <c r="N76" s="32">
        <f t="shared" si="13"/>
        <v>0</v>
      </c>
      <c r="O76" s="32">
        <f t="shared" si="13"/>
        <v>0</v>
      </c>
      <c r="P76" s="32">
        <f t="shared" si="13"/>
        <v>0</v>
      </c>
      <c r="Q76" s="32">
        <f t="shared" si="13"/>
        <v>0</v>
      </c>
      <c r="T76" s="51"/>
    </row>
    <row r="77" spans="1:20" x14ac:dyDescent="0.45">
      <c r="B77" s="34"/>
    </row>
    <row r="78" spans="1:20" ht="28.5" x14ac:dyDescent="0.45">
      <c r="B78" s="34" t="s">
        <v>308</v>
      </c>
      <c r="C78" s="27">
        <f>'Astra Zeneca Standardized'!C63</f>
        <v>-44.176000000000045</v>
      </c>
      <c r="D78" s="27">
        <f>'Astra Zeneca Standardized'!D63</f>
        <v>837.3449999999998</v>
      </c>
      <c r="E78" s="27">
        <f>'Astra Zeneca Standardized'!E63</f>
        <v>-44.34499999999997</v>
      </c>
      <c r="F78" s="27">
        <f>'Astra Zeneca Standardized'!F63</f>
        <v>-541.59799999999996</v>
      </c>
      <c r="G78" s="27">
        <f>'Astra Zeneca Standardized'!G63</f>
        <v>-309.09300000000007</v>
      </c>
      <c r="H78" s="27">
        <f>'Astra Zeneca Standardized'!H63</f>
        <v>316.64499999999998</v>
      </c>
      <c r="I78" s="27">
        <f>'Astra Zeneca Standardized'!I63</f>
        <v>1709.6769999999999</v>
      </c>
      <c r="J78" s="27">
        <f>'Astra Zeneca Standardized'!J63</f>
        <v>3574.09</v>
      </c>
      <c r="K78" s="27">
        <f>'Astra Zeneca Standardized'!K63</f>
        <v>277.45899999999983</v>
      </c>
      <c r="L78" s="27">
        <f>'Astra Zeneca Standardized'!L63</f>
        <v>-825.6550000000002</v>
      </c>
      <c r="M78" s="27"/>
      <c r="N78" s="27"/>
      <c r="O78" s="27"/>
      <c r="P78" s="27"/>
      <c r="Q78" s="27"/>
      <c r="T78" s="51"/>
    </row>
    <row r="79" spans="1:20" ht="28.5" x14ac:dyDescent="0.45">
      <c r="B79" s="42" t="s">
        <v>309</v>
      </c>
      <c r="C79" s="32">
        <f t="shared" ref="C79:L79" si="14">SUM(C78,C76)</f>
        <v>3382.6860000000001</v>
      </c>
      <c r="D79" s="32">
        <f t="shared" si="14"/>
        <v>4344.9709999999995</v>
      </c>
      <c r="E79" s="32">
        <f t="shared" si="14"/>
        <v>3849.9670000000006</v>
      </c>
      <c r="F79" s="32">
        <f t="shared" si="14"/>
        <v>2961.420000000001</v>
      </c>
      <c r="G79" s="32">
        <f t="shared" si="14"/>
        <v>3478.643</v>
      </c>
      <c r="H79" s="32">
        <f t="shared" si="14"/>
        <v>4924.2120000000014</v>
      </c>
      <c r="I79" s="32">
        <f t="shared" si="14"/>
        <v>5737.2710000000006</v>
      </c>
      <c r="J79" s="32">
        <f t="shared" si="14"/>
        <v>10279.906000000001</v>
      </c>
      <c r="K79" s="32">
        <f t="shared" si="14"/>
        <v>10973.506000000001</v>
      </c>
      <c r="L79" s="32">
        <f t="shared" si="14"/>
        <v>12582.677999999998</v>
      </c>
      <c r="M79" s="32">
        <f>SUM(M76:M78)</f>
        <v>0</v>
      </c>
      <c r="N79" s="32">
        <f>SUM(N76:N78)</f>
        <v>0</v>
      </c>
      <c r="O79" s="32">
        <f>SUM(O76:O78)</f>
        <v>0</v>
      </c>
      <c r="P79" s="32">
        <f>SUM(P76:P78)</f>
        <v>0</v>
      </c>
      <c r="Q79" s="32">
        <f>SUM(Q76:Q78)</f>
        <v>0</v>
      </c>
      <c r="T79" s="51"/>
    </row>
    <row r="80" spans="1:20" x14ac:dyDescent="0.45">
      <c r="B80" s="34"/>
    </row>
    <row r="81" spans="1:18" x14ac:dyDescent="0.45">
      <c r="B81" s="34" t="s">
        <v>310</v>
      </c>
      <c r="C81" s="25">
        <f>'Astra Zeneca Standardized'!C61</f>
        <v>-32.456000000000003</v>
      </c>
      <c r="D81" s="25">
        <f>'Astra Zeneca Standardized'!D61</f>
        <v>-38.883000000000003</v>
      </c>
      <c r="E81" s="25">
        <f>'Astra Zeneca Standardized'!E61</f>
        <v>-87.802000000000007</v>
      </c>
      <c r="F81" s="25">
        <f>'Astra Zeneca Standardized'!F61</f>
        <v>-111.88</v>
      </c>
      <c r="G81" s="25">
        <f>'Astra Zeneca Standardized'!G61</f>
        <v>-129.53299999999999</v>
      </c>
      <c r="H81" s="25">
        <f>'Astra Zeneca Standardized'!H61</f>
        <v>-67.539000000000001</v>
      </c>
      <c r="I81" s="25">
        <f>'Astra Zeneca Standardized'!I61</f>
        <v>-36.375999999999998</v>
      </c>
      <c r="J81" s="25">
        <f>'Astra Zeneca Standardized'!J61</f>
        <v>-77.055999999999997</v>
      </c>
      <c r="K81" s="25">
        <f>'Astra Zeneca Standardized'!K61</f>
        <v>-278.38400000000001</v>
      </c>
      <c r="L81" s="25">
        <f>'Astra Zeneca Standardized'!L61</f>
        <v>-318.98200000000003</v>
      </c>
      <c r="M81" s="25"/>
      <c r="N81" s="25"/>
      <c r="O81" s="25"/>
      <c r="P81" s="25"/>
      <c r="Q81" s="25"/>
    </row>
    <row r="82" spans="1:18" x14ac:dyDescent="0.45">
      <c r="B82" s="34" t="s">
        <v>311</v>
      </c>
      <c r="C82" s="25">
        <f>'Astra Zeneca Standardized'!C62</f>
        <v>0</v>
      </c>
      <c r="D82" s="25">
        <f>'Astra Zeneca Standardized'!D62</f>
        <v>0</v>
      </c>
      <c r="E82" s="25">
        <f>'Astra Zeneca Standardized'!E62</f>
        <v>0</v>
      </c>
      <c r="F82" s="25">
        <f>'Astra Zeneca Standardized'!F62</f>
        <v>0</v>
      </c>
      <c r="G82" s="25">
        <f>'Astra Zeneca Standardized'!G62</f>
        <v>0</v>
      </c>
      <c r="H82" s="25">
        <f>'Astra Zeneca Standardized'!H62</f>
        <v>0</v>
      </c>
      <c r="I82" s="25">
        <f>'Astra Zeneca Standardized'!I62</f>
        <v>0</v>
      </c>
      <c r="J82" s="25">
        <f>'Astra Zeneca Standardized'!J62</f>
        <v>0</v>
      </c>
      <c r="K82" s="25">
        <f>'Astra Zeneca Standardized'!K62</f>
        <v>0</v>
      </c>
      <c r="L82" s="25">
        <f>'Astra Zeneca Standardized'!L62</f>
        <v>0</v>
      </c>
      <c r="M82" s="25"/>
      <c r="N82" s="25"/>
      <c r="O82" s="25"/>
      <c r="P82" s="25"/>
      <c r="Q82" s="25"/>
    </row>
    <row r="83" spans="1:18" ht="28.5" x14ac:dyDescent="0.45">
      <c r="B83" s="34" t="s">
        <v>312</v>
      </c>
      <c r="C83" s="27">
        <f>'Astra Zeneca Standardized'!C64</f>
        <v>-3821.752</v>
      </c>
      <c r="D83" s="27">
        <f>'Astra Zeneca Standardized'!D64</f>
        <v>-3588.96</v>
      </c>
      <c r="E83" s="27">
        <f>'Astra Zeneca Standardized'!E64</f>
        <v>-2064.7090000000003</v>
      </c>
      <c r="F83" s="27">
        <f>'Astra Zeneca Standardized'!F64</f>
        <v>816.28200000000004</v>
      </c>
      <c r="G83" s="27">
        <f>'Astra Zeneca Standardized'!G64</f>
        <v>-586.8739999999998</v>
      </c>
      <c r="H83" s="27">
        <f>'Astra Zeneca Standardized'!H64</f>
        <v>-249.9220000000002</v>
      </c>
      <c r="I83" s="27">
        <f>'Astra Zeneca Standardized'!I64</f>
        <v>-9354.5380000000005</v>
      </c>
      <c r="J83" s="27">
        <f>'Astra Zeneca Standardized'!J64</f>
        <v>-2815.7840000000001</v>
      </c>
      <c r="K83" s="27">
        <f>'Astra Zeneca Standardized'!K64</f>
        <v>-3758.6390000000001</v>
      </c>
      <c r="L83" s="27">
        <f>'Astra Zeneca Standardized'!L64</f>
        <v>-7378.2019999999993</v>
      </c>
      <c r="M83" s="27"/>
      <c r="N83" s="27"/>
      <c r="O83" s="27"/>
      <c r="P83" s="27"/>
      <c r="Q83" s="27"/>
    </row>
    <row r="84" spans="1:18" x14ac:dyDescent="0.45">
      <c r="B84" s="42" t="s">
        <v>313</v>
      </c>
      <c r="C84" s="32">
        <f t="shared" ref="C84:L84" si="15">SUM(C81:C83,C79)</f>
        <v>-471.52199999999993</v>
      </c>
      <c r="D84" s="32">
        <f t="shared" si="15"/>
        <v>717.1279999999997</v>
      </c>
      <c r="E84" s="32">
        <f t="shared" si="15"/>
        <v>1697.4560000000001</v>
      </c>
      <c r="F84" s="32">
        <f t="shared" si="15"/>
        <v>3665.822000000001</v>
      </c>
      <c r="G84" s="32">
        <f t="shared" si="15"/>
        <v>2762.2360000000003</v>
      </c>
      <c r="H84" s="32">
        <f t="shared" si="15"/>
        <v>4606.7510000000011</v>
      </c>
      <c r="I84" s="32">
        <f t="shared" si="15"/>
        <v>-3653.643</v>
      </c>
      <c r="J84" s="32">
        <f t="shared" si="15"/>
        <v>7387.0660000000007</v>
      </c>
      <c r="K84" s="32">
        <f t="shared" si="15"/>
        <v>6936.4830000000011</v>
      </c>
      <c r="L84" s="32">
        <f t="shared" si="15"/>
        <v>4885.4939999999988</v>
      </c>
      <c r="M84" s="32">
        <f>SUM(M79:M83)</f>
        <v>0</v>
      </c>
      <c r="N84" s="32">
        <f>SUM(N79:N83)</f>
        <v>0</v>
      </c>
      <c r="O84" s="32">
        <f>SUM(O79:O83)</f>
        <v>0</v>
      </c>
      <c r="P84" s="32">
        <f>SUM(P79:P83)</f>
        <v>0</v>
      </c>
      <c r="Q84" s="32">
        <f>SUM(Q79:Q83)</f>
        <v>0</v>
      </c>
    </row>
    <row r="85" spans="1:18" x14ac:dyDescent="0.45">
      <c r="B85" s="42"/>
      <c r="C85" s="32"/>
      <c r="D85" s="32"/>
      <c r="E85" s="32"/>
      <c r="F85" s="32"/>
      <c r="G85" s="32"/>
      <c r="H85" s="32"/>
      <c r="I85" s="32"/>
      <c r="J85" s="32"/>
      <c r="K85" s="32"/>
      <c r="L85" s="32"/>
      <c r="M85" s="32"/>
      <c r="N85" s="32"/>
      <c r="O85" s="32"/>
      <c r="P85" s="32"/>
      <c r="Q85" s="32"/>
    </row>
    <row r="86" spans="1:18" x14ac:dyDescent="0.45">
      <c r="B86" s="34" t="s">
        <v>314</v>
      </c>
      <c r="C86" s="25">
        <f>'Astra Zeneca Standardized'!C68</f>
        <v>-353.41500000000002</v>
      </c>
      <c r="D86" s="25">
        <f>'Astra Zeneca Standardized'!D68</f>
        <v>-557.92899999999997</v>
      </c>
      <c r="E86" s="25">
        <f>'Astra Zeneca Standardized'!E68</f>
        <v>-588.89099999999996</v>
      </c>
      <c r="F86" s="25">
        <f>'Astra Zeneca Standardized'!F68</f>
        <v>-630.59400000000005</v>
      </c>
      <c r="G86" s="25">
        <f>'Astra Zeneca Standardized'!G68</f>
        <v>-696.8</v>
      </c>
      <c r="H86" s="25">
        <f>'Astra Zeneca Standardized'!H68</f>
        <v>-647.322</v>
      </c>
      <c r="I86" s="25">
        <f>'Astra Zeneca Standardized'!I68</f>
        <v>-656.46199999999999</v>
      </c>
      <c r="J86" s="25">
        <f>'Astra Zeneca Standardized'!J68</f>
        <v>-872.35599999999999</v>
      </c>
      <c r="K86" s="25">
        <f>'Astra Zeneca Standardized'!K68</f>
        <v>-1127.4090000000001</v>
      </c>
      <c r="L86" s="25">
        <f>'Astra Zeneca Standardized'!L68</f>
        <v>-1297.193</v>
      </c>
      <c r="M86" s="25"/>
      <c r="N86" s="25"/>
      <c r="O86" s="25"/>
      <c r="P86" s="25"/>
      <c r="Q86" s="25"/>
    </row>
    <row r="87" spans="1:18" x14ac:dyDescent="0.45">
      <c r="B87" s="34" t="s">
        <v>315</v>
      </c>
      <c r="C87" s="27">
        <f>'Astra Zeneca Standardized'!C67</f>
        <v>3895.6809999999991</v>
      </c>
      <c r="D87" s="27">
        <f>'Astra Zeneca Standardized'!D67</f>
        <v>1980.3300000000002</v>
      </c>
      <c r="E87" s="27">
        <f>'Astra Zeneca Standardized'!E67</f>
        <v>478.91799999999995</v>
      </c>
      <c r="F87" s="27">
        <f>'Astra Zeneca Standardized'!F67</f>
        <v>1191.6879999999999</v>
      </c>
      <c r="G87" s="27">
        <f>'Astra Zeneca Standardized'!G67</f>
        <v>-1516.8810000000001</v>
      </c>
      <c r="H87" s="27">
        <f>'Astra Zeneca Standardized'!H67</f>
        <v>1174.4780000000001</v>
      </c>
      <c r="I87" s="27">
        <f>'Astra Zeneca Standardized'!I67</f>
        <v>6324.3630000000003</v>
      </c>
      <c r="J87" s="27">
        <f>'Astra Zeneca Standardized'!J67</f>
        <v>-2250.8110000000001</v>
      </c>
      <c r="K87" s="27">
        <f>'Astra Zeneca Standardized'!K67</f>
        <v>-1950.5369999999998</v>
      </c>
      <c r="L87" s="27">
        <f>'Astra Zeneca Standardized'!L67</f>
        <v>603.755</v>
      </c>
      <c r="M87" s="27"/>
      <c r="N87" s="27"/>
      <c r="O87" s="27"/>
      <c r="P87" s="27"/>
      <c r="Q87" s="27"/>
    </row>
    <row r="88" spans="1:18" x14ac:dyDescent="0.45">
      <c r="B88" s="42" t="s">
        <v>316</v>
      </c>
      <c r="C88" s="32">
        <f t="shared" ref="C88:L88" si="16">SUM(C86:C87,C84)</f>
        <v>3070.7439999999992</v>
      </c>
      <c r="D88" s="32">
        <f t="shared" si="16"/>
        <v>2139.529</v>
      </c>
      <c r="E88" s="32">
        <f t="shared" si="16"/>
        <v>1587.4830000000002</v>
      </c>
      <c r="F88" s="32">
        <f t="shared" si="16"/>
        <v>4226.9160000000011</v>
      </c>
      <c r="G88" s="32">
        <f t="shared" si="16"/>
        <v>548.55500000000029</v>
      </c>
      <c r="H88" s="32">
        <f t="shared" si="16"/>
        <v>5133.9070000000011</v>
      </c>
      <c r="I88" s="32">
        <f t="shared" si="16"/>
        <v>2014.2579999999998</v>
      </c>
      <c r="J88" s="32">
        <f t="shared" si="16"/>
        <v>4263.8990000000003</v>
      </c>
      <c r="K88" s="32">
        <f t="shared" si="16"/>
        <v>3858.5370000000012</v>
      </c>
      <c r="L88" s="32">
        <f t="shared" si="16"/>
        <v>4192.0559999999987</v>
      </c>
      <c r="M88" s="32">
        <f>SUM(M84:M87)</f>
        <v>0</v>
      </c>
      <c r="N88" s="32">
        <f>SUM(N84:N87)</f>
        <v>0</v>
      </c>
      <c r="O88" s="32">
        <f>SUM(O84:O87)</f>
        <v>0</v>
      </c>
      <c r="P88" s="32">
        <f>SUM(P84:P87)</f>
        <v>0</v>
      </c>
      <c r="Q88" s="32">
        <f>SUM(Q84:Q87)</f>
        <v>0</v>
      </c>
    </row>
    <row r="89" spans="1:18" x14ac:dyDescent="0.45">
      <c r="B89" s="34"/>
    </row>
    <row r="90" spans="1:18" x14ac:dyDescent="0.45">
      <c r="B90" s="34" t="s">
        <v>317</v>
      </c>
      <c r="C90" s="25">
        <f>'Astra Zeneca Standardized'!C69</f>
        <v>-3142.8710000000001</v>
      </c>
      <c r="D90" s="25">
        <f>'Astra Zeneca Standardized'!D69</f>
        <v>-3220.07</v>
      </c>
      <c r="E90" s="25">
        <f>'Astra Zeneca Standardized'!E69</f>
        <v>-3120.9470000000001</v>
      </c>
      <c r="F90" s="25">
        <f>'Astra Zeneca Standardized'!F69</f>
        <v>-2952.942</v>
      </c>
      <c r="G90" s="25">
        <f>'Astra Zeneca Standardized'!G69</f>
        <v>-3208.855</v>
      </c>
      <c r="H90" s="25">
        <f>'Astra Zeneca Standardized'!H69</f>
        <v>-3133.11</v>
      </c>
      <c r="I90" s="25">
        <f>'Astra Zeneca Standardized'!I69</f>
        <v>-3262.0050000000001</v>
      </c>
      <c r="J90" s="25">
        <f>'Astra Zeneca Standardized'!J69</f>
        <v>-4267.5969999999998</v>
      </c>
      <c r="K90" s="25">
        <f>'Astra Zeneca Standardized'!K69</f>
        <v>-4153.5619999999999</v>
      </c>
      <c r="L90" s="25">
        <f>'Astra Zeneca Standardized'!L69</f>
        <v>-4258.6390000000001</v>
      </c>
      <c r="M90" s="25"/>
      <c r="N90" s="25"/>
      <c r="O90" s="25"/>
      <c r="P90" s="25"/>
      <c r="Q90" s="25"/>
    </row>
    <row r="91" spans="1:18" x14ac:dyDescent="0.45">
      <c r="B91" s="34" t="s">
        <v>318</v>
      </c>
      <c r="C91" s="25">
        <f>'Astra Zeneca Standardized'!C70</f>
        <v>38.767000000000003</v>
      </c>
      <c r="D91" s="25">
        <f>'Astra Zeneca Standardized'!D70</f>
        <v>42.5</v>
      </c>
      <c r="E91" s="25">
        <f>'Astra Zeneca Standardized'!E70</f>
        <v>38.136000000000003</v>
      </c>
      <c r="F91" s="25">
        <f>'Astra Zeneca Standardized'!F70</f>
        <v>28.817</v>
      </c>
      <c r="G91" s="25">
        <f>'Astra Zeneca Standardized'!G70</f>
        <v>3149.0010000000002</v>
      </c>
      <c r="H91" s="25">
        <f>'Astra Zeneca Standardized'!H70</f>
        <v>26.314</v>
      </c>
      <c r="I91" s="25">
        <f>'Astra Zeneca Standardized'!I70</f>
        <v>24.533000000000001</v>
      </c>
      <c r="J91" s="25">
        <f>'Astra Zeneca Standardized'!J70</f>
        <v>27.588000000000001</v>
      </c>
      <c r="K91" s="25">
        <f>'Astra Zeneca Standardized'!K70</f>
        <v>30.52</v>
      </c>
      <c r="L91" s="25">
        <f>'Astra Zeneca Standardized'!L70</f>
        <v>-39.757000000000005</v>
      </c>
      <c r="M91" s="25"/>
      <c r="N91" s="25"/>
      <c r="O91" s="25"/>
      <c r="P91" s="25"/>
      <c r="Q91" s="25"/>
    </row>
    <row r="92" spans="1:18" x14ac:dyDescent="0.45">
      <c r="B92" s="31" t="s">
        <v>319</v>
      </c>
      <c r="C92" s="25">
        <f>'Astra Zeneca Standardized'!C71</f>
        <v>-68.519000000000005</v>
      </c>
      <c r="D92" s="25">
        <f>'Astra Zeneca Standardized'!D71</f>
        <v>18.989000000000001</v>
      </c>
      <c r="E92" s="25">
        <f>'Astra Zeneca Standardized'!E71</f>
        <v>-58.533999999999999</v>
      </c>
      <c r="F92" s="25">
        <f>'Astra Zeneca Standardized'!F71</f>
        <v>-32.207999999999998</v>
      </c>
      <c r="G92" s="25">
        <f>'Astra Zeneca Standardized'!G71</f>
        <v>4.4669999999999996</v>
      </c>
      <c r="H92" s="25">
        <f>'Astra Zeneca Standardized'!H71</f>
        <v>10.526</v>
      </c>
      <c r="I92" s="25">
        <f>'Astra Zeneca Standardized'!I71</f>
        <v>-52.448999999999998</v>
      </c>
      <c r="J92" s="25">
        <f>'Astra Zeneca Standardized'!J71</f>
        <v>-76.105000000000004</v>
      </c>
      <c r="K92" s="25">
        <f>'Astra Zeneca Standardized'!K71</f>
        <v>-55.491999999999997</v>
      </c>
      <c r="L92" s="25">
        <f>'Astra Zeneca Standardized'!L71</f>
        <v>-85.986000000000004</v>
      </c>
      <c r="M92" s="25"/>
      <c r="N92" s="25"/>
      <c r="O92" s="25"/>
      <c r="P92" s="25"/>
      <c r="Q92" s="25"/>
    </row>
    <row r="93" spans="1:18" ht="14.65" thickBot="1" x14ac:dyDescent="0.5">
      <c r="B93" s="52" t="s">
        <v>320</v>
      </c>
      <c r="C93" s="72">
        <f t="shared" ref="C93:L93" si="17">SUM(C88,C92)</f>
        <v>3002.2249999999995</v>
      </c>
      <c r="D93" s="72">
        <f t="shared" si="17"/>
        <v>2158.518</v>
      </c>
      <c r="E93" s="72">
        <f t="shared" si="17"/>
        <v>1528.9490000000001</v>
      </c>
      <c r="F93" s="72">
        <f t="shared" si="17"/>
        <v>4194.7080000000014</v>
      </c>
      <c r="G93" s="72">
        <f t="shared" si="17"/>
        <v>553.02200000000028</v>
      </c>
      <c r="H93" s="72">
        <f t="shared" si="17"/>
        <v>5144.4330000000009</v>
      </c>
      <c r="I93" s="72">
        <f t="shared" si="17"/>
        <v>1961.8089999999997</v>
      </c>
      <c r="J93" s="72">
        <f t="shared" si="17"/>
        <v>4187.7940000000008</v>
      </c>
      <c r="K93" s="72">
        <f t="shared" si="17"/>
        <v>3803.045000000001</v>
      </c>
      <c r="L93" s="72">
        <f t="shared" si="17"/>
        <v>4106.0699999999988</v>
      </c>
      <c r="M93" s="72">
        <f>SUM(M88:M91)</f>
        <v>0</v>
      </c>
      <c r="N93" s="72">
        <f>SUM(N88:N91)</f>
        <v>0</v>
      </c>
      <c r="O93" s="72">
        <f>SUM(O88:O91)</f>
        <v>0</v>
      </c>
      <c r="P93" s="72">
        <f>SUM(P88:P91)</f>
        <v>0</v>
      </c>
      <c r="Q93" s="72">
        <f>SUM(Q88:Q91)</f>
        <v>0</v>
      </c>
    </row>
    <row r="94" spans="1:18" ht="15" thickTop="1" thickBot="1" x14ac:dyDescent="0.5">
      <c r="B94" s="34"/>
    </row>
    <row r="95" spans="1:18" ht="14.65" thickTop="1" x14ac:dyDescent="0.45">
      <c r="A95" s="24" t="s">
        <v>14</v>
      </c>
      <c r="B95" s="57" t="s">
        <v>321</v>
      </c>
      <c r="C95" s="58"/>
      <c r="D95" s="58"/>
      <c r="E95" s="58"/>
      <c r="F95" s="58"/>
      <c r="G95" s="58"/>
      <c r="H95" s="58"/>
      <c r="I95" s="58"/>
      <c r="J95" s="58"/>
      <c r="K95" s="58"/>
      <c r="L95" s="58"/>
      <c r="M95" s="58"/>
      <c r="N95" s="58"/>
      <c r="O95" s="58"/>
      <c r="P95" s="58"/>
      <c r="Q95" s="58"/>
    </row>
    <row r="96" spans="1:18" x14ac:dyDescent="0.45">
      <c r="B96" s="42" t="s">
        <v>96</v>
      </c>
      <c r="C96" s="32">
        <f t="shared" ref="C96:R96" si="18">C9</f>
        <v>22275.974999999999</v>
      </c>
      <c r="D96" s="32">
        <f t="shared" si="18"/>
        <v>20799.792000000001</v>
      </c>
      <c r="E96" s="32">
        <f t="shared" si="18"/>
        <v>19923.863000000001</v>
      </c>
      <c r="F96" s="32">
        <f t="shared" si="18"/>
        <v>18722.875</v>
      </c>
      <c r="G96" s="32">
        <f t="shared" si="18"/>
        <v>21783.048999999999</v>
      </c>
      <c r="H96" s="32">
        <f t="shared" si="18"/>
        <v>23346.582999999999</v>
      </c>
      <c r="I96" s="32">
        <f t="shared" si="18"/>
        <v>31653.118999999999</v>
      </c>
      <c r="J96" s="32">
        <f t="shared" si="18"/>
        <v>42191.754999999997</v>
      </c>
      <c r="K96" s="32">
        <f t="shared" si="18"/>
        <v>42368.92</v>
      </c>
      <c r="L96" s="32">
        <f t="shared" si="18"/>
        <v>49995.091</v>
      </c>
      <c r="M96" s="32">
        <f t="shared" si="18"/>
        <v>0</v>
      </c>
      <c r="N96" s="32">
        <f t="shared" si="18"/>
        <v>0</v>
      </c>
      <c r="O96" s="32">
        <f t="shared" si="18"/>
        <v>0</v>
      </c>
      <c r="P96" s="32">
        <f t="shared" si="18"/>
        <v>0</v>
      </c>
      <c r="Q96" s="32">
        <f t="shared" si="18"/>
        <v>0</v>
      </c>
      <c r="R96" s="24">
        <f t="shared" si="18"/>
        <v>0</v>
      </c>
    </row>
    <row r="97" spans="2:18" x14ac:dyDescent="0.45">
      <c r="B97" s="42" t="s">
        <v>322</v>
      </c>
      <c r="C97" s="32">
        <f t="shared" ref="C97:R97" si="19">C101</f>
        <v>2547.8360000000016</v>
      </c>
      <c r="D97" s="32">
        <f t="shared" si="19"/>
        <v>3079.9090000000033</v>
      </c>
      <c r="E97" s="32">
        <f t="shared" si="19"/>
        <v>2543.5850000000009</v>
      </c>
      <c r="F97" s="32">
        <f t="shared" si="19"/>
        <v>1737.5229999999997</v>
      </c>
      <c r="G97" s="32">
        <f t="shared" si="19"/>
        <v>1096.119000000002</v>
      </c>
      <c r="H97" s="32">
        <f t="shared" si="19"/>
        <v>2757.697000000001</v>
      </c>
      <c r="I97" s="32">
        <f t="shared" si="19"/>
        <v>97.284999999999911</v>
      </c>
      <c r="J97" s="32">
        <f t="shared" si="19"/>
        <v>3132.677999999999</v>
      </c>
      <c r="K97" s="32">
        <f t="shared" si="19"/>
        <v>5513.1109999999981</v>
      </c>
      <c r="L97" s="32">
        <f t="shared" si="19"/>
        <v>6510.0049999999956</v>
      </c>
      <c r="M97" s="32">
        <f t="shared" si="19"/>
        <v>0</v>
      </c>
      <c r="N97" s="32">
        <f t="shared" si="19"/>
        <v>0</v>
      </c>
      <c r="O97" s="32">
        <f t="shared" si="19"/>
        <v>0</v>
      </c>
      <c r="P97" s="32">
        <f t="shared" si="19"/>
        <v>0</v>
      </c>
      <c r="Q97" s="32">
        <f t="shared" si="19"/>
        <v>0</v>
      </c>
      <c r="R97" s="24">
        <f t="shared" si="19"/>
        <v>0</v>
      </c>
    </row>
    <row r="98" spans="2:18" x14ac:dyDescent="0.45">
      <c r="B98" s="47" t="s">
        <v>323</v>
      </c>
      <c r="C98" s="24">
        <f t="shared" ref="C98:R98" si="20">C18</f>
        <v>2547.8360000000016</v>
      </c>
      <c r="D98" s="24">
        <f t="shared" si="20"/>
        <v>3079.9090000000033</v>
      </c>
      <c r="E98" s="24">
        <f t="shared" si="20"/>
        <v>2543.5850000000009</v>
      </c>
      <c r="F98" s="24">
        <f t="shared" si="20"/>
        <v>1737.5229999999997</v>
      </c>
      <c r="G98" s="24">
        <f t="shared" si="20"/>
        <v>1096.119000000002</v>
      </c>
      <c r="H98" s="24">
        <f t="shared" si="20"/>
        <v>2757.697000000001</v>
      </c>
      <c r="I98" s="24">
        <f t="shared" si="20"/>
        <v>97.284999999999911</v>
      </c>
      <c r="J98" s="24">
        <f t="shared" si="20"/>
        <v>3132.677999999999</v>
      </c>
      <c r="K98" s="24">
        <f t="shared" si="20"/>
        <v>5513.1109999999981</v>
      </c>
      <c r="L98" s="24">
        <f t="shared" si="20"/>
        <v>6510.0049999999956</v>
      </c>
      <c r="M98" s="24">
        <f t="shared" si="20"/>
        <v>0</v>
      </c>
      <c r="N98" s="24">
        <f t="shared" si="20"/>
        <v>0</v>
      </c>
      <c r="O98" s="24">
        <f t="shared" si="20"/>
        <v>0</v>
      </c>
      <c r="P98" s="24">
        <f t="shared" si="20"/>
        <v>0</v>
      </c>
      <c r="Q98" s="24">
        <f t="shared" si="20"/>
        <v>0</v>
      </c>
      <c r="R98" s="24">
        <f t="shared" si="20"/>
        <v>0</v>
      </c>
    </row>
    <row r="99" spans="2:18" x14ac:dyDescent="0.45">
      <c r="B99" s="59" t="s">
        <v>324</v>
      </c>
      <c r="C99" s="24">
        <f t="shared" ref="C99:R99" si="21">-C106</f>
        <v>0</v>
      </c>
      <c r="D99" s="24">
        <f t="shared" si="21"/>
        <v>0</v>
      </c>
      <c r="E99" s="24">
        <f t="shared" si="21"/>
        <v>0</v>
      </c>
      <c r="F99" s="24">
        <f t="shared" si="21"/>
        <v>0</v>
      </c>
      <c r="G99" s="24">
        <f t="shared" si="21"/>
        <v>0</v>
      </c>
      <c r="H99" s="24">
        <f t="shared" si="21"/>
        <v>0</v>
      </c>
      <c r="I99" s="24">
        <f t="shared" si="21"/>
        <v>0</v>
      </c>
      <c r="J99" s="24">
        <f t="shared" si="21"/>
        <v>0</v>
      </c>
      <c r="K99" s="24">
        <f t="shared" si="21"/>
        <v>0</v>
      </c>
      <c r="L99" s="24">
        <f t="shared" si="21"/>
        <v>0</v>
      </c>
      <c r="M99" s="24">
        <f t="shared" si="21"/>
        <v>0</v>
      </c>
      <c r="N99" s="24">
        <f t="shared" si="21"/>
        <v>0</v>
      </c>
      <c r="O99" s="24">
        <f t="shared" si="21"/>
        <v>0</v>
      </c>
      <c r="P99" s="24">
        <f t="shared" si="21"/>
        <v>0</v>
      </c>
      <c r="Q99" s="24">
        <f t="shared" si="21"/>
        <v>0</v>
      </c>
      <c r="R99" s="24">
        <f t="shared" si="21"/>
        <v>0</v>
      </c>
    </row>
    <row r="100" spans="2:18" x14ac:dyDescent="0.45">
      <c r="B100" s="59" t="s">
        <v>325</v>
      </c>
      <c r="C100" s="27">
        <f t="shared" ref="C100:R100" si="22">C110</f>
        <v>0</v>
      </c>
      <c r="D100" s="27">
        <f t="shared" si="22"/>
        <v>0</v>
      </c>
      <c r="E100" s="27">
        <f t="shared" si="22"/>
        <v>0</v>
      </c>
      <c r="F100" s="27">
        <f t="shared" si="22"/>
        <v>0</v>
      </c>
      <c r="G100" s="27">
        <f t="shared" si="22"/>
        <v>0</v>
      </c>
      <c r="H100" s="27">
        <f t="shared" si="22"/>
        <v>0</v>
      </c>
      <c r="I100" s="27">
        <f t="shared" si="22"/>
        <v>0</v>
      </c>
      <c r="J100" s="27">
        <f t="shared" si="22"/>
        <v>0</v>
      </c>
      <c r="K100" s="27">
        <f t="shared" si="22"/>
        <v>0</v>
      </c>
      <c r="L100" s="27">
        <f t="shared" si="22"/>
        <v>0</v>
      </c>
      <c r="M100" s="27">
        <f t="shared" si="22"/>
        <v>0</v>
      </c>
      <c r="N100" s="27">
        <f t="shared" si="22"/>
        <v>0</v>
      </c>
      <c r="O100" s="27">
        <f t="shared" si="22"/>
        <v>0</v>
      </c>
      <c r="P100" s="27">
        <f t="shared" si="22"/>
        <v>0</v>
      </c>
      <c r="Q100" s="27">
        <f t="shared" si="22"/>
        <v>0</v>
      </c>
      <c r="R100" s="24">
        <f t="shared" si="22"/>
        <v>0</v>
      </c>
    </row>
    <row r="101" spans="2:18" x14ac:dyDescent="0.45">
      <c r="B101" s="60" t="s">
        <v>326</v>
      </c>
      <c r="C101" s="32">
        <f t="shared" ref="C101:R101" si="23">SUM(C98:C100)</f>
        <v>2547.8360000000016</v>
      </c>
      <c r="D101" s="32">
        <f t="shared" si="23"/>
        <v>3079.9090000000033</v>
      </c>
      <c r="E101" s="32">
        <f t="shared" si="23"/>
        <v>2543.5850000000009</v>
      </c>
      <c r="F101" s="32">
        <f t="shared" si="23"/>
        <v>1737.5229999999997</v>
      </c>
      <c r="G101" s="32">
        <f t="shared" si="23"/>
        <v>1096.119000000002</v>
      </c>
      <c r="H101" s="32">
        <f t="shared" si="23"/>
        <v>2757.697000000001</v>
      </c>
      <c r="I101" s="32">
        <f t="shared" si="23"/>
        <v>97.284999999999911</v>
      </c>
      <c r="J101" s="32">
        <f t="shared" si="23"/>
        <v>3132.677999999999</v>
      </c>
      <c r="K101" s="32">
        <f t="shared" si="23"/>
        <v>5513.1109999999981</v>
      </c>
      <c r="L101" s="32">
        <f t="shared" si="23"/>
        <v>6510.0049999999956</v>
      </c>
      <c r="M101" s="32">
        <f t="shared" si="23"/>
        <v>0</v>
      </c>
      <c r="N101" s="32">
        <f t="shared" si="23"/>
        <v>0</v>
      </c>
      <c r="O101" s="32">
        <f t="shared" si="23"/>
        <v>0</v>
      </c>
      <c r="P101" s="32">
        <f t="shared" si="23"/>
        <v>0</v>
      </c>
      <c r="Q101" s="32">
        <f t="shared" si="23"/>
        <v>0</v>
      </c>
      <c r="R101" s="24">
        <f t="shared" si="23"/>
        <v>0</v>
      </c>
    </row>
    <row r="102" spans="2:18" x14ac:dyDescent="0.45">
      <c r="B102" s="42" t="s">
        <v>327</v>
      </c>
      <c r="C102" s="28">
        <f t="shared" ref="C102:R102" si="24">C105</f>
        <v>0</v>
      </c>
      <c r="D102" s="28">
        <f t="shared" si="24"/>
        <v>0</v>
      </c>
      <c r="E102" s="28">
        <f t="shared" si="24"/>
        <v>0</v>
      </c>
      <c r="F102" s="28">
        <f t="shared" si="24"/>
        <v>0</v>
      </c>
      <c r="G102" s="28">
        <f t="shared" si="24"/>
        <v>0</v>
      </c>
      <c r="H102" s="28">
        <f t="shared" si="24"/>
        <v>0</v>
      </c>
      <c r="I102" s="28">
        <f t="shared" si="24"/>
        <v>0</v>
      </c>
      <c r="J102" s="28">
        <f t="shared" si="24"/>
        <v>0</v>
      </c>
      <c r="K102" s="28">
        <f t="shared" si="24"/>
        <v>0</v>
      </c>
      <c r="L102" s="28">
        <f t="shared" si="24"/>
        <v>0</v>
      </c>
      <c r="M102" s="28">
        <f t="shared" si="24"/>
        <v>0</v>
      </c>
      <c r="N102" s="28">
        <f t="shared" si="24"/>
        <v>0</v>
      </c>
      <c r="O102" s="28">
        <f t="shared" si="24"/>
        <v>0</v>
      </c>
      <c r="P102" s="28">
        <f t="shared" si="24"/>
        <v>0</v>
      </c>
      <c r="Q102" s="28">
        <f t="shared" si="24"/>
        <v>0</v>
      </c>
      <c r="R102" s="24">
        <f t="shared" si="24"/>
        <v>0</v>
      </c>
    </row>
    <row r="103" spans="2:18" x14ac:dyDescent="0.45">
      <c r="B103" s="47" t="s">
        <v>328</v>
      </c>
      <c r="C103" s="24">
        <f t="shared" ref="C103:R103" si="25">-C13</f>
        <v>15.325999999999851</v>
      </c>
      <c r="D103" s="24">
        <f t="shared" si="25"/>
        <v>-862.66399999999999</v>
      </c>
      <c r="E103" s="24">
        <f t="shared" si="25"/>
        <v>181.81099999999998</v>
      </c>
      <c r="F103" s="24">
        <f t="shared" si="25"/>
        <v>-1359.5049999999999</v>
      </c>
      <c r="G103" s="24">
        <f t="shared" si="25"/>
        <v>175.98700000000008</v>
      </c>
      <c r="H103" s="24">
        <f t="shared" si="25"/>
        <v>-662.23300000000006</v>
      </c>
      <c r="I103" s="24">
        <f t="shared" si="25"/>
        <v>2235.8610000000003</v>
      </c>
      <c r="J103" s="24">
        <f t="shared" si="25"/>
        <v>4836.4839999999995</v>
      </c>
      <c r="K103" s="24">
        <f t="shared" si="25"/>
        <v>1380.8209999999999</v>
      </c>
      <c r="L103" s="24">
        <f t="shared" si="25"/>
        <v>2751.5650000000001</v>
      </c>
      <c r="M103" s="24">
        <f t="shared" si="25"/>
        <v>0</v>
      </c>
      <c r="N103" s="24">
        <f t="shared" si="25"/>
        <v>0</v>
      </c>
      <c r="O103" s="24">
        <f t="shared" si="25"/>
        <v>0</v>
      </c>
      <c r="P103" s="24">
        <f t="shared" si="25"/>
        <v>0</v>
      </c>
      <c r="Q103" s="24">
        <f t="shared" si="25"/>
        <v>0</v>
      </c>
      <c r="R103" s="24">
        <f t="shared" si="25"/>
        <v>0</v>
      </c>
    </row>
    <row r="104" spans="2:18" x14ac:dyDescent="0.45">
      <c r="B104" s="47" t="s">
        <v>329</v>
      </c>
      <c r="C104" s="68">
        <f t="shared" ref="C104:L104" si="26">$C$4</f>
        <v>0</v>
      </c>
      <c r="D104" s="68">
        <f t="shared" si="26"/>
        <v>0</v>
      </c>
      <c r="E104" s="68">
        <f t="shared" si="26"/>
        <v>0</v>
      </c>
      <c r="F104" s="68">
        <f t="shared" si="26"/>
        <v>0</v>
      </c>
      <c r="G104" s="68">
        <f t="shared" si="26"/>
        <v>0</v>
      </c>
      <c r="H104" s="68">
        <f t="shared" si="26"/>
        <v>0</v>
      </c>
      <c r="I104" s="68">
        <f t="shared" si="26"/>
        <v>0</v>
      </c>
      <c r="J104" s="68">
        <f t="shared" si="26"/>
        <v>0</v>
      </c>
      <c r="K104" s="68">
        <f t="shared" si="26"/>
        <v>0</v>
      </c>
      <c r="L104" s="68">
        <f t="shared" si="26"/>
        <v>0</v>
      </c>
      <c r="M104" s="27"/>
      <c r="N104" s="27"/>
      <c r="O104" s="27"/>
      <c r="P104" s="27"/>
      <c r="Q104" s="27"/>
    </row>
    <row r="105" spans="2:18" x14ac:dyDescent="0.45">
      <c r="B105" s="60" t="s">
        <v>330</v>
      </c>
      <c r="C105" s="32">
        <f t="shared" ref="C105:R105" si="27">C104*C103</f>
        <v>0</v>
      </c>
      <c r="D105" s="32">
        <f t="shared" si="27"/>
        <v>0</v>
      </c>
      <c r="E105" s="32">
        <f t="shared" si="27"/>
        <v>0</v>
      </c>
      <c r="F105" s="32">
        <f t="shared" si="27"/>
        <v>0</v>
      </c>
      <c r="G105" s="32">
        <f t="shared" si="27"/>
        <v>0</v>
      </c>
      <c r="H105" s="32">
        <f t="shared" si="27"/>
        <v>0</v>
      </c>
      <c r="I105" s="32">
        <f t="shared" si="27"/>
        <v>0</v>
      </c>
      <c r="J105" s="32">
        <f t="shared" si="27"/>
        <v>0</v>
      </c>
      <c r="K105" s="32">
        <f t="shared" si="27"/>
        <v>0</v>
      </c>
      <c r="L105" s="32">
        <f t="shared" si="27"/>
        <v>0</v>
      </c>
      <c r="M105" s="32">
        <f t="shared" si="27"/>
        <v>0</v>
      </c>
      <c r="N105" s="32">
        <f t="shared" si="27"/>
        <v>0</v>
      </c>
      <c r="O105" s="32">
        <f t="shared" si="27"/>
        <v>0</v>
      </c>
      <c r="P105" s="32">
        <f t="shared" si="27"/>
        <v>0</v>
      </c>
      <c r="Q105" s="32">
        <f t="shared" si="27"/>
        <v>0</v>
      </c>
      <c r="R105" s="24">
        <f t="shared" si="27"/>
        <v>0</v>
      </c>
    </row>
    <row r="106" spans="2:18" x14ac:dyDescent="0.45">
      <c r="B106" s="61" t="s">
        <v>331</v>
      </c>
      <c r="C106" s="28">
        <f t="shared" ref="C106:R106" si="28">C109</f>
        <v>0</v>
      </c>
      <c r="D106" s="28">
        <f t="shared" si="28"/>
        <v>0</v>
      </c>
      <c r="E106" s="28">
        <f t="shared" si="28"/>
        <v>0</v>
      </c>
      <c r="F106" s="28">
        <f t="shared" si="28"/>
        <v>0</v>
      </c>
      <c r="G106" s="28">
        <f t="shared" si="28"/>
        <v>0</v>
      </c>
      <c r="H106" s="28">
        <f t="shared" si="28"/>
        <v>0</v>
      </c>
      <c r="I106" s="28">
        <f t="shared" si="28"/>
        <v>0</v>
      </c>
      <c r="J106" s="28">
        <f t="shared" si="28"/>
        <v>0</v>
      </c>
      <c r="K106" s="28">
        <f t="shared" si="28"/>
        <v>0</v>
      </c>
      <c r="L106" s="28">
        <f t="shared" si="28"/>
        <v>0</v>
      </c>
      <c r="M106" s="28">
        <f t="shared" si="28"/>
        <v>0</v>
      </c>
      <c r="N106" s="28">
        <f t="shared" si="28"/>
        <v>0</v>
      </c>
      <c r="O106" s="28">
        <f t="shared" si="28"/>
        <v>0</v>
      </c>
      <c r="P106" s="28">
        <f t="shared" si="28"/>
        <v>0</v>
      </c>
      <c r="Q106" s="28">
        <f t="shared" si="28"/>
        <v>0</v>
      </c>
      <c r="R106" s="24">
        <f t="shared" si="28"/>
        <v>0</v>
      </c>
    </row>
    <row r="107" spans="2:18" x14ac:dyDescent="0.45">
      <c r="B107" s="47" t="s">
        <v>332</v>
      </c>
      <c r="C107" s="24">
        <f t="shared" ref="C107:R107" si="29">C12+C14</f>
        <v>2.7040000000000006</v>
      </c>
      <c r="D107" s="24">
        <f t="shared" si="29"/>
        <v>-9.9469999999999956</v>
      </c>
      <c r="E107" s="24">
        <f t="shared" si="29"/>
        <v>169.39500000000004</v>
      </c>
      <c r="F107" s="24">
        <f t="shared" si="29"/>
        <v>16.103999999999999</v>
      </c>
      <c r="G107" s="24">
        <f t="shared" si="29"/>
        <v>25.905999999999992</v>
      </c>
      <c r="H107" s="24">
        <f t="shared" si="29"/>
        <v>43.856000000000002</v>
      </c>
      <c r="I107" s="24">
        <f t="shared" si="29"/>
        <v>638.697</v>
      </c>
      <c r="J107" s="24">
        <f t="shared" si="29"/>
        <v>72.298999999999992</v>
      </c>
      <c r="K107" s="24">
        <f t="shared" si="29"/>
        <v>267.286</v>
      </c>
      <c r="L107" s="24">
        <f t="shared" si="29"/>
        <v>293.09400000000005</v>
      </c>
      <c r="M107" s="24">
        <f t="shared" si="29"/>
        <v>0</v>
      </c>
      <c r="N107" s="24">
        <f t="shared" si="29"/>
        <v>0</v>
      </c>
      <c r="O107" s="24">
        <f t="shared" si="29"/>
        <v>0</v>
      </c>
      <c r="P107" s="24">
        <f t="shared" si="29"/>
        <v>0</v>
      </c>
      <c r="Q107" s="24">
        <f t="shared" si="29"/>
        <v>0</v>
      </c>
      <c r="R107" s="24">
        <f t="shared" si="29"/>
        <v>0</v>
      </c>
    </row>
    <row r="108" spans="2:18" x14ac:dyDescent="0.45">
      <c r="B108" s="47" t="s">
        <v>329</v>
      </c>
      <c r="C108" s="68">
        <f t="shared" ref="C108:L108" si="30">$C$4</f>
        <v>0</v>
      </c>
      <c r="D108" s="68">
        <f t="shared" si="30"/>
        <v>0</v>
      </c>
      <c r="E108" s="68">
        <f t="shared" si="30"/>
        <v>0</v>
      </c>
      <c r="F108" s="68">
        <f t="shared" si="30"/>
        <v>0</v>
      </c>
      <c r="G108" s="68">
        <f t="shared" si="30"/>
        <v>0</v>
      </c>
      <c r="H108" s="68">
        <f t="shared" si="30"/>
        <v>0</v>
      </c>
      <c r="I108" s="68">
        <f t="shared" si="30"/>
        <v>0</v>
      </c>
      <c r="J108" s="68">
        <f t="shared" si="30"/>
        <v>0</v>
      </c>
      <c r="K108" s="68">
        <f t="shared" si="30"/>
        <v>0</v>
      </c>
      <c r="L108" s="68">
        <f t="shared" si="30"/>
        <v>0</v>
      </c>
      <c r="M108" s="27"/>
      <c r="N108" s="27"/>
      <c r="O108" s="27"/>
      <c r="P108" s="27"/>
      <c r="Q108" s="27"/>
    </row>
    <row r="109" spans="2:18" x14ac:dyDescent="0.45">
      <c r="B109" s="60" t="s">
        <v>333</v>
      </c>
      <c r="C109" s="32">
        <f t="shared" ref="C109:R109" si="31">C108*C107</f>
        <v>0</v>
      </c>
      <c r="D109" s="32">
        <f t="shared" si="31"/>
        <v>0</v>
      </c>
      <c r="E109" s="32">
        <f t="shared" si="31"/>
        <v>0</v>
      </c>
      <c r="F109" s="32">
        <f t="shared" si="31"/>
        <v>0</v>
      </c>
      <c r="G109" s="32">
        <f t="shared" si="31"/>
        <v>0</v>
      </c>
      <c r="H109" s="32">
        <f t="shared" si="31"/>
        <v>0</v>
      </c>
      <c r="I109" s="32">
        <f t="shared" si="31"/>
        <v>0</v>
      </c>
      <c r="J109" s="32">
        <f t="shared" si="31"/>
        <v>0</v>
      </c>
      <c r="K109" s="32">
        <f t="shared" si="31"/>
        <v>0</v>
      </c>
      <c r="L109" s="32">
        <f t="shared" si="31"/>
        <v>0</v>
      </c>
      <c r="M109" s="32">
        <f t="shared" si="31"/>
        <v>0</v>
      </c>
      <c r="N109" s="32">
        <f t="shared" si="31"/>
        <v>0</v>
      </c>
      <c r="O109" s="32">
        <f t="shared" si="31"/>
        <v>0</v>
      </c>
      <c r="P109" s="32">
        <f t="shared" si="31"/>
        <v>0</v>
      </c>
      <c r="Q109" s="32">
        <f t="shared" si="31"/>
        <v>0</v>
      </c>
      <c r="R109" s="24">
        <f t="shared" si="31"/>
        <v>0</v>
      </c>
    </row>
    <row r="110" spans="2:18" x14ac:dyDescent="0.45">
      <c r="B110" s="42" t="s">
        <v>334</v>
      </c>
      <c r="C110" s="28">
        <f t="shared" ref="C110:R110" si="32">C113</f>
        <v>0</v>
      </c>
      <c r="D110" s="28">
        <f t="shared" si="32"/>
        <v>0</v>
      </c>
      <c r="E110" s="28">
        <f t="shared" si="32"/>
        <v>0</v>
      </c>
      <c r="F110" s="28">
        <f t="shared" si="32"/>
        <v>0</v>
      </c>
      <c r="G110" s="28">
        <f t="shared" si="32"/>
        <v>0</v>
      </c>
      <c r="H110" s="28">
        <f t="shared" si="32"/>
        <v>0</v>
      </c>
      <c r="I110" s="28">
        <f t="shared" si="32"/>
        <v>0</v>
      </c>
      <c r="J110" s="28">
        <f t="shared" si="32"/>
        <v>0</v>
      </c>
      <c r="K110" s="28">
        <f t="shared" si="32"/>
        <v>0</v>
      </c>
      <c r="L110" s="28">
        <f t="shared" si="32"/>
        <v>0</v>
      </c>
      <c r="M110" s="28">
        <f t="shared" si="32"/>
        <v>0</v>
      </c>
      <c r="N110" s="28">
        <f t="shared" si="32"/>
        <v>0</v>
      </c>
      <c r="O110" s="28">
        <f t="shared" si="32"/>
        <v>0</v>
      </c>
      <c r="P110" s="28">
        <f t="shared" si="32"/>
        <v>0</v>
      </c>
      <c r="Q110" s="28">
        <f t="shared" si="32"/>
        <v>0</v>
      </c>
      <c r="R110" s="24">
        <f t="shared" si="32"/>
        <v>0</v>
      </c>
    </row>
    <row r="111" spans="2:18" x14ac:dyDescent="0.45">
      <c r="B111" s="47" t="s">
        <v>335</v>
      </c>
      <c r="C111" s="24">
        <f t="shared" ref="C111:R111" si="33">-(C15)</f>
        <v>353.41500000000002</v>
      </c>
      <c r="D111" s="24">
        <f t="shared" si="33"/>
        <v>557.92899999999997</v>
      </c>
      <c r="E111" s="24">
        <f t="shared" si="33"/>
        <v>588.89099999999996</v>
      </c>
      <c r="F111" s="24">
        <f t="shared" si="33"/>
        <v>630.59400000000005</v>
      </c>
      <c r="G111" s="24">
        <f t="shared" si="33"/>
        <v>696.8</v>
      </c>
      <c r="H111" s="24">
        <f t="shared" si="33"/>
        <v>647.322</v>
      </c>
      <c r="I111" s="24">
        <f t="shared" si="33"/>
        <v>656.46199999999999</v>
      </c>
      <c r="J111" s="24">
        <f t="shared" si="33"/>
        <v>872.35599999999999</v>
      </c>
      <c r="K111" s="24">
        <f t="shared" si="33"/>
        <v>1127.4090000000001</v>
      </c>
      <c r="L111" s="24">
        <f t="shared" si="33"/>
        <v>1297.193</v>
      </c>
      <c r="M111" s="24">
        <f t="shared" si="33"/>
        <v>0</v>
      </c>
      <c r="N111" s="24">
        <f t="shared" si="33"/>
        <v>0</v>
      </c>
      <c r="O111" s="24">
        <f t="shared" si="33"/>
        <v>0</v>
      </c>
      <c r="P111" s="24">
        <f t="shared" si="33"/>
        <v>0</v>
      </c>
      <c r="Q111" s="24">
        <f t="shared" si="33"/>
        <v>0</v>
      </c>
      <c r="R111" s="24">
        <f t="shared" si="33"/>
        <v>0</v>
      </c>
    </row>
    <row r="112" spans="2:18" x14ac:dyDescent="0.45">
      <c r="B112" s="47" t="s">
        <v>329</v>
      </c>
      <c r="C112" s="68">
        <f t="shared" ref="C112:L112" si="34">$C$4</f>
        <v>0</v>
      </c>
      <c r="D112" s="68">
        <f t="shared" si="34"/>
        <v>0</v>
      </c>
      <c r="E112" s="68">
        <f t="shared" si="34"/>
        <v>0</v>
      </c>
      <c r="F112" s="68">
        <f t="shared" si="34"/>
        <v>0</v>
      </c>
      <c r="G112" s="68">
        <f t="shared" si="34"/>
        <v>0</v>
      </c>
      <c r="H112" s="68">
        <f t="shared" si="34"/>
        <v>0</v>
      </c>
      <c r="I112" s="68">
        <f t="shared" si="34"/>
        <v>0</v>
      </c>
      <c r="J112" s="68">
        <f t="shared" si="34"/>
        <v>0</v>
      </c>
      <c r="K112" s="68">
        <f t="shared" si="34"/>
        <v>0</v>
      </c>
      <c r="L112" s="68">
        <f t="shared" si="34"/>
        <v>0</v>
      </c>
      <c r="M112" s="27"/>
      <c r="N112" s="27"/>
      <c r="O112" s="27"/>
      <c r="P112" s="27"/>
      <c r="Q112" s="27"/>
    </row>
    <row r="113" spans="1:18" x14ac:dyDescent="0.45">
      <c r="B113" s="60" t="s">
        <v>336</v>
      </c>
      <c r="C113" s="32">
        <f t="shared" ref="C113:R113" si="35">C112*C111</f>
        <v>0</v>
      </c>
      <c r="D113" s="32">
        <f t="shared" si="35"/>
        <v>0</v>
      </c>
      <c r="E113" s="32">
        <f t="shared" si="35"/>
        <v>0</v>
      </c>
      <c r="F113" s="32">
        <f t="shared" si="35"/>
        <v>0</v>
      </c>
      <c r="G113" s="32">
        <f t="shared" si="35"/>
        <v>0</v>
      </c>
      <c r="H113" s="32">
        <f t="shared" si="35"/>
        <v>0</v>
      </c>
      <c r="I113" s="32">
        <f t="shared" si="35"/>
        <v>0</v>
      </c>
      <c r="J113" s="32">
        <f t="shared" si="35"/>
        <v>0</v>
      </c>
      <c r="K113" s="32">
        <f t="shared" si="35"/>
        <v>0</v>
      </c>
      <c r="L113" s="32">
        <f t="shared" si="35"/>
        <v>0</v>
      </c>
      <c r="M113" s="32">
        <f t="shared" si="35"/>
        <v>0</v>
      </c>
      <c r="N113" s="32">
        <f t="shared" si="35"/>
        <v>0</v>
      </c>
      <c r="O113" s="32">
        <f t="shared" si="35"/>
        <v>0</v>
      </c>
      <c r="P113" s="32">
        <f t="shared" si="35"/>
        <v>0</v>
      </c>
      <c r="Q113" s="32">
        <f t="shared" si="35"/>
        <v>0</v>
      </c>
      <c r="R113" s="24">
        <f t="shared" si="35"/>
        <v>0</v>
      </c>
    </row>
    <row r="114" spans="1:18" ht="14.65" thickBot="1" x14ac:dyDescent="0.5">
      <c r="B114" s="52" t="s">
        <v>337</v>
      </c>
      <c r="C114" s="44">
        <f t="shared" ref="C114:R114" si="36">C101+C106-C110</f>
        <v>2547.8360000000016</v>
      </c>
      <c r="D114" s="44">
        <f t="shared" si="36"/>
        <v>3079.9090000000033</v>
      </c>
      <c r="E114" s="44">
        <f t="shared" si="36"/>
        <v>2543.5850000000009</v>
      </c>
      <c r="F114" s="44">
        <f t="shared" si="36"/>
        <v>1737.5229999999997</v>
      </c>
      <c r="G114" s="44">
        <f t="shared" si="36"/>
        <v>1096.119000000002</v>
      </c>
      <c r="H114" s="44">
        <f t="shared" si="36"/>
        <v>2757.697000000001</v>
      </c>
      <c r="I114" s="44">
        <f t="shared" si="36"/>
        <v>97.284999999999911</v>
      </c>
      <c r="J114" s="44">
        <f t="shared" si="36"/>
        <v>3132.677999999999</v>
      </c>
      <c r="K114" s="44">
        <f t="shared" si="36"/>
        <v>5513.1109999999981</v>
      </c>
      <c r="L114" s="44">
        <f t="shared" si="36"/>
        <v>6510.0049999999956</v>
      </c>
      <c r="M114" s="44">
        <f t="shared" si="36"/>
        <v>0</v>
      </c>
      <c r="N114" s="44">
        <f t="shared" si="36"/>
        <v>0</v>
      </c>
      <c r="O114" s="44">
        <f t="shared" si="36"/>
        <v>0</v>
      </c>
      <c r="P114" s="44">
        <f t="shared" si="36"/>
        <v>0</v>
      </c>
      <c r="Q114" s="44">
        <f t="shared" si="36"/>
        <v>0</v>
      </c>
      <c r="R114" s="24">
        <f t="shared" si="36"/>
        <v>0</v>
      </c>
    </row>
    <row r="115" spans="1:18" ht="15" thickTop="1" thickBot="1" x14ac:dyDescent="0.5">
      <c r="B115" s="34"/>
    </row>
    <row r="116" spans="1:18" ht="14.65" thickTop="1" x14ac:dyDescent="0.45">
      <c r="A116" s="24" t="s">
        <v>14</v>
      </c>
      <c r="B116" s="57" t="s">
        <v>338</v>
      </c>
      <c r="C116" s="58"/>
      <c r="D116" s="58"/>
      <c r="E116" s="58"/>
      <c r="F116" s="58"/>
      <c r="G116" s="58"/>
      <c r="H116" s="58"/>
      <c r="I116" s="58"/>
      <c r="J116" s="58"/>
      <c r="K116" s="58"/>
      <c r="L116" s="58"/>
      <c r="M116" s="58"/>
      <c r="N116" s="58"/>
      <c r="O116" s="58"/>
      <c r="P116" s="58"/>
      <c r="Q116" s="58"/>
    </row>
    <row r="117" spans="1:18" x14ac:dyDescent="0.45">
      <c r="B117" s="42" t="s">
        <v>339</v>
      </c>
    </row>
    <row r="118" spans="1:18" x14ac:dyDescent="0.45">
      <c r="B118" s="47" t="s">
        <v>340</v>
      </c>
      <c r="C118" s="24">
        <f t="shared" ref="C118:R118" si="37">MIN(C3*C9,C46)</f>
        <v>0</v>
      </c>
      <c r="D118" s="24">
        <f t="shared" si="37"/>
        <v>0</v>
      </c>
      <c r="E118" s="24">
        <f t="shared" si="37"/>
        <v>996.19315000000006</v>
      </c>
      <c r="F118" s="24">
        <f t="shared" si="37"/>
        <v>936.14375000000007</v>
      </c>
      <c r="G118" s="24">
        <f t="shared" si="37"/>
        <v>1089.15245</v>
      </c>
      <c r="H118" s="24">
        <f t="shared" si="37"/>
        <v>1167.32915</v>
      </c>
      <c r="I118" s="24">
        <f t="shared" si="37"/>
        <v>1582.6559500000001</v>
      </c>
      <c r="J118" s="24">
        <f t="shared" si="37"/>
        <v>2109.5877500000001</v>
      </c>
      <c r="K118" s="24">
        <f t="shared" si="37"/>
        <v>2118.4459999999999</v>
      </c>
      <c r="L118" s="24">
        <f t="shared" si="37"/>
        <v>2499.7545500000001</v>
      </c>
      <c r="M118" s="24">
        <f t="shared" si="37"/>
        <v>0</v>
      </c>
      <c r="N118" s="24">
        <f t="shared" si="37"/>
        <v>0</v>
      </c>
      <c r="O118" s="24">
        <f t="shared" si="37"/>
        <v>0</v>
      </c>
      <c r="P118" s="24">
        <f t="shared" si="37"/>
        <v>0</v>
      </c>
      <c r="Q118" s="24">
        <f t="shared" si="37"/>
        <v>0</v>
      </c>
      <c r="R118" s="24">
        <f t="shared" si="37"/>
        <v>0</v>
      </c>
    </row>
    <row r="119" spans="1:18" x14ac:dyDescent="0.45">
      <c r="B119" s="59" t="s">
        <v>341</v>
      </c>
      <c r="C119" s="24">
        <f t="shared" ref="C119:R119" si="38">C44</f>
        <v>4265.6030000000001</v>
      </c>
      <c r="D119" s="24">
        <f t="shared" si="38"/>
        <v>2449.201</v>
      </c>
      <c r="E119" s="24">
        <f t="shared" si="38"/>
        <v>2333.5059999999999</v>
      </c>
      <c r="F119" s="24">
        <f t="shared" si="38"/>
        <v>2615.8330000000001</v>
      </c>
      <c r="G119" s="24">
        <f t="shared" si="38"/>
        <v>3194.5940000000001</v>
      </c>
      <c r="H119" s="24">
        <f t="shared" si="38"/>
        <v>3111.4050000000002</v>
      </c>
      <c r="I119" s="24">
        <f t="shared" si="38"/>
        <v>5303.058</v>
      </c>
      <c r="J119" s="24">
        <f t="shared" si="38"/>
        <v>6748.268</v>
      </c>
      <c r="K119" s="24">
        <f t="shared" si="38"/>
        <v>7605.8130000000001</v>
      </c>
      <c r="L119" s="24">
        <f t="shared" si="38"/>
        <v>8018.902</v>
      </c>
      <c r="M119" s="24">
        <f t="shared" si="38"/>
        <v>0</v>
      </c>
      <c r="N119" s="24">
        <f t="shared" si="38"/>
        <v>0</v>
      </c>
      <c r="O119" s="24">
        <f t="shared" si="38"/>
        <v>0</v>
      </c>
      <c r="P119" s="24">
        <f t="shared" si="38"/>
        <v>0</v>
      </c>
      <c r="Q119" s="24">
        <f t="shared" si="38"/>
        <v>0</v>
      </c>
      <c r="R119" s="24">
        <f t="shared" si="38"/>
        <v>0</v>
      </c>
    </row>
    <row r="120" spans="1:18" x14ac:dyDescent="0.45">
      <c r="B120" s="47" t="s">
        <v>342</v>
      </c>
      <c r="C120" s="24">
        <f t="shared" ref="C120:R120" si="39">C43</f>
        <v>1973.06</v>
      </c>
      <c r="D120" s="24">
        <f t="shared" si="39"/>
        <v>2213.0990000000002</v>
      </c>
      <c r="E120" s="24">
        <f t="shared" si="39"/>
        <v>2527.5479999999998</v>
      </c>
      <c r="F120" s="24">
        <f t="shared" si="39"/>
        <v>2524.1260000000002</v>
      </c>
      <c r="G120" s="24">
        <f t="shared" si="39"/>
        <v>2845.2820000000002</v>
      </c>
      <c r="H120" s="24">
        <f t="shared" si="39"/>
        <v>3289.62</v>
      </c>
      <c r="I120" s="24">
        <f t="shared" si="39"/>
        <v>7898.7520000000004</v>
      </c>
      <c r="J120" s="24">
        <f t="shared" si="39"/>
        <v>4396.8540000000003</v>
      </c>
      <c r="K120" s="24">
        <f t="shared" si="39"/>
        <v>4907.0929999999998</v>
      </c>
      <c r="L120" s="24">
        <f t="shared" si="39"/>
        <v>5107.6790000000001</v>
      </c>
      <c r="M120" s="24">
        <f t="shared" si="39"/>
        <v>0</v>
      </c>
      <c r="N120" s="24">
        <f t="shared" si="39"/>
        <v>0</v>
      </c>
      <c r="O120" s="24">
        <f t="shared" si="39"/>
        <v>0</v>
      </c>
      <c r="P120" s="24">
        <f t="shared" si="39"/>
        <v>0</v>
      </c>
      <c r="Q120" s="24">
        <f t="shared" si="39"/>
        <v>0</v>
      </c>
      <c r="R120" s="24">
        <f t="shared" si="39"/>
        <v>0</v>
      </c>
    </row>
    <row r="121" spans="1:18" x14ac:dyDescent="0.45">
      <c r="B121" s="47" t="s">
        <v>343</v>
      </c>
      <c r="C121" s="24">
        <f t="shared" ref="C121:R121" si="40">C45</f>
        <v>2189.424</v>
      </c>
      <c r="D121" s="24">
        <f t="shared" si="40"/>
        <v>2316.4529999999995</v>
      </c>
      <c r="E121" s="24">
        <f t="shared" si="40"/>
        <v>2297.6950000000002</v>
      </c>
      <c r="F121" s="24">
        <f t="shared" si="40"/>
        <v>4222.8899999999994</v>
      </c>
      <c r="G121" s="24">
        <f t="shared" si="40"/>
        <v>3010.1369999999997</v>
      </c>
      <c r="H121" s="24">
        <f t="shared" si="40"/>
        <v>3139.2020000000002</v>
      </c>
      <c r="I121" s="24">
        <f t="shared" si="40"/>
        <v>4262.8469999999998</v>
      </c>
      <c r="J121" s="24">
        <f t="shared" si="40"/>
        <v>4165.7359999999999</v>
      </c>
      <c r="K121" s="24">
        <f t="shared" si="40"/>
        <v>4870</v>
      </c>
      <c r="L121" s="24">
        <f t="shared" si="40"/>
        <v>6518.8589999999995</v>
      </c>
      <c r="M121" s="24">
        <f t="shared" si="40"/>
        <v>0</v>
      </c>
      <c r="N121" s="24">
        <f t="shared" si="40"/>
        <v>0</v>
      </c>
      <c r="O121" s="24">
        <f t="shared" si="40"/>
        <v>0</v>
      </c>
      <c r="P121" s="24">
        <f t="shared" si="40"/>
        <v>0</v>
      </c>
      <c r="Q121" s="24">
        <f t="shared" si="40"/>
        <v>0</v>
      </c>
      <c r="R121" s="24">
        <f t="shared" si="40"/>
        <v>0</v>
      </c>
    </row>
    <row r="122" spans="1:18" x14ac:dyDescent="0.45">
      <c r="B122" s="47" t="s">
        <v>344</v>
      </c>
      <c r="C122" s="24">
        <f t="shared" ref="C122:R122" si="41">C63</f>
        <v>3193.9079999999999</v>
      </c>
      <c r="D122" s="24">
        <f t="shared" si="41"/>
        <v>1592.9760000000001</v>
      </c>
      <c r="E122" s="24">
        <f t="shared" si="41"/>
        <v>1902.9480000000001</v>
      </c>
      <c r="F122" s="24">
        <f t="shared" si="41"/>
        <v>1502.248</v>
      </c>
      <c r="G122" s="24">
        <f t="shared" si="41"/>
        <v>1580.8109999999999</v>
      </c>
      <c r="H122" s="24">
        <f t="shared" si="41"/>
        <v>1921.125</v>
      </c>
      <c r="I122" s="24">
        <f t="shared" si="41"/>
        <v>2483.143</v>
      </c>
      <c r="J122" s="24">
        <f t="shared" si="41"/>
        <v>2386.0349999999999</v>
      </c>
      <c r="K122" s="24">
        <f t="shared" si="41"/>
        <v>2955.6550000000002</v>
      </c>
      <c r="L122" s="24">
        <f t="shared" si="41"/>
        <v>3515.8760000000002</v>
      </c>
      <c r="M122" s="24">
        <f t="shared" si="41"/>
        <v>0</v>
      </c>
      <c r="N122" s="24">
        <f t="shared" si="41"/>
        <v>0</v>
      </c>
      <c r="O122" s="24">
        <f t="shared" si="41"/>
        <v>0</v>
      </c>
      <c r="P122" s="24">
        <f t="shared" si="41"/>
        <v>0</v>
      </c>
      <c r="Q122" s="24">
        <f t="shared" si="41"/>
        <v>0</v>
      </c>
      <c r="R122" s="24">
        <f t="shared" si="41"/>
        <v>0</v>
      </c>
    </row>
    <row r="123" spans="1:18" x14ac:dyDescent="0.45">
      <c r="B123" s="47" t="s">
        <v>345</v>
      </c>
      <c r="C123" s="27">
        <f t="shared" ref="C123:R123" si="42">C64</f>
        <v>9644.3329999999987</v>
      </c>
      <c r="D123" s="27">
        <f t="shared" si="42"/>
        <v>10668.198</v>
      </c>
      <c r="E123" s="27">
        <f t="shared" si="42"/>
        <v>9849.5249999999996</v>
      </c>
      <c r="F123" s="27">
        <f t="shared" si="42"/>
        <v>11171.66</v>
      </c>
      <c r="G123" s="27">
        <f t="shared" si="42"/>
        <v>12740.057000000003</v>
      </c>
      <c r="H123" s="27">
        <f t="shared" si="42"/>
        <v>12702.315999999999</v>
      </c>
      <c r="I123" s="27">
        <f t="shared" si="42"/>
        <v>14840.824999999999</v>
      </c>
      <c r="J123" s="27">
        <f t="shared" si="42"/>
        <v>16132.403</v>
      </c>
      <c r="K123" s="27">
        <f t="shared" si="42"/>
        <v>18895.564999999999</v>
      </c>
      <c r="L123" s="27">
        <f t="shared" si="42"/>
        <v>20766.848999999998</v>
      </c>
      <c r="M123" s="27">
        <f t="shared" si="42"/>
        <v>0</v>
      </c>
      <c r="N123" s="27">
        <f t="shared" si="42"/>
        <v>0</v>
      </c>
      <c r="O123" s="27">
        <f t="shared" si="42"/>
        <v>0</v>
      </c>
      <c r="P123" s="27">
        <f t="shared" si="42"/>
        <v>0</v>
      </c>
      <c r="Q123" s="27">
        <f t="shared" si="42"/>
        <v>0</v>
      </c>
      <c r="R123" s="24">
        <f t="shared" si="42"/>
        <v>0</v>
      </c>
    </row>
    <row r="124" spans="1:18" x14ac:dyDescent="0.45">
      <c r="B124" s="60" t="s">
        <v>138</v>
      </c>
      <c r="C124" s="32">
        <f t="shared" ref="C124:R124" si="43">SUM(C118:C121)-SUM(C122:C123)</f>
        <v>-4410.1539999999986</v>
      </c>
      <c r="D124" s="32">
        <f t="shared" si="43"/>
        <v>-5282.4210000000012</v>
      </c>
      <c r="E124" s="32">
        <f t="shared" si="43"/>
        <v>-3597.530850000001</v>
      </c>
      <c r="F124" s="32">
        <f t="shared" si="43"/>
        <v>-2374.91525</v>
      </c>
      <c r="G124" s="32">
        <f t="shared" si="43"/>
        <v>-4181.7025500000018</v>
      </c>
      <c r="H124" s="32">
        <f t="shared" si="43"/>
        <v>-3915.8848499999986</v>
      </c>
      <c r="I124" s="32">
        <f t="shared" si="43"/>
        <v>1723.3449499999988</v>
      </c>
      <c r="J124" s="32">
        <f t="shared" si="43"/>
        <v>-1097.9922499999993</v>
      </c>
      <c r="K124" s="32">
        <f t="shared" si="43"/>
        <v>-2349.8679999999986</v>
      </c>
      <c r="L124" s="32">
        <f t="shared" si="43"/>
        <v>-2137.5304499999984</v>
      </c>
      <c r="M124" s="32">
        <f t="shared" si="43"/>
        <v>0</v>
      </c>
      <c r="N124" s="32">
        <f t="shared" si="43"/>
        <v>0</v>
      </c>
      <c r="O124" s="32">
        <f t="shared" si="43"/>
        <v>0</v>
      </c>
      <c r="P124" s="32">
        <f t="shared" si="43"/>
        <v>0</v>
      </c>
      <c r="Q124" s="32">
        <f t="shared" si="43"/>
        <v>0</v>
      </c>
      <c r="R124" s="24">
        <f t="shared" si="43"/>
        <v>0</v>
      </c>
    </row>
    <row r="125" spans="1:18" x14ac:dyDescent="0.45">
      <c r="B125" s="62" t="s">
        <v>346</v>
      </c>
      <c r="C125" s="69"/>
    </row>
    <row r="126" spans="1:18" x14ac:dyDescent="0.45">
      <c r="B126" s="47" t="s">
        <v>347</v>
      </c>
      <c r="C126" s="24">
        <f t="shared" ref="C126:R126" si="44">C37</f>
        <v>7034.1479999999992</v>
      </c>
      <c r="D126" s="24">
        <f t="shared" si="44"/>
        <v>7611.2020000000002</v>
      </c>
      <c r="E126" s="24">
        <f t="shared" si="44"/>
        <v>7396.93</v>
      </c>
      <c r="F126" s="24">
        <f t="shared" si="44"/>
        <v>7019.5150000000003</v>
      </c>
      <c r="G126" s="24">
        <f t="shared" si="44"/>
        <v>8093.8620000000001</v>
      </c>
      <c r="H126" s="24">
        <f t="shared" si="44"/>
        <v>7981.2530000000006</v>
      </c>
      <c r="I126" s="24">
        <f t="shared" si="44"/>
        <v>9798.0400000000009</v>
      </c>
      <c r="J126" s="24">
        <f t="shared" si="44"/>
        <v>9691.98</v>
      </c>
      <c r="K126" s="24">
        <f t="shared" si="44"/>
        <v>10433.904999999999</v>
      </c>
      <c r="L126" s="24">
        <f t="shared" si="44"/>
        <v>12323.918</v>
      </c>
      <c r="M126" s="24">
        <f t="shared" si="44"/>
        <v>0</v>
      </c>
      <c r="N126" s="24">
        <f t="shared" si="44"/>
        <v>0</v>
      </c>
      <c r="O126" s="24">
        <f t="shared" si="44"/>
        <v>0</v>
      </c>
      <c r="P126" s="24">
        <f t="shared" si="44"/>
        <v>0</v>
      </c>
      <c r="Q126" s="24">
        <f t="shared" si="44"/>
        <v>0</v>
      </c>
      <c r="R126" s="24">
        <f t="shared" si="44"/>
        <v>0</v>
      </c>
    </row>
    <row r="127" spans="1:18" x14ac:dyDescent="0.45">
      <c r="B127" s="47" t="s">
        <v>348</v>
      </c>
      <c r="C127" s="24">
        <f t="shared" ref="C127:R127" si="45">C38</f>
        <v>31714.432000000001</v>
      </c>
      <c r="D127" s="24">
        <f t="shared" si="45"/>
        <v>37211.161</v>
      </c>
      <c r="E127" s="24">
        <f t="shared" si="45"/>
        <v>31657.226000000002</v>
      </c>
      <c r="F127" s="24">
        <f t="shared" si="45"/>
        <v>29403.885000000002</v>
      </c>
      <c r="G127" s="24">
        <f t="shared" si="45"/>
        <v>28961.641</v>
      </c>
      <c r="H127" s="24">
        <f t="shared" si="45"/>
        <v>26807.460999999999</v>
      </c>
      <c r="I127" s="24">
        <f t="shared" si="45"/>
        <v>54854.251000000004</v>
      </c>
      <c r="J127" s="24">
        <f t="shared" si="45"/>
        <v>55325.133999999998</v>
      </c>
      <c r="K127" s="24">
        <f t="shared" si="45"/>
        <v>52596.544000000002</v>
      </c>
      <c r="L127" s="24">
        <f t="shared" si="45"/>
        <v>56217.312000000005</v>
      </c>
      <c r="M127" s="24">
        <f t="shared" si="45"/>
        <v>0</v>
      </c>
      <c r="N127" s="24">
        <f t="shared" si="45"/>
        <v>0</v>
      </c>
      <c r="O127" s="24">
        <f t="shared" si="45"/>
        <v>0</v>
      </c>
      <c r="P127" s="24">
        <f t="shared" si="45"/>
        <v>0</v>
      </c>
      <c r="Q127" s="24">
        <f t="shared" si="45"/>
        <v>0</v>
      </c>
      <c r="R127" s="24">
        <f t="shared" si="45"/>
        <v>0</v>
      </c>
    </row>
    <row r="128" spans="1:18" x14ac:dyDescent="0.45">
      <c r="B128" s="47" t="s">
        <v>349</v>
      </c>
      <c r="C128" s="24">
        <f t="shared" ref="C128:R128" si="46">C59-C40</f>
        <v>1262.2800000000002</v>
      </c>
      <c r="D128" s="24">
        <f t="shared" si="46"/>
        <v>2706.1630000000005</v>
      </c>
      <c r="E128" s="24">
        <f t="shared" si="46"/>
        <v>1504.037</v>
      </c>
      <c r="F128" s="24">
        <f t="shared" si="46"/>
        <v>792.17300000000023</v>
      </c>
      <c r="G128" s="24">
        <f t="shared" si="46"/>
        <v>-203.17100000000028</v>
      </c>
      <c r="H128" s="24">
        <f t="shared" si="46"/>
        <v>-425.09999999999991</v>
      </c>
      <c r="I128" s="24">
        <f t="shared" si="46"/>
        <v>1649.5669999999996</v>
      </c>
      <c r="J128" s="24">
        <f t="shared" si="46"/>
        <v>-298.48799999999983</v>
      </c>
      <c r="K128" s="24">
        <f t="shared" si="46"/>
        <v>-1695.4079999999999</v>
      </c>
      <c r="L128" s="24">
        <f t="shared" si="46"/>
        <v>-1972.3670000000002</v>
      </c>
      <c r="M128" s="24">
        <f t="shared" si="46"/>
        <v>0</v>
      </c>
      <c r="N128" s="24">
        <f t="shared" si="46"/>
        <v>0</v>
      </c>
      <c r="O128" s="24">
        <f t="shared" si="46"/>
        <v>0</v>
      </c>
      <c r="P128" s="24">
        <f t="shared" si="46"/>
        <v>0</v>
      </c>
      <c r="Q128" s="24">
        <f t="shared" si="46"/>
        <v>0</v>
      </c>
      <c r="R128" s="24">
        <f t="shared" si="46"/>
        <v>0</v>
      </c>
    </row>
    <row r="129" spans="2:18" ht="28.5" x14ac:dyDescent="0.45">
      <c r="B129" s="47" t="s">
        <v>350</v>
      </c>
      <c r="C129" s="25">
        <f t="shared" ref="C129:R129" si="47">C60</f>
        <v>7274.451</v>
      </c>
      <c r="D129" s="25">
        <f t="shared" si="47"/>
        <v>7528.7079999999996</v>
      </c>
      <c r="E129" s="25">
        <f t="shared" si="47"/>
        <v>5299.9390000000003</v>
      </c>
      <c r="F129" s="25">
        <f t="shared" si="47"/>
        <v>4643.8680000000004</v>
      </c>
      <c r="G129" s="25">
        <f t="shared" si="47"/>
        <v>4443.0250000000005</v>
      </c>
      <c r="H129" s="25">
        <f t="shared" si="47"/>
        <v>3573.2930000000001</v>
      </c>
      <c r="I129" s="25">
        <f t="shared" si="47"/>
        <v>3825.835</v>
      </c>
      <c r="J129" s="25">
        <f t="shared" si="47"/>
        <v>4104.9160000000002</v>
      </c>
      <c r="K129" s="25">
        <f t="shared" si="47"/>
        <v>3426.0990000000002</v>
      </c>
      <c r="L129" s="25">
        <f t="shared" si="47"/>
        <v>2829.1210000000001</v>
      </c>
      <c r="M129" s="25">
        <f t="shared" si="47"/>
        <v>0</v>
      </c>
      <c r="N129" s="27">
        <f t="shared" si="47"/>
        <v>0</v>
      </c>
      <c r="O129" s="27">
        <f t="shared" si="47"/>
        <v>0</v>
      </c>
      <c r="P129" s="27">
        <f t="shared" si="47"/>
        <v>0</v>
      </c>
      <c r="Q129" s="27">
        <f t="shared" si="47"/>
        <v>0</v>
      </c>
      <c r="R129" s="24">
        <f t="shared" si="47"/>
        <v>0</v>
      </c>
    </row>
    <row r="130" spans="2:18" x14ac:dyDescent="0.45">
      <c r="B130" s="60" t="s">
        <v>351</v>
      </c>
      <c r="C130" s="36">
        <f t="shared" ref="C130:R130" si="48">SUM(C126:C127)-SUM(C128:C129)</f>
        <v>30211.849000000002</v>
      </c>
      <c r="D130" s="36">
        <f t="shared" si="48"/>
        <v>34587.491999999998</v>
      </c>
      <c r="E130" s="36">
        <f t="shared" si="48"/>
        <v>32250.18</v>
      </c>
      <c r="F130" s="36">
        <f t="shared" si="48"/>
        <v>30987.359</v>
      </c>
      <c r="G130" s="36">
        <f t="shared" si="48"/>
        <v>32815.648999999998</v>
      </c>
      <c r="H130" s="36">
        <f t="shared" si="48"/>
        <v>31640.521000000001</v>
      </c>
      <c r="I130" s="36">
        <f t="shared" si="48"/>
        <v>59176.889000000003</v>
      </c>
      <c r="J130" s="36">
        <f t="shared" si="48"/>
        <v>61210.686000000002</v>
      </c>
      <c r="K130" s="36">
        <f t="shared" si="48"/>
        <v>61299.758000000002</v>
      </c>
      <c r="L130" s="36">
        <f t="shared" si="48"/>
        <v>67684.47600000001</v>
      </c>
      <c r="M130" s="36">
        <f t="shared" si="48"/>
        <v>0</v>
      </c>
      <c r="N130" s="36">
        <f t="shared" si="48"/>
        <v>0</v>
      </c>
      <c r="O130" s="36">
        <f t="shared" si="48"/>
        <v>0</v>
      </c>
      <c r="P130" s="36">
        <f t="shared" si="48"/>
        <v>0</v>
      </c>
      <c r="Q130" s="36">
        <f t="shared" si="48"/>
        <v>0</v>
      </c>
      <c r="R130" s="24">
        <f t="shared" si="48"/>
        <v>0</v>
      </c>
    </row>
    <row r="131" spans="2:18" x14ac:dyDescent="0.45">
      <c r="B131" s="62" t="s">
        <v>352</v>
      </c>
      <c r="C131" s="70"/>
      <c r="D131" s="32"/>
      <c r="E131" s="32"/>
      <c r="F131" s="32"/>
      <c r="G131" s="32"/>
      <c r="H131" s="32"/>
      <c r="I131" s="32"/>
      <c r="J131" s="32"/>
      <c r="K131" s="32"/>
      <c r="L131" s="32"/>
      <c r="M131" s="32"/>
      <c r="N131" s="32"/>
      <c r="O131" s="32"/>
      <c r="P131" s="32"/>
      <c r="Q131" s="32"/>
    </row>
    <row r="132" spans="2:18" x14ac:dyDescent="0.45">
      <c r="B132" s="47" t="s">
        <v>353</v>
      </c>
      <c r="C132" s="216">
        <f t="shared" ref="C132:R132" si="49">MAX(0,C46-C118)</f>
        <v>6309.5569999999998</v>
      </c>
      <c r="D132" s="216">
        <f t="shared" si="49"/>
        <v>5596.277</v>
      </c>
      <c r="E132" s="216">
        <f t="shared" si="49"/>
        <v>2796.3778499999999</v>
      </c>
      <c r="F132" s="216">
        <f t="shared" si="49"/>
        <v>3318.1872499999999</v>
      </c>
      <c r="G132" s="216">
        <f t="shared" si="49"/>
        <v>3729.0255499999998</v>
      </c>
      <c r="H132" s="216">
        <f t="shared" si="49"/>
        <v>5269.6658499999994</v>
      </c>
      <c r="I132" s="216">
        <f t="shared" si="49"/>
        <v>4029.0370499999999</v>
      </c>
      <c r="J132" s="216">
        <f t="shared" si="49"/>
        <v>3719.8232499999999</v>
      </c>
      <c r="K132" s="216">
        <f t="shared" si="49"/>
        <v>3165.0020000000004</v>
      </c>
      <c r="L132" s="216">
        <f t="shared" si="49"/>
        <v>2801.1044500000003</v>
      </c>
      <c r="M132" s="216">
        <f t="shared" si="49"/>
        <v>0</v>
      </c>
      <c r="N132" s="216">
        <f t="shared" si="49"/>
        <v>0</v>
      </c>
      <c r="O132" s="216">
        <f t="shared" si="49"/>
        <v>0</v>
      </c>
      <c r="P132" s="216">
        <f t="shared" si="49"/>
        <v>0</v>
      </c>
      <c r="Q132" s="216">
        <f t="shared" si="49"/>
        <v>0</v>
      </c>
      <c r="R132" s="24">
        <f t="shared" si="49"/>
        <v>0</v>
      </c>
    </row>
    <row r="133" spans="2:18" x14ac:dyDescent="0.45">
      <c r="B133" s="47" t="s">
        <v>354</v>
      </c>
      <c r="C133" s="24">
        <f>+C39</f>
        <v>615.94799999999998</v>
      </c>
      <c r="D133" s="24">
        <f t="shared" ref="D133:L133" si="50">+D39</f>
        <v>844.846</v>
      </c>
      <c r="E133" s="24">
        <f t="shared" si="50"/>
        <v>932.73599999999999</v>
      </c>
      <c r="F133" s="24">
        <f t="shared" si="50"/>
        <v>854.18499999999995</v>
      </c>
      <c r="G133" s="24">
        <f t="shared" si="50"/>
        <v>1347.3430000000001</v>
      </c>
      <c r="H133" s="24">
        <f t="shared" si="50"/>
        <v>974.46</v>
      </c>
      <c r="I133" s="24">
        <f t="shared" si="50"/>
        <v>1109.6769999999999</v>
      </c>
      <c r="J133" s="24">
        <f t="shared" si="50"/>
        <v>1068.569</v>
      </c>
      <c r="K133" s="24">
        <f t="shared" si="50"/>
        <v>1517.182</v>
      </c>
      <c r="L133" s="24">
        <f t="shared" si="50"/>
        <v>1835.21</v>
      </c>
      <c r="M133" s="24">
        <f t="shared" ref="M133:R133" si="51">M39</f>
        <v>0</v>
      </c>
      <c r="N133" s="24">
        <f t="shared" si="51"/>
        <v>0</v>
      </c>
      <c r="O133" s="24">
        <f t="shared" si="51"/>
        <v>0</v>
      </c>
      <c r="P133" s="24">
        <f t="shared" si="51"/>
        <v>0</v>
      </c>
      <c r="Q133" s="24">
        <f t="shared" si="51"/>
        <v>0</v>
      </c>
      <c r="R133" s="24">
        <f t="shared" si="51"/>
        <v>0</v>
      </c>
    </row>
    <row r="134" spans="2:18" ht="14.65" thickBot="1" x14ac:dyDescent="0.5">
      <c r="B134" s="60" t="s">
        <v>355</v>
      </c>
      <c r="C134" s="64">
        <f t="shared" ref="C134:R134" si="52">SUM(C132:C133)</f>
        <v>6925.5050000000001</v>
      </c>
      <c r="D134" s="64">
        <f t="shared" si="52"/>
        <v>6441.1229999999996</v>
      </c>
      <c r="E134" s="64">
        <f t="shared" si="52"/>
        <v>3729.1138499999997</v>
      </c>
      <c r="F134" s="64">
        <f t="shared" si="52"/>
        <v>4172.3722500000003</v>
      </c>
      <c r="G134" s="64">
        <f t="shared" si="52"/>
        <v>5076.3685500000001</v>
      </c>
      <c r="H134" s="64">
        <f t="shared" si="52"/>
        <v>6244.1258499999994</v>
      </c>
      <c r="I134" s="64">
        <f t="shared" si="52"/>
        <v>5138.7140499999996</v>
      </c>
      <c r="J134" s="64">
        <f t="shared" si="52"/>
        <v>4788.3922499999999</v>
      </c>
      <c r="K134" s="64">
        <f t="shared" si="52"/>
        <v>4682.1840000000002</v>
      </c>
      <c r="L134" s="64">
        <f t="shared" si="52"/>
        <v>4636.3144499999999</v>
      </c>
      <c r="M134" s="64">
        <f t="shared" si="52"/>
        <v>0</v>
      </c>
      <c r="N134" s="64">
        <f t="shared" si="52"/>
        <v>0</v>
      </c>
      <c r="O134" s="64">
        <f t="shared" si="52"/>
        <v>0</v>
      </c>
      <c r="P134" s="64">
        <f t="shared" si="52"/>
        <v>0</v>
      </c>
      <c r="Q134" s="64">
        <f t="shared" si="52"/>
        <v>0</v>
      </c>
      <c r="R134" s="24">
        <f t="shared" si="52"/>
        <v>0</v>
      </c>
    </row>
    <row r="135" spans="2:18" ht="14.65" thickTop="1" x14ac:dyDescent="0.45">
      <c r="B135" s="42" t="s">
        <v>356</v>
      </c>
      <c r="C135" s="32">
        <f t="shared" ref="C135:R135" si="53">SUM(C124,C130,C134)</f>
        <v>32727.200000000004</v>
      </c>
      <c r="D135" s="32">
        <f t="shared" si="53"/>
        <v>35746.193999999996</v>
      </c>
      <c r="E135" s="32">
        <f t="shared" si="53"/>
        <v>32381.762999999999</v>
      </c>
      <c r="F135" s="32">
        <f t="shared" si="53"/>
        <v>32784.815999999999</v>
      </c>
      <c r="G135" s="32">
        <f t="shared" si="53"/>
        <v>33710.314999999995</v>
      </c>
      <c r="H135" s="32">
        <f t="shared" si="53"/>
        <v>33968.762000000002</v>
      </c>
      <c r="I135" s="32">
        <f t="shared" si="53"/>
        <v>66038.948000000004</v>
      </c>
      <c r="J135" s="32">
        <f t="shared" si="53"/>
        <v>64901.086000000003</v>
      </c>
      <c r="K135" s="32">
        <f t="shared" si="53"/>
        <v>63632.074000000001</v>
      </c>
      <c r="L135" s="32">
        <f t="shared" si="53"/>
        <v>70183.260000000009</v>
      </c>
      <c r="M135" s="32">
        <f t="shared" si="53"/>
        <v>0</v>
      </c>
      <c r="N135" s="32">
        <f t="shared" si="53"/>
        <v>0</v>
      </c>
      <c r="O135" s="32">
        <f t="shared" si="53"/>
        <v>0</v>
      </c>
      <c r="P135" s="32">
        <f t="shared" si="53"/>
        <v>0</v>
      </c>
      <c r="Q135" s="32">
        <f t="shared" si="53"/>
        <v>0</v>
      </c>
      <c r="R135" s="24">
        <f t="shared" si="53"/>
        <v>0</v>
      </c>
    </row>
    <row r="136" spans="2:18" x14ac:dyDescent="0.45">
      <c r="B136" s="42"/>
      <c r="C136" s="71"/>
      <c r="D136" s="71"/>
      <c r="E136" s="71"/>
      <c r="F136" s="71"/>
      <c r="G136" s="71"/>
      <c r="H136" s="71"/>
      <c r="I136" s="71"/>
      <c r="J136" s="71"/>
      <c r="K136" s="71"/>
      <c r="L136" s="71"/>
      <c r="M136" s="32"/>
      <c r="N136" s="32"/>
      <c r="O136" s="32"/>
      <c r="P136" s="32"/>
      <c r="Q136" s="32"/>
    </row>
    <row r="137" spans="2:18" x14ac:dyDescent="0.45">
      <c r="B137" s="42" t="s">
        <v>357</v>
      </c>
      <c r="C137" s="71"/>
      <c r="D137" s="71"/>
      <c r="E137" s="71"/>
      <c r="F137" s="71"/>
      <c r="G137" s="71"/>
      <c r="H137" s="71"/>
      <c r="I137" s="71"/>
      <c r="J137" s="71"/>
      <c r="K137" s="71"/>
      <c r="L137" s="71"/>
    </row>
    <row r="138" spans="2:18" x14ac:dyDescent="0.45">
      <c r="B138" s="47" t="s">
        <v>358</v>
      </c>
      <c r="C138" s="24">
        <f t="shared" ref="C138:R138" si="54">C65</f>
        <v>851.64699999999993</v>
      </c>
      <c r="D138" s="24">
        <f t="shared" si="54"/>
        <v>2204.5639999999999</v>
      </c>
      <c r="E138" s="24">
        <f t="shared" si="54"/>
        <v>1891.289</v>
      </c>
      <c r="F138" s="24">
        <f t="shared" si="54"/>
        <v>1555.5250000000001</v>
      </c>
      <c r="G138" s="24">
        <f t="shared" si="54"/>
        <v>1823.191</v>
      </c>
      <c r="H138" s="24">
        <f t="shared" si="54"/>
        <v>1977.5329999999999</v>
      </c>
      <c r="I138" s="24">
        <f t="shared" si="54"/>
        <v>2542.9349999999999</v>
      </c>
      <c r="J138" s="24">
        <f t="shared" si="54"/>
        <v>6083.9220000000005</v>
      </c>
      <c r="K138" s="24">
        <f t="shared" si="54"/>
        <v>5780.1279999999997</v>
      </c>
      <c r="L138" s="24">
        <f t="shared" si="54"/>
        <v>2633.0430000000001</v>
      </c>
      <c r="M138" s="24">
        <f t="shared" si="54"/>
        <v>0</v>
      </c>
      <c r="N138" s="24">
        <f t="shared" si="54"/>
        <v>0</v>
      </c>
      <c r="O138" s="24">
        <f t="shared" si="54"/>
        <v>0</v>
      </c>
      <c r="P138" s="24">
        <f t="shared" si="54"/>
        <v>0</v>
      </c>
      <c r="Q138" s="24">
        <f t="shared" si="54"/>
        <v>0</v>
      </c>
      <c r="R138" s="24">
        <f t="shared" si="54"/>
        <v>0</v>
      </c>
    </row>
    <row r="139" spans="2:18" x14ac:dyDescent="0.45">
      <c r="B139" s="47" t="s">
        <v>359</v>
      </c>
      <c r="C139" s="24">
        <f t="shared" ref="C139:R139" si="55">C58</f>
        <v>14834.319</v>
      </c>
      <c r="D139" s="24">
        <f t="shared" si="55"/>
        <v>17736.081000000002</v>
      </c>
      <c r="E139" s="24">
        <f t="shared" si="55"/>
        <v>16631.016</v>
      </c>
      <c r="F139" s="24">
        <f t="shared" si="55"/>
        <v>18963.259999999998</v>
      </c>
      <c r="G139" s="24">
        <f t="shared" si="55"/>
        <v>18880.627</v>
      </c>
      <c r="H139" s="24">
        <f t="shared" si="55"/>
        <v>19207.163</v>
      </c>
      <c r="I139" s="24">
        <f t="shared" si="55"/>
        <v>28950.951999999997</v>
      </c>
      <c r="J139" s="24">
        <f t="shared" si="55"/>
        <v>24141.997000000003</v>
      </c>
      <c r="K139" s="24">
        <f t="shared" si="55"/>
        <v>22418.466</v>
      </c>
      <c r="L139" s="24">
        <f t="shared" si="55"/>
        <v>28072.917999999998</v>
      </c>
      <c r="M139" s="24">
        <f t="shared" si="55"/>
        <v>0</v>
      </c>
      <c r="N139" s="24">
        <f t="shared" si="55"/>
        <v>0</v>
      </c>
      <c r="O139" s="24">
        <f t="shared" si="55"/>
        <v>0</v>
      </c>
      <c r="P139" s="24">
        <f t="shared" si="55"/>
        <v>0</v>
      </c>
      <c r="Q139" s="24">
        <f t="shared" si="55"/>
        <v>0</v>
      </c>
      <c r="R139" s="24">
        <f t="shared" si="55"/>
        <v>0</v>
      </c>
    </row>
    <row r="140" spans="2:18" x14ac:dyDescent="0.45">
      <c r="B140" s="60" t="s">
        <v>360</v>
      </c>
      <c r="C140" s="32">
        <f t="shared" ref="C140:R140" si="56">SUM(C138:C139)</f>
        <v>15685.966</v>
      </c>
      <c r="D140" s="32">
        <f t="shared" si="56"/>
        <v>19940.645</v>
      </c>
      <c r="E140" s="32">
        <f t="shared" si="56"/>
        <v>18522.305</v>
      </c>
      <c r="F140" s="32">
        <f t="shared" si="56"/>
        <v>20518.785</v>
      </c>
      <c r="G140" s="32">
        <f t="shared" si="56"/>
        <v>20703.817999999999</v>
      </c>
      <c r="H140" s="32">
        <f t="shared" si="56"/>
        <v>21184.696</v>
      </c>
      <c r="I140" s="32">
        <f t="shared" si="56"/>
        <v>31493.886999999999</v>
      </c>
      <c r="J140" s="32">
        <f t="shared" si="56"/>
        <v>30225.919000000002</v>
      </c>
      <c r="K140" s="32">
        <f t="shared" si="56"/>
        <v>28198.594000000001</v>
      </c>
      <c r="L140" s="32">
        <f t="shared" si="56"/>
        <v>30705.960999999999</v>
      </c>
      <c r="M140" s="32">
        <f t="shared" si="56"/>
        <v>0</v>
      </c>
      <c r="N140" s="32">
        <f t="shared" si="56"/>
        <v>0</v>
      </c>
      <c r="O140" s="32">
        <f t="shared" si="56"/>
        <v>0</v>
      </c>
      <c r="P140" s="32">
        <f t="shared" si="56"/>
        <v>0</v>
      </c>
      <c r="Q140" s="32">
        <f t="shared" si="56"/>
        <v>0</v>
      </c>
      <c r="R140" s="24">
        <f t="shared" si="56"/>
        <v>0</v>
      </c>
    </row>
    <row r="141" spans="2:18" x14ac:dyDescent="0.45">
      <c r="B141" s="62" t="s">
        <v>361</v>
      </c>
      <c r="C141" s="69"/>
    </row>
    <row r="142" spans="2:18" x14ac:dyDescent="0.45">
      <c r="B142" s="47" t="s">
        <v>362</v>
      </c>
      <c r="C142" s="24">
        <f t="shared" ref="C142:R142" si="57">C53</f>
        <v>17023.743000000002</v>
      </c>
      <c r="D142" s="24">
        <f t="shared" si="57"/>
        <v>14084.562999999998</v>
      </c>
      <c r="E142" s="24">
        <f t="shared" si="57"/>
        <v>12458.688</v>
      </c>
      <c r="F142" s="24">
        <f t="shared" si="57"/>
        <v>10889.552</v>
      </c>
      <c r="G142" s="24">
        <f t="shared" si="57"/>
        <v>11697.470000000001</v>
      </c>
      <c r="H142" s="24">
        <f t="shared" si="57"/>
        <v>12770.986000000001</v>
      </c>
      <c r="I142" s="24">
        <f t="shared" si="57"/>
        <v>34528.351999999999</v>
      </c>
      <c r="J142" s="24">
        <f t="shared" si="57"/>
        <v>34655.521000000001</v>
      </c>
      <c r="K142" s="24">
        <f t="shared" si="57"/>
        <v>35412.673000000003</v>
      </c>
      <c r="L142" s="24">
        <f t="shared" si="57"/>
        <v>39395.197</v>
      </c>
      <c r="M142" s="24">
        <f t="shared" si="57"/>
        <v>0</v>
      </c>
      <c r="N142" s="24">
        <f t="shared" si="57"/>
        <v>0</v>
      </c>
      <c r="O142" s="24">
        <f t="shared" si="57"/>
        <v>0</v>
      </c>
      <c r="P142" s="24">
        <f t="shared" si="57"/>
        <v>0</v>
      </c>
      <c r="Q142" s="24">
        <f t="shared" si="57"/>
        <v>0</v>
      </c>
      <c r="R142" s="24">
        <f t="shared" si="57"/>
        <v>0</v>
      </c>
    </row>
    <row r="143" spans="2:18" x14ac:dyDescent="0.45">
      <c r="B143" s="59" t="s">
        <v>363</v>
      </c>
      <c r="C143" s="24">
        <f t="shared" ref="C143:R143" si="58">C55</f>
        <v>17.492999999999999</v>
      </c>
      <c r="D143" s="24">
        <f t="shared" si="58"/>
        <v>1720.9829999999999</v>
      </c>
      <c r="E143" s="24">
        <f t="shared" si="58"/>
        <v>1400.77</v>
      </c>
      <c r="F143" s="24">
        <f t="shared" si="58"/>
        <v>1376.4780000000001</v>
      </c>
      <c r="G143" s="24">
        <f t="shared" si="58"/>
        <v>1309.0260000000001</v>
      </c>
      <c r="H143" s="24">
        <f t="shared" si="58"/>
        <v>13.08</v>
      </c>
      <c r="I143" s="24">
        <f t="shared" si="58"/>
        <v>16.707000000000001</v>
      </c>
      <c r="J143" s="24">
        <f t="shared" si="58"/>
        <v>19.649999999999999</v>
      </c>
      <c r="K143" s="24">
        <f t="shared" si="58"/>
        <v>20.808</v>
      </c>
      <c r="L143" s="24">
        <f t="shared" si="58"/>
        <v>82.102000000000004</v>
      </c>
      <c r="M143" s="24">
        <f t="shared" si="58"/>
        <v>0</v>
      </c>
      <c r="N143" s="24">
        <f t="shared" si="58"/>
        <v>0</v>
      </c>
      <c r="O143" s="24">
        <f t="shared" si="58"/>
        <v>0</v>
      </c>
      <c r="P143" s="24">
        <f t="shared" si="58"/>
        <v>0</v>
      </c>
      <c r="Q143" s="24">
        <f t="shared" si="58"/>
        <v>0</v>
      </c>
      <c r="R143" s="24">
        <f t="shared" si="58"/>
        <v>0</v>
      </c>
    </row>
    <row r="144" spans="2:18" ht="14.65" thickBot="1" x14ac:dyDescent="0.5">
      <c r="B144" s="66" t="s">
        <v>364</v>
      </c>
      <c r="C144" s="64">
        <f t="shared" ref="C144:R144" si="59">SUM(C142:C143)</f>
        <v>17041.236000000001</v>
      </c>
      <c r="D144" s="64">
        <f t="shared" si="59"/>
        <v>15805.545999999998</v>
      </c>
      <c r="E144" s="64">
        <f t="shared" si="59"/>
        <v>13859.458000000001</v>
      </c>
      <c r="F144" s="64">
        <f t="shared" si="59"/>
        <v>12266.029999999999</v>
      </c>
      <c r="G144" s="64">
        <f t="shared" si="59"/>
        <v>13006.496000000001</v>
      </c>
      <c r="H144" s="64">
        <f t="shared" si="59"/>
        <v>12784.066000000001</v>
      </c>
      <c r="I144" s="64">
        <f t="shared" si="59"/>
        <v>34545.059000000001</v>
      </c>
      <c r="J144" s="64">
        <f t="shared" si="59"/>
        <v>34675.171000000002</v>
      </c>
      <c r="K144" s="64">
        <f t="shared" si="59"/>
        <v>35433.481</v>
      </c>
      <c r="L144" s="64">
        <f t="shared" si="59"/>
        <v>39477.298999999999</v>
      </c>
      <c r="M144" s="64">
        <f t="shared" si="59"/>
        <v>0</v>
      </c>
      <c r="N144" s="64">
        <f t="shared" si="59"/>
        <v>0</v>
      </c>
      <c r="O144" s="64">
        <f t="shared" si="59"/>
        <v>0</v>
      </c>
      <c r="P144" s="64">
        <f t="shared" si="59"/>
        <v>0</v>
      </c>
      <c r="Q144" s="64">
        <f t="shared" si="59"/>
        <v>0</v>
      </c>
      <c r="R144" s="24">
        <f t="shared" si="59"/>
        <v>0</v>
      </c>
    </row>
    <row r="145" spans="1:18" ht="15" thickTop="1" thickBot="1" x14ac:dyDescent="0.5">
      <c r="B145" s="52" t="s">
        <v>365</v>
      </c>
      <c r="C145" s="44">
        <f t="shared" ref="C145:R145" si="60">SUM(C140,C144)</f>
        <v>32727.202000000001</v>
      </c>
      <c r="D145" s="44">
        <f t="shared" si="60"/>
        <v>35746.190999999999</v>
      </c>
      <c r="E145" s="44">
        <f t="shared" si="60"/>
        <v>32381.762999999999</v>
      </c>
      <c r="F145" s="44">
        <f t="shared" si="60"/>
        <v>32784.815000000002</v>
      </c>
      <c r="G145" s="44">
        <f t="shared" si="60"/>
        <v>33710.313999999998</v>
      </c>
      <c r="H145" s="44">
        <f t="shared" si="60"/>
        <v>33968.762000000002</v>
      </c>
      <c r="I145" s="44">
        <f t="shared" si="60"/>
        <v>66038.945999999996</v>
      </c>
      <c r="J145" s="44">
        <f t="shared" si="60"/>
        <v>64901.090000000004</v>
      </c>
      <c r="K145" s="44">
        <f t="shared" si="60"/>
        <v>63632.074999999997</v>
      </c>
      <c r="L145" s="44">
        <f t="shared" si="60"/>
        <v>70183.259999999995</v>
      </c>
      <c r="M145" s="44">
        <f t="shared" si="60"/>
        <v>0</v>
      </c>
      <c r="N145" s="44">
        <f t="shared" si="60"/>
        <v>0</v>
      </c>
      <c r="O145" s="44">
        <f t="shared" si="60"/>
        <v>0</v>
      </c>
      <c r="P145" s="44">
        <f t="shared" si="60"/>
        <v>0</v>
      </c>
      <c r="Q145" s="44">
        <f t="shared" si="60"/>
        <v>0</v>
      </c>
      <c r="R145" s="24">
        <f t="shared" si="60"/>
        <v>0</v>
      </c>
    </row>
    <row r="146" spans="1:18" ht="14.65" thickTop="1" x14ac:dyDescent="0.45">
      <c r="A146" s="24" t="s">
        <v>14</v>
      </c>
      <c r="B146" s="34"/>
    </row>
    <row r="147" spans="1:18" x14ac:dyDescent="0.45">
      <c r="B147" s="34"/>
    </row>
  </sheetData>
  <dataValidations count="1">
    <dataValidation type="list" allowBlank="1" showInputMessage="1" showErrorMessage="1" sqref="B27" xr:uid="{DEB99B71-28F0-F742-BB1D-2CE961163123}">
      <formula1>B$237:B$254</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62F-FCA7-8A4C-88E8-F4658D443049}">
  <dimension ref="A2:T147"/>
  <sheetViews>
    <sheetView showGridLines="0" topLeftCell="B1" zoomScale="50" workbookViewId="0">
      <selection activeCell="S3" sqref="S1:AS1048576"/>
    </sheetView>
  </sheetViews>
  <sheetFormatPr defaultColWidth="9.1328125" defaultRowHeight="14.25" x14ac:dyDescent="0.45"/>
  <cols>
    <col min="1" max="1" width="3.33203125" style="24" customWidth="1"/>
    <col min="2" max="2" width="45.33203125" style="24" customWidth="1"/>
    <col min="3" max="10" width="10" style="24" bestFit="1" customWidth="1"/>
    <col min="11" max="17" width="9.33203125" style="24" bestFit="1" customWidth="1"/>
    <col min="18" max="18" width="9.1328125" style="24" bestFit="1"/>
    <col min="19" max="16384" width="9.1328125" style="24"/>
  </cols>
  <sheetData>
    <row r="2" spans="1:17" x14ac:dyDescent="0.45">
      <c r="B2" s="26" t="s">
        <v>366</v>
      </c>
      <c r="C2" s="21">
        <v>2015</v>
      </c>
      <c r="D2" s="21">
        <f t="shared" ref="D2:Q2" si="0">C2+1</f>
        <v>2016</v>
      </c>
      <c r="E2" s="21">
        <f t="shared" si="0"/>
        <v>2017</v>
      </c>
      <c r="F2" s="21">
        <f t="shared" si="0"/>
        <v>2018</v>
      </c>
      <c r="G2" s="21">
        <f t="shared" si="0"/>
        <v>2019</v>
      </c>
      <c r="H2" s="21">
        <f t="shared" si="0"/>
        <v>2020</v>
      </c>
      <c r="I2" s="21">
        <f t="shared" si="0"/>
        <v>2021</v>
      </c>
      <c r="J2" s="21">
        <f t="shared" si="0"/>
        <v>2022</v>
      </c>
      <c r="K2" s="21">
        <f t="shared" si="0"/>
        <v>2023</v>
      </c>
      <c r="L2" s="21">
        <f t="shared" si="0"/>
        <v>2024</v>
      </c>
      <c r="M2" s="22">
        <f t="shared" si="0"/>
        <v>2025</v>
      </c>
      <c r="N2" s="22">
        <f t="shared" si="0"/>
        <v>2026</v>
      </c>
      <c r="O2" s="22">
        <f t="shared" si="0"/>
        <v>2027</v>
      </c>
      <c r="P2" s="22">
        <f t="shared" si="0"/>
        <v>2028</v>
      </c>
      <c r="Q2" s="22">
        <f t="shared" si="0"/>
        <v>2029</v>
      </c>
    </row>
    <row r="3" spans="1:17" x14ac:dyDescent="0.45">
      <c r="B3" s="24" t="s">
        <v>251</v>
      </c>
      <c r="C3" s="14"/>
      <c r="D3" s="14"/>
      <c r="E3" s="14">
        <v>0.05</v>
      </c>
      <c r="F3" s="14">
        <v>0.05</v>
      </c>
      <c r="G3" s="14">
        <v>0.05</v>
      </c>
      <c r="H3" s="14">
        <v>0.05</v>
      </c>
      <c r="I3" s="14">
        <v>0.05</v>
      </c>
      <c r="J3" s="14">
        <v>0.05</v>
      </c>
      <c r="K3" s="14">
        <v>0.05</v>
      </c>
      <c r="L3" s="14">
        <v>0.05</v>
      </c>
      <c r="M3" s="14">
        <v>0.05</v>
      </c>
      <c r="N3" s="14">
        <v>0.05</v>
      </c>
      <c r="O3" s="14">
        <v>0.05</v>
      </c>
      <c r="P3" s="14">
        <v>0.05</v>
      </c>
      <c r="Q3" s="14">
        <v>0.05</v>
      </c>
    </row>
    <row r="4" spans="1:17" x14ac:dyDescent="0.45">
      <c r="B4" s="24" t="s">
        <v>86</v>
      </c>
      <c r="C4" s="14"/>
      <c r="D4" s="14"/>
      <c r="E4" s="14">
        <f t="shared" ref="E4:K4" si="1">-E17/E11</f>
        <v>2.9721040822477479E-4</v>
      </c>
      <c r="F4" s="14">
        <f t="shared" si="1"/>
        <v>-7.8795907180705289E-4</v>
      </c>
      <c r="G4" s="14">
        <f t="shared" si="1"/>
        <v>1.8308146817806264E-3</v>
      </c>
      <c r="H4" s="14">
        <f t="shared" si="1"/>
        <v>-3.9312604687927249E-3</v>
      </c>
      <c r="I4" s="14">
        <f t="shared" si="1"/>
        <v>8.1453080928979613E-2</v>
      </c>
      <c r="J4" s="14">
        <f t="shared" si="1"/>
        <v>0.12876861431225356</v>
      </c>
      <c r="K4" s="14">
        <f t="shared" si="1"/>
        <v>-0.18211849160960972</v>
      </c>
    </row>
    <row r="5" spans="1:17" x14ac:dyDescent="0.45">
      <c r="B5" s="40" t="s">
        <v>367</v>
      </c>
      <c r="C5" s="217"/>
      <c r="D5" s="40"/>
      <c r="E5" s="40"/>
      <c r="F5" s="40"/>
      <c r="G5" s="40"/>
      <c r="H5" s="40"/>
      <c r="I5" s="40"/>
      <c r="J5" s="40"/>
      <c r="K5" s="40"/>
      <c r="L5" s="40"/>
      <c r="M5" s="40"/>
      <c r="N5" s="40"/>
      <c r="O5" s="40"/>
      <c r="P5" s="40"/>
      <c r="Q5" s="40"/>
    </row>
    <row r="7" spans="1:17" ht="14.65" thickBot="1" x14ac:dyDescent="0.5">
      <c r="B7" s="41"/>
      <c r="C7" s="41"/>
      <c r="D7" s="41"/>
      <c r="E7" s="41"/>
      <c r="F7" s="41"/>
      <c r="G7" s="41"/>
      <c r="H7" s="41"/>
      <c r="I7" s="41"/>
      <c r="J7" s="41"/>
      <c r="K7" s="41"/>
      <c r="L7" s="41"/>
      <c r="M7" s="41"/>
      <c r="N7" s="41"/>
      <c r="O7" s="41"/>
      <c r="P7" s="41"/>
      <c r="Q7" s="41"/>
    </row>
    <row r="8" spans="1:17" ht="14.65" thickTop="1" x14ac:dyDescent="0.45">
      <c r="A8" s="24" t="s">
        <v>14</v>
      </c>
      <c r="B8" s="42" t="s">
        <v>252</v>
      </c>
      <c r="C8" s="54"/>
      <c r="D8" s="54"/>
      <c r="E8" s="54"/>
      <c r="F8" s="54"/>
      <c r="G8" s="54"/>
      <c r="H8" s="54"/>
      <c r="I8" s="54"/>
      <c r="J8" s="54"/>
      <c r="K8" s="54"/>
      <c r="L8" s="54"/>
      <c r="M8" s="54"/>
      <c r="N8" s="54"/>
      <c r="O8" s="54"/>
      <c r="P8" s="54"/>
      <c r="Q8" s="54"/>
    </row>
    <row r="9" spans="1:17" x14ac:dyDescent="0.45">
      <c r="B9" s="42" t="s">
        <v>96</v>
      </c>
      <c r="C9" s="23"/>
      <c r="D9" s="23">
        <f>'Moderna Standardized'!D5</f>
        <v>98.018000000000001</v>
      </c>
      <c r="E9" s="23">
        <f>'Moderna Standardized'!E5</f>
        <v>182.54300000000001</v>
      </c>
      <c r="F9" s="23">
        <f>'Moderna Standardized'!F5</f>
        <v>114.48</v>
      </c>
      <c r="G9" s="23">
        <f>'Moderna Standardized'!G5</f>
        <v>53.6</v>
      </c>
      <c r="H9" s="23">
        <f>'Moderna Standardized'!H5</f>
        <v>704.33600000000001</v>
      </c>
      <c r="I9" s="23">
        <f>'Moderna Standardized'!I5</f>
        <v>15625.644999999999</v>
      </c>
      <c r="J9" s="23">
        <f>'Moderna Standardized'!J5</f>
        <v>18325.173999999999</v>
      </c>
      <c r="K9" s="23">
        <f>'Moderna Standardized'!K5</f>
        <v>6333.4650000000001</v>
      </c>
      <c r="L9" s="23">
        <f>'Moderna Standardized'!L5</f>
        <v>2991.9569999999999</v>
      </c>
      <c r="M9" s="23"/>
      <c r="N9" s="23"/>
      <c r="O9" s="23"/>
      <c r="P9" s="23"/>
      <c r="Q9" s="23"/>
    </row>
    <row r="10" spans="1:17" x14ac:dyDescent="0.45">
      <c r="B10" s="24" t="s">
        <v>253</v>
      </c>
      <c r="C10" s="27"/>
      <c r="D10" s="27">
        <f>SUM('Moderna Standardized'!D6:D10)</f>
        <v>-300.36599999999999</v>
      </c>
      <c r="E10" s="27">
        <f>SUM('Moderna Standardized'!E6:E10)</f>
        <v>-421.43099999999998</v>
      </c>
      <c r="F10" s="27">
        <f>SUM('Moderna Standardized'!F6:F10)</f>
        <v>-464.75200000000001</v>
      </c>
      <c r="G10" s="27">
        <f>SUM('Moderna Standardized'!G6:G10)</f>
        <v>-541.36099999999999</v>
      </c>
      <c r="H10" s="27">
        <f>SUM('Moderna Standardized'!H6:H10)</f>
        <v>-1373.587</v>
      </c>
      <c r="I10" s="27">
        <f>SUM('Moderna Standardized'!I6:I10)</f>
        <v>-4377.82</v>
      </c>
      <c r="J10" s="27">
        <f>SUM('Moderna Standardized'!J6:J10)</f>
        <v>-9363.7900000000009</v>
      </c>
      <c r="K10" s="27">
        <f>SUM('Moderna Standardized'!K6:K10)</f>
        <v>-10253.962</v>
      </c>
      <c r="L10" s="27">
        <f>SUM('Moderna Standardized'!L6:L10)</f>
        <v>-6639.4459999999999</v>
      </c>
      <c r="M10" s="27"/>
      <c r="N10" s="27"/>
      <c r="O10" s="27"/>
      <c r="P10" s="27"/>
      <c r="Q10" s="27"/>
    </row>
    <row r="11" spans="1:17" s="26" customFormat="1" x14ac:dyDescent="0.45">
      <c r="B11" s="32" t="s">
        <v>254</v>
      </c>
      <c r="D11" s="26">
        <f t="shared" ref="D11:L11" si="2">SUM(D9:D10)</f>
        <v>-202.34799999999998</v>
      </c>
      <c r="E11" s="26">
        <f t="shared" si="2"/>
        <v>-238.88799999999998</v>
      </c>
      <c r="F11" s="26">
        <f t="shared" si="2"/>
        <v>-350.27199999999999</v>
      </c>
      <c r="G11" s="26">
        <f t="shared" si="2"/>
        <v>-487.76099999999997</v>
      </c>
      <c r="H11" s="26">
        <f t="shared" si="2"/>
        <v>-669.25099999999998</v>
      </c>
      <c r="I11" s="26">
        <f t="shared" si="2"/>
        <v>11247.824999999999</v>
      </c>
      <c r="J11" s="26">
        <f t="shared" si="2"/>
        <v>8961.3839999999982</v>
      </c>
      <c r="K11" s="26">
        <f t="shared" si="2"/>
        <v>-3920.4969999999994</v>
      </c>
      <c r="L11" s="26">
        <f t="shared" si="2"/>
        <v>-3647.489</v>
      </c>
    </row>
    <row r="12" spans="1:17" x14ac:dyDescent="0.45">
      <c r="B12" s="24" t="s">
        <v>255</v>
      </c>
      <c r="C12" s="25"/>
      <c r="D12" s="25">
        <f>'Moderna Standardized'!D13</f>
        <v>0</v>
      </c>
      <c r="E12" s="25">
        <f>'Moderna Standardized'!E13</f>
        <v>0</v>
      </c>
      <c r="F12" s="25">
        <f>'Moderna Standardized'!F13</f>
        <v>0</v>
      </c>
      <c r="G12" s="25">
        <f>'Moderna Standardized'!G13</f>
        <v>0</v>
      </c>
      <c r="H12" s="25">
        <f>'Moderna Standardized'!H13</f>
        <v>0</v>
      </c>
      <c r="I12" s="25">
        <f>'Moderna Standardized'!I13</f>
        <v>0</v>
      </c>
      <c r="J12" s="25">
        <f>'Moderna Standardized'!J13</f>
        <v>0</v>
      </c>
      <c r="K12" s="25">
        <f>'Moderna Standardized'!K13</f>
        <v>0</v>
      </c>
      <c r="L12" s="25">
        <f>'Moderna Standardized'!L13</f>
        <v>0</v>
      </c>
      <c r="M12" s="25"/>
      <c r="N12" s="25"/>
      <c r="O12" s="25"/>
      <c r="P12" s="25"/>
      <c r="Q12" s="25"/>
    </row>
    <row r="13" spans="1:17" x14ac:dyDescent="0.45">
      <c r="B13" s="24" t="s">
        <v>256</v>
      </c>
      <c r="C13" s="25"/>
      <c r="D13" s="25">
        <f>'Moderna Standardized'!D14</f>
        <v>-2.3239999999999998</v>
      </c>
      <c r="E13" s="25">
        <f>'Moderna Standardized'!E14</f>
        <v>-1.5459999999999998</v>
      </c>
      <c r="F13" s="25">
        <f>'Moderna Standardized'!F14</f>
        <v>4.1790000000000003</v>
      </c>
      <c r="G13" s="25">
        <f>'Moderna Standardized'!G14</f>
        <v>-7.1470000000000002</v>
      </c>
      <c r="H13" s="25">
        <f>'Moderna Standardized'!H14</f>
        <v>3.5089999999999999</v>
      </c>
      <c r="I13" s="25">
        <f>'Moderna Standardized'!I14</f>
        <v>-10.151</v>
      </c>
      <c r="J13" s="25">
        <f>'Moderna Standardized'!J14</f>
        <v>-15.221</v>
      </c>
      <c r="K13" s="25">
        <f>'Moderna Standardized'!K14</f>
        <v>-79.538000000000011</v>
      </c>
      <c r="L13" s="25">
        <f>'Moderna Standardized'!L14</f>
        <v>-58.249000000000002</v>
      </c>
      <c r="M13" s="25"/>
      <c r="N13" s="25"/>
      <c r="O13" s="25"/>
      <c r="P13" s="25"/>
      <c r="Q13" s="25"/>
    </row>
    <row r="14" spans="1:17" x14ac:dyDescent="0.45">
      <c r="B14" s="43" t="s">
        <v>257</v>
      </c>
      <c r="C14" s="25"/>
      <c r="D14" s="25">
        <f>'Moderna Standardized'!D11</f>
        <v>10.228999999999999</v>
      </c>
      <c r="E14" s="25">
        <f>'Moderna Standardized'!E11</f>
        <v>13.512</v>
      </c>
      <c r="F14" s="25">
        <f>'Moderna Standardized'!F11</f>
        <v>22.904</v>
      </c>
      <c r="G14" s="25">
        <f>'Moderna Standardized'!G11</f>
        <v>34.840000000000003</v>
      </c>
      <c r="H14" s="25">
        <f>'Moderna Standardized'!H11</f>
        <v>21.928000000000001</v>
      </c>
      <c r="I14" s="25">
        <f>'Moderna Standardized'!I11</f>
        <v>15.227</v>
      </c>
      <c r="J14" s="25">
        <f>'Moderna Standardized'!J11</f>
        <v>190.26300000000001</v>
      </c>
      <c r="K14" s="25">
        <f>'Moderna Standardized'!K11</f>
        <v>389.36799999999999</v>
      </c>
      <c r="L14" s="25">
        <f>'Moderna Standardized'!L11</f>
        <v>392.94900000000001</v>
      </c>
      <c r="M14" s="25"/>
      <c r="N14" s="25"/>
      <c r="O14" s="25"/>
      <c r="P14" s="25"/>
      <c r="Q14" s="25"/>
    </row>
    <row r="15" spans="1:17" x14ac:dyDescent="0.45">
      <c r="B15" s="43" t="s">
        <v>258</v>
      </c>
      <c r="C15" s="25"/>
      <c r="D15" s="25">
        <f>'Moderna Standardized'!D12</f>
        <v>-0.126</v>
      </c>
      <c r="E15" s="25">
        <f>'Moderna Standardized'!E12</f>
        <v>-0.11700000000000001</v>
      </c>
      <c r="F15" s="25">
        <f>'Moderna Standardized'!F12</f>
        <v>-2.6240000000000001</v>
      </c>
      <c r="G15" s="25">
        <f>'Moderna Standardized'!G12</f>
        <v>0</v>
      </c>
      <c r="H15" s="25">
        <f>'Moderna Standardized'!H12</f>
        <v>-8.7710000000000008</v>
      </c>
      <c r="I15" s="25">
        <f>'Moderna Standardized'!I12</f>
        <v>-14.381</v>
      </c>
      <c r="J15" s="25">
        <f>'Moderna Standardized'!J12</f>
        <v>-27.588000000000001</v>
      </c>
      <c r="K15" s="25">
        <f>'Moderna Standardized'!K12</f>
        <v>-35.145000000000003</v>
      </c>
      <c r="L15" s="25">
        <f>'Moderna Standardized'!L12</f>
        <v>-22.19</v>
      </c>
      <c r="M15" s="25"/>
      <c r="N15" s="25"/>
      <c r="O15" s="27"/>
      <c r="P15" s="27"/>
      <c r="Q15" s="27"/>
    </row>
    <row r="16" spans="1:17" x14ac:dyDescent="0.45">
      <c r="B16" s="32" t="s">
        <v>259</v>
      </c>
      <c r="C16" s="36"/>
      <c r="D16" s="36">
        <f t="shared" ref="D16:L16" si="3">SUM(D11:D15)</f>
        <v>-194.56899999999999</v>
      </c>
      <c r="E16" s="36">
        <f t="shared" si="3"/>
        <v>-227.03899999999996</v>
      </c>
      <c r="F16" s="36">
        <f t="shared" si="3"/>
        <v>-325.81300000000005</v>
      </c>
      <c r="G16" s="36">
        <f t="shared" si="3"/>
        <v>-460.06799999999998</v>
      </c>
      <c r="H16" s="36">
        <f t="shared" si="3"/>
        <v>-652.58499999999992</v>
      </c>
      <c r="I16" s="36">
        <f t="shared" si="3"/>
        <v>11238.52</v>
      </c>
      <c r="J16" s="36">
        <f t="shared" si="3"/>
        <v>9108.8379999999997</v>
      </c>
      <c r="K16" s="36">
        <f t="shared" si="3"/>
        <v>-3645.8119999999994</v>
      </c>
      <c r="L16" s="36">
        <f t="shared" si="3"/>
        <v>-3334.9789999999998</v>
      </c>
      <c r="M16" s="36"/>
      <c r="N16" s="36"/>
      <c r="O16" s="32"/>
      <c r="P16" s="32"/>
      <c r="Q16" s="32"/>
    </row>
    <row r="17" spans="1:17" x14ac:dyDescent="0.45">
      <c r="B17" s="24" t="s">
        <v>260</v>
      </c>
      <c r="C17" s="27"/>
      <c r="D17" s="27">
        <f>'Moderna Standardized'!D15</f>
        <v>-0.94299999999999995</v>
      </c>
      <c r="E17" s="27">
        <f>'Moderna Standardized'!E15</f>
        <v>7.0999999999999994E-2</v>
      </c>
      <c r="F17" s="27">
        <f>'Moderna Standardized'!F15</f>
        <v>-0.27600000000000002</v>
      </c>
      <c r="G17" s="27">
        <f>'Moderna Standardized'!G15</f>
        <v>0.89300000000000002</v>
      </c>
      <c r="H17" s="27">
        <f>'Moderna Standardized'!H15</f>
        <v>-2.6309999999999998</v>
      </c>
      <c r="I17" s="27">
        <f>'Moderna Standardized'!I15</f>
        <v>-916.17</v>
      </c>
      <c r="J17" s="27">
        <f>'Moderna Standardized'!J15</f>
        <v>-1153.9449999999999</v>
      </c>
      <c r="K17" s="27">
        <f>'Moderna Standardized'!K15</f>
        <v>-713.995</v>
      </c>
      <c r="L17" s="27">
        <f>'Moderna Standardized'!L15</f>
        <v>42.530999999999999</v>
      </c>
      <c r="M17" s="27"/>
      <c r="N17" s="27"/>
      <c r="O17" s="27"/>
      <c r="P17" s="27"/>
      <c r="Q17" s="27"/>
    </row>
    <row r="18" spans="1:17" x14ac:dyDescent="0.45">
      <c r="B18" s="32" t="s">
        <v>261</v>
      </c>
      <c r="C18" s="32"/>
      <c r="D18" s="32">
        <f t="shared" ref="D18:L18" si="4">SUM(D16:D17)</f>
        <v>-195.512</v>
      </c>
      <c r="E18" s="32">
        <f t="shared" si="4"/>
        <v>-226.96799999999996</v>
      </c>
      <c r="F18" s="32">
        <f t="shared" si="4"/>
        <v>-326.08900000000006</v>
      </c>
      <c r="G18" s="32">
        <f t="shared" si="4"/>
        <v>-459.17500000000001</v>
      </c>
      <c r="H18" s="32">
        <f t="shared" si="4"/>
        <v>-655.21599999999989</v>
      </c>
      <c r="I18" s="32">
        <f t="shared" si="4"/>
        <v>10322.35</v>
      </c>
      <c r="J18" s="32">
        <f t="shared" si="4"/>
        <v>7954.893</v>
      </c>
      <c r="K18" s="32">
        <f t="shared" si="4"/>
        <v>-4359.8069999999998</v>
      </c>
      <c r="L18" s="32">
        <f t="shared" si="4"/>
        <v>-3292.4479999999999</v>
      </c>
      <c r="M18" s="32"/>
      <c r="N18" s="32"/>
      <c r="O18" s="32"/>
      <c r="P18" s="32"/>
      <c r="Q18" s="32"/>
    </row>
    <row r="19" spans="1:17" x14ac:dyDescent="0.45">
      <c r="B19" s="24" t="s">
        <v>262</v>
      </c>
      <c r="C19" s="32"/>
      <c r="D19" s="32">
        <f>'Moderna Standardized'!D16</f>
        <v>0</v>
      </c>
      <c r="E19" s="32">
        <f>'Moderna Standardized'!E16</f>
        <v>0</v>
      </c>
      <c r="F19" s="32">
        <f>'Moderna Standardized'!F16</f>
        <v>0</v>
      </c>
      <c r="G19" s="32">
        <f>'Moderna Standardized'!G16</f>
        <v>0</v>
      </c>
      <c r="H19" s="32">
        <f>'Moderna Standardized'!H16</f>
        <v>0</v>
      </c>
      <c r="I19" s="32">
        <f>'Moderna Standardized'!I16</f>
        <v>0</v>
      </c>
      <c r="J19" s="32">
        <f>'Moderna Standardized'!J16</f>
        <v>0</v>
      </c>
      <c r="K19" s="32">
        <f>'Moderna Standardized'!K16</f>
        <v>0</v>
      </c>
      <c r="L19" s="32">
        <f>'Moderna Standardized'!L16</f>
        <v>0</v>
      </c>
      <c r="M19" s="32"/>
      <c r="N19" s="32"/>
      <c r="O19" s="32"/>
      <c r="P19" s="32"/>
      <c r="Q19" s="32"/>
    </row>
    <row r="20" spans="1:17" x14ac:dyDescent="0.45">
      <c r="B20" s="34" t="s">
        <v>263</v>
      </c>
      <c r="C20" s="27"/>
      <c r="D20" s="27">
        <f>'Moderna Standardized'!D17</f>
        <v>0</v>
      </c>
      <c r="E20" s="27">
        <f>'Moderna Standardized'!E17</f>
        <v>0</v>
      </c>
      <c r="F20" s="27">
        <f>'Moderna Standardized'!F17</f>
        <v>0</v>
      </c>
      <c r="G20" s="27">
        <f>'Moderna Standardized'!G17</f>
        <v>0</v>
      </c>
      <c r="H20" s="27">
        <f>'Moderna Standardized'!H17</f>
        <v>0</v>
      </c>
      <c r="I20" s="27">
        <f>'Moderna Standardized'!I17</f>
        <v>0</v>
      </c>
      <c r="J20" s="27">
        <f>'Moderna Standardized'!J17</f>
        <v>0</v>
      </c>
      <c r="K20" s="27">
        <f>'Moderna Standardized'!K17</f>
        <v>0</v>
      </c>
      <c r="L20" s="27">
        <f>'Moderna Standardized'!L17</f>
        <v>0</v>
      </c>
      <c r="M20" s="27"/>
      <c r="N20" s="27"/>
      <c r="O20" s="27"/>
      <c r="P20" s="27"/>
      <c r="Q20" s="27"/>
    </row>
    <row r="21" spans="1:17" s="26" customFormat="1" ht="14.65" thickBot="1" x14ac:dyDescent="0.5">
      <c r="B21" s="44" t="s">
        <v>264</v>
      </c>
      <c r="C21" s="53"/>
      <c r="D21" s="53">
        <f t="shared" ref="D21:L21" si="5">SUM(D18:D20)</f>
        <v>-195.512</v>
      </c>
      <c r="E21" s="53">
        <f t="shared" si="5"/>
        <v>-226.96799999999996</v>
      </c>
      <c r="F21" s="53">
        <f t="shared" si="5"/>
        <v>-326.08900000000006</v>
      </c>
      <c r="G21" s="53">
        <f t="shared" si="5"/>
        <v>-459.17500000000001</v>
      </c>
      <c r="H21" s="53">
        <f t="shared" si="5"/>
        <v>-655.21599999999989</v>
      </c>
      <c r="I21" s="53">
        <f t="shared" si="5"/>
        <v>10322.35</v>
      </c>
      <c r="J21" s="53">
        <f t="shared" si="5"/>
        <v>7954.893</v>
      </c>
      <c r="K21" s="53">
        <f t="shared" si="5"/>
        <v>-4359.8069999999998</v>
      </c>
      <c r="L21" s="53">
        <f t="shared" si="5"/>
        <v>-3292.4479999999999</v>
      </c>
      <c r="M21" s="53"/>
      <c r="N21" s="53"/>
      <c r="O21" s="53"/>
      <c r="P21" s="53"/>
      <c r="Q21" s="53"/>
    </row>
    <row r="22" spans="1:17" ht="15" thickTop="1" thickBot="1" x14ac:dyDescent="0.5">
      <c r="B22" s="45"/>
      <c r="C22" s="45"/>
      <c r="D22" s="45"/>
      <c r="E22" s="45"/>
      <c r="F22" s="45"/>
      <c r="G22" s="45"/>
      <c r="H22" s="45"/>
      <c r="I22" s="45"/>
      <c r="J22" s="45"/>
      <c r="K22" s="45"/>
      <c r="L22" s="45"/>
      <c r="M22" s="45"/>
      <c r="N22" s="45"/>
      <c r="O22" s="45"/>
      <c r="P22" s="45"/>
      <c r="Q22" s="45"/>
    </row>
    <row r="23" spans="1:17" ht="14.65" thickTop="1" x14ac:dyDescent="0.45">
      <c r="A23" s="24" t="s">
        <v>14</v>
      </c>
      <c r="B23" s="32" t="s">
        <v>265</v>
      </c>
      <c r="C23" s="54"/>
      <c r="D23" s="54"/>
      <c r="E23" s="54"/>
      <c r="F23" s="54"/>
      <c r="G23" s="54"/>
      <c r="H23" s="54"/>
      <c r="I23" s="54"/>
      <c r="J23" s="54"/>
      <c r="K23" s="54"/>
      <c r="L23" s="54"/>
      <c r="M23" s="54"/>
      <c r="N23" s="54"/>
      <c r="O23" s="54"/>
      <c r="P23" s="54"/>
      <c r="Q23" s="54"/>
    </row>
    <row r="24" spans="1:17" x14ac:dyDescent="0.45">
      <c r="B24" s="24" t="s">
        <v>266</v>
      </c>
      <c r="C24" s="46"/>
      <c r="D24" s="46"/>
      <c r="E24" s="46"/>
      <c r="F24" s="46"/>
      <c r="G24" s="46"/>
      <c r="H24" s="46"/>
      <c r="I24" s="46"/>
      <c r="J24" s="46"/>
      <c r="K24" s="46"/>
      <c r="L24" s="46"/>
      <c r="M24" s="46"/>
      <c r="N24" s="46"/>
      <c r="O24" s="46"/>
      <c r="P24" s="46"/>
      <c r="Q24" s="46"/>
    </row>
    <row r="25" spans="1:17" x14ac:dyDescent="0.45">
      <c r="B25" s="47" t="s">
        <v>267</v>
      </c>
      <c r="C25" s="25"/>
      <c r="D25" s="25">
        <f>+'Moderna Standardized'!D6</f>
        <v>-248.416</v>
      </c>
      <c r="E25" s="25">
        <f>+'Moderna Standardized'!E6</f>
        <v>-364.03</v>
      </c>
      <c r="F25" s="25">
        <f>+'Moderna Standardized'!F6</f>
        <v>-384.86700000000002</v>
      </c>
      <c r="G25" s="25">
        <f>+'Moderna Standardized'!G6</f>
        <v>-443.09399999999999</v>
      </c>
      <c r="H25" s="25">
        <f>+'Moderna Standardized'!H6</f>
        <v>-1208.6859999999999</v>
      </c>
      <c r="I25" s="25">
        <f>+'Moderna Standardized'!I6</f>
        <v>-3898.163</v>
      </c>
      <c r="J25" s="25">
        <f>+'Moderna Standardized'!J6</f>
        <v>-8286.902</v>
      </c>
      <c r="K25" s="25">
        <f>+'Moderna Standardized'!K6</f>
        <v>-8821.348</v>
      </c>
      <c r="L25" s="25">
        <f>+'Moderna Standardized'!L6</f>
        <v>-5553.9830000000002</v>
      </c>
      <c r="M25" s="25"/>
      <c r="N25" s="25"/>
      <c r="O25" s="25"/>
      <c r="P25" s="25"/>
      <c r="Q25" s="25"/>
    </row>
    <row r="26" spans="1:17" x14ac:dyDescent="0.45">
      <c r="B26" s="47" t="s">
        <v>268</v>
      </c>
      <c r="C26" s="25"/>
      <c r="D26" s="25">
        <f>+'Moderna Standardized'!D8</f>
        <v>-51.95</v>
      </c>
      <c r="E26" s="25">
        <f>+'Moderna Standardized'!E8</f>
        <v>-57.401000000000003</v>
      </c>
      <c r="F26" s="25">
        <f>+'Moderna Standardized'!F8</f>
        <v>-79.885000000000005</v>
      </c>
      <c r="G26" s="25">
        <f>+'Moderna Standardized'!G8</f>
        <v>-98.266999999999996</v>
      </c>
      <c r="H26" s="25">
        <f>+'Moderna Standardized'!H8</f>
        <v>-164.90100000000001</v>
      </c>
      <c r="I26" s="25">
        <f>+'Moderna Standardized'!I8</f>
        <v>-479.65699999999998</v>
      </c>
      <c r="J26" s="25">
        <f>+'Moderna Standardized'!J8</f>
        <v>-1076.8879999999999</v>
      </c>
      <c r="K26" s="25">
        <f>+'Moderna Standardized'!K8</f>
        <v>-1432.614</v>
      </c>
      <c r="L26" s="25">
        <f>+'Moderna Standardized'!L8</f>
        <v>-1085.463</v>
      </c>
      <c r="M26" s="25"/>
      <c r="N26" s="25"/>
      <c r="O26" s="25"/>
      <c r="P26" s="25"/>
      <c r="Q26" s="25"/>
    </row>
    <row r="27" spans="1:17" x14ac:dyDescent="0.45">
      <c r="B27" s="2" t="s">
        <v>269</v>
      </c>
      <c r="D27" s="24">
        <f>+'Moderna Standardized'!D9</f>
        <v>0</v>
      </c>
      <c r="E27" s="24">
        <f>+'Moderna Standardized'!E9</f>
        <v>0</v>
      </c>
      <c r="F27" s="24">
        <f>+'Moderna Standardized'!F9</f>
        <v>0</v>
      </c>
      <c r="G27" s="24">
        <f>+'Moderna Standardized'!G9</f>
        <v>0</v>
      </c>
      <c r="H27" s="24">
        <f>+'Moderna Standardized'!H9</f>
        <v>0</v>
      </c>
      <c r="I27" s="24">
        <f>+'Moderna Standardized'!I9</f>
        <v>0</v>
      </c>
      <c r="J27" s="24">
        <f>+'Moderna Standardized'!J9</f>
        <v>0</v>
      </c>
      <c r="K27" s="24">
        <f>+'Moderna Standardized'!K9</f>
        <v>0</v>
      </c>
      <c r="L27" s="24">
        <f>+'Moderna Standardized'!L9</f>
        <v>0</v>
      </c>
    </row>
    <row r="28" spans="1:17" ht="29" customHeight="1" x14ac:dyDescent="0.45">
      <c r="B28" s="47" t="s">
        <v>270</v>
      </c>
      <c r="C28" s="25"/>
      <c r="D28" s="25">
        <f>+'Moderna Standardized'!D10</f>
        <v>0</v>
      </c>
      <c r="E28" s="25">
        <f>+'Moderna Standardized'!E10</f>
        <v>0</v>
      </c>
      <c r="F28" s="25">
        <f>+'Moderna Standardized'!F10</f>
        <v>0</v>
      </c>
      <c r="G28" s="25">
        <f>+'Moderna Standardized'!G10</f>
        <v>0</v>
      </c>
      <c r="H28" s="25">
        <f>+'Moderna Standardized'!H10</f>
        <v>0</v>
      </c>
      <c r="I28" s="25">
        <f>+'Moderna Standardized'!I10</f>
        <v>0</v>
      </c>
      <c r="J28" s="25">
        <f>+'Moderna Standardized'!J10</f>
        <v>0</v>
      </c>
      <c r="K28" s="25">
        <f>+'Moderna Standardized'!K10</f>
        <v>0</v>
      </c>
      <c r="L28" s="25">
        <f>+'Moderna Standardized'!L10</f>
        <v>0</v>
      </c>
      <c r="M28" s="25"/>
      <c r="N28" s="25"/>
      <c r="O28" s="25"/>
      <c r="P28" s="25"/>
      <c r="Q28" s="25"/>
    </row>
    <row r="29" spans="1:17" x14ac:dyDescent="0.45">
      <c r="B29" s="24" t="s">
        <v>271</v>
      </c>
    </row>
    <row r="30" spans="1:17" x14ac:dyDescent="0.45">
      <c r="B30" s="47" t="s">
        <v>272</v>
      </c>
      <c r="C30" s="25"/>
      <c r="D30" s="25"/>
      <c r="E30" s="25"/>
      <c r="F30" s="25"/>
      <c r="G30" s="25"/>
      <c r="H30" s="25"/>
      <c r="I30" s="25"/>
      <c r="J30" s="25"/>
      <c r="K30" s="25"/>
      <c r="L30" s="25"/>
      <c r="M30" s="25"/>
      <c r="N30" s="25"/>
      <c r="O30" s="25"/>
      <c r="P30" s="25"/>
      <c r="Q30" s="25"/>
    </row>
    <row r="31" spans="1:17" x14ac:dyDescent="0.45">
      <c r="B31" s="47" t="s">
        <v>273</v>
      </c>
      <c r="C31" s="25"/>
      <c r="D31" s="25"/>
      <c r="E31" s="25"/>
      <c r="F31" s="25"/>
      <c r="G31" s="25"/>
      <c r="H31" s="25"/>
      <c r="I31" s="25"/>
      <c r="J31" s="25"/>
      <c r="K31" s="25"/>
      <c r="L31" s="25"/>
      <c r="M31" s="25"/>
      <c r="N31" s="25"/>
      <c r="O31" s="25"/>
      <c r="P31" s="25"/>
      <c r="Q31" s="25"/>
    </row>
    <row r="32" spans="1:17" ht="14.75" customHeight="1" x14ac:dyDescent="0.45">
      <c r="B32" s="47" t="s">
        <v>274</v>
      </c>
      <c r="C32" s="25"/>
      <c r="D32" s="25"/>
      <c r="E32" s="25"/>
      <c r="F32" s="25"/>
      <c r="G32" s="25"/>
      <c r="H32" s="25"/>
      <c r="I32" s="25"/>
      <c r="J32" s="25"/>
      <c r="K32" s="25"/>
      <c r="L32" s="25"/>
      <c r="M32" s="25"/>
      <c r="N32" s="25"/>
      <c r="O32" s="25"/>
      <c r="P32" s="25"/>
      <c r="Q32" s="25"/>
    </row>
    <row r="33" spans="1:17" ht="28.9" thickBot="1" x14ac:dyDescent="0.5">
      <c r="B33" s="215" t="s">
        <v>275</v>
      </c>
      <c r="C33" s="48"/>
      <c r="D33" s="48"/>
      <c r="E33" s="48"/>
      <c r="F33" s="48"/>
      <c r="G33" s="48"/>
      <c r="H33" s="48"/>
      <c r="I33" s="48"/>
      <c r="J33" s="48"/>
      <c r="K33" s="48"/>
      <c r="L33" s="48"/>
      <c r="M33" s="48"/>
      <c r="N33" s="48"/>
      <c r="O33" s="48"/>
      <c r="P33" s="48"/>
      <c r="Q33" s="48"/>
    </row>
    <row r="34" spans="1:17" ht="15" thickTop="1" thickBot="1" x14ac:dyDescent="0.5">
      <c r="B34" s="41"/>
      <c r="C34" s="41"/>
      <c r="D34" s="41"/>
      <c r="E34" s="41"/>
      <c r="F34" s="41"/>
      <c r="G34" s="41"/>
      <c r="H34" s="41"/>
      <c r="I34" s="41"/>
      <c r="J34" s="41"/>
      <c r="K34" s="41"/>
      <c r="L34" s="41"/>
      <c r="M34" s="41"/>
      <c r="N34" s="41"/>
      <c r="O34" s="41"/>
      <c r="P34" s="41"/>
      <c r="Q34" s="41"/>
    </row>
    <row r="35" spans="1:17" ht="14.65" thickTop="1" x14ac:dyDescent="0.45">
      <c r="A35" s="24" t="s">
        <v>14</v>
      </c>
      <c r="B35" s="32" t="s">
        <v>276</v>
      </c>
      <c r="C35" s="54"/>
      <c r="D35" s="54"/>
      <c r="E35" s="54"/>
      <c r="F35" s="54"/>
      <c r="G35" s="54"/>
      <c r="H35" s="54"/>
      <c r="I35" s="54"/>
      <c r="J35" s="54"/>
      <c r="K35" s="54"/>
      <c r="L35" s="54"/>
      <c r="M35" s="54"/>
      <c r="N35" s="54"/>
      <c r="O35" s="54"/>
      <c r="P35" s="54"/>
      <c r="Q35" s="54"/>
    </row>
    <row r="36" spans="1:17" x14ac:dyDescent="0.45">
      <c r="B36" s="24" t="s">
        <v>277</v>
      </c>
      <c r="C36" s="46"/>
      <c r="D36" s="46"/>
      <c r="E36" s="46"/>
      <c r="F36" s="46"/>
      <c r="G36" s="46"/>
      <c r="H36" s="46"/>
      <c r="I36" s="46"/>
      <c r="J36" s="46"/>
      <c r="K36" s="46"/>
      <c r="L36" s="46"/>
      <c r="M36" s="46"/>
      <c r="N36" s="46"/>
      <c r="O36" s="46"/>
      <c r="P36" s="46"/>
      <c r="Q36" s="46"/>
    </row>
    <row r="37" spans="1:17" x14ac:dyDescent="0.45">
      <c r="B37" s="34" t="s">
        <v>278</v>
      </c>
      <c r="C37" s="25"/>
      <c r="D37" s="25">
        <f>SUM('Moderna Standardized'!D35)</f>
        <v>77</v>
      </c>
      <c r="E37" s="25">
        <f>SUM('Moderna Standardized'!E35)</f>
        <v>115.785</v>
      </c>
      <c r="F37" s="25">
        <f>SUM('Moderna Standardized'!F35)</f>
        <v>185.14099999999999</v>
      </c>
      <c r="G37" s="25">
        <f>SUM('Moderna Standardized'!G35)</f>
        <v>256.55599999999998</v>
      </c>
      <c r="H37" s="25">
        <f>SUM('Moderna Standardized'!H35)</f>
        <v>316.37299999999999</v>
      </c>
      <c r="I37" s="25">
        <f>SUM('Moderna Standardized'!I35)</f>
        <v>1216.0719999999999</v>
      </c>
      <c r="J37" s="25">
        <f>SUM('Moderna Standardized'!J35)</f>
        <v>2001.462</v>
      </c>
      <c r="K37" s="25">
        <f>SUM('Moderna Standardized'!K35)</f>
        <v>2404.6930000000002</v>
      </c>
      <c r="L37" s="25">
        <f>SUM('Moderna Standardized'!L35)</f>
        <v>2854.2350000000001</v>
      </c>
      <c r="M37" s="25"/>
      <c r="N37" s="25"/>
      <c r="O37" s="25"/>
      <c r="P37" s="25"/>
      <c r="Q37" s="25"/>
    </row>
    <row r="38" spans="1:17" x14ac:dyDescent="0.45">
      <c r="B38" s="34" t="s">
        <v>279</v>
      </c>
      <c r="C38" s="25"/>
      <c r="D38" s="25">
        <f>SUM('Moderna Standardized'!D36)</f>
        <v>11.599</v>
      </c>
      <c r="E38" s="25">
        <f>SUM('Moderna Standardized'!E36)</f>
        <v>13.645</v>
      </c>
      <c r="F38" s="25">
        <f>SUM('Moderna Standardized'!F36)</f>
        <v>12.381</v>
      </c>
      <c r="G38" s="25">
        <f>SUM('Moderna Standardized'!G36)</f>
        <v>11.337</v>
      </c>
      <c r="H38" s="25">
        <f>SUM('Moderna Standardized'!H36)</f>
        <v>10.628</v>
      </c>
      <c r="I38" s="25">
        <f>SUM('Moderna Standardized'!I36)</f>
        <v>40.448</v>
      </c>
      <c r="J38" s="25">
        <f>SUM('Moderna Standardized'!J36)</f>
        <v>885.17200000000003</v>
      </c>
      <c r="K38" s="25">
        <f>SUM('Moderna Standardized'!K36)</f>
        <v>633.29</v>
      </c>
      <c r="L38" s="25">
        <f>SUM('Moderna Standardized'!L36)</f>
        <v>560.22199999999998</v>
      </c>
      <c r="M38" s="25"/>
      <c r="N38" s="25"/>
      <c r="O38" s="25"/>
      <c r="P38" s="25"/>
      <c r="Q38" s="25"/>
    </row>
    <row r="39" spans="1:17" x14ac:dyDescent="0.45">
      <c r="B39" s="34" t="s">
        <v>280</v>
      </c>
      <c r="C39" s="25"/>
      <c r="D39" s="25">
        <f>SUM('Moderna Standardized'!D37)</f>
        <v>224.315</v>
      </c>
      <c r="E39" s="25">
        <f>SUM('Moderna Standardized'!E37)</f>
        <v>121.465</v>
      </c>
      <c r="F39" s="25">
        <f>SUM('Moderna Standardized'!F37)</f>
        <v>151.089</v>
      </c>
      <c r="G39" s="25">
        <f>SUM('Moderna Standardized'!G37)</f>
        <v>142.56399999999999</v>
      </c>
      <c r="H39" s="25">
        <f>SUM('Moderna Standardized'!H37)</f>
        <v>522.38300000000004</v>
      </c>
      <c r="I39" s="25">
        <f>SUM('Moderna Standardized'!I37)</f>
        <v>6017.05</v>
      </c>
      <c r="J39" s="25">
        <f>SUM('Moderna Standardized'!J37)</f>
        <v>7822.4520000000002</v>
      </c>
      <c r="K39" s="25">
        <f>SUM('Moderna Standardized'!K37)</f>
        <v>4290.9920000000002</v>
      </c>
      <c r="L39" s="25">
        <f>SUM('Moderna Standardized'!L37)</f>
        <v>2422.4769999999999</v>
      </c>
      <c r="M39" s="25"/>
      <c r="N39" s="25"/>
      <c r="O39" s="25"/>
      <c r="P39" s="25"/>
      <c r="Q39" s="25"/>
    </row>
    <row r="40" spans="1:17" x14ac:dyDescent="0.45">
      <c r="B40" s="34" t="s">
        <v>281</v>
      </c>
      <c r="C40" s="25"/>
      <c r="D40" s="25">
        <f>'Moderna Standardized'!D38</f>
        <v>0</v>
      </c>
      <c r="E40" s="25">
        <f>'Moderna Standardized'!E38</f>
        <v>0</v>
      </c>
      <c r="F40" s="25">
        <f>'Moderna Standardized'!F38</f>
        <v>0</v>
      </c>
      <c r="G40" s="25">
        <f>'Moderna Standardized'!G38</f>
        <v>0</v>
      </c>
      <c r="H40" s="25">
        <f>'Moderna Standardized'!H38</f>
        <v>0</v>
      </c>
      <c r="I40" s="25">
        <f>'Moderna Standardized'!I38</f>
        <v>286.65199999999999</v>
      </c>
      <c r="J40" s="25">
        <f>'Moderna Standardized'!J38</f>
        <v>918.85699999999997</v>
      </c>
      <c r="K40" s="25">
        <f>'Moderna Standardized'!K38</f>
        <v>0</v>
      </c>
      <c r="L40" s="25">
        <f>'Moderna Standardized'!L38</f>
        <v>0</v>
      </c>
      <c r="M40" s="25"/>
      <c r="N40" s="25"/>
      <c r="O40" s="25"/>
      <c r="P40" s="25"/>
      <c r="Q40" s="25"/>
    </row>
    <row r="41" spans="1:17" x14ac:dyDescent="0.45">
      <c r="B41" s="35" t="s">
        <v>282</v>
      </c>
      <c r="C41" s="36"/>
      <c r="D41" s="36">
        <f t="shared" ref="D41:L41" si="6">SUM(D37:D40)</f>
        <v>312.91399999999999</v>
      </c>
      <c r="E41" s="36">
        <f t="shared" si="6"/>
        <v>250.89500000000001</v>
      </c>
      <c r="F41" s="36">
        <f t="shared" si="6"/>
        <v>348.61099999999999</v>
      </c>
      <c r="G41" s="36">
        <f t="shared" si="6"/>
        <v>410.45699999999999</v>
      </c>
      <c r="H41" s="36">
        <f t="shared" si="6"/>
        <v>849.38400000000001</v>
      </c>
      <c r="I41" s="36">
        <f t="shared" si="6"/>
        <v>7560.2219999999998</v>
      </c>
      <c r="J41" s="36">
        <f t="shared" si="6"/>
        <v>11627.942999999999</v>
      </c>
      <c r="K41" s="36">
        <f t="shared" si="6"/>
        <v>7328.9750000000004</v>
      </c>
      <c r="L41" s="36">
        <f t="shared" si="6"/>
        <v>5836.9340000000002</v>
      </c>
      <c r="M41" s="36"/>
      <c r="N41" s="36"/>
      <c r="O41" s="36"/>
      <c r="P41" s="36"/>
      <c r="Q41" s="36"/>
    </row>
    <row r="43" spans="1:17" x14ac:dyDescent="0.45">
      <c r="B43" s="34" t="s">
        <v>136</v>
      </c>
      <c r="C43" s="25"/>
      <c r="D43" s="25">
        <f>'Moderna Standardized'!D33</f>
        <v>0</v>
      </c>
      <c r="E43" s="25">
        <f>'Moderna Standardized'!E33</f>
        <v>0</v>
      </c>
      <c r="F43" s="25">
        <f>'Moderna Standardized'!F33</f>
        <v>0</v>
      </c>
      <c r="G43" s="25">
        <f>'Moderna Standardized'!G33</f>
        <v>0</v>
      </c>
      <c r="H43" s="25">
        <f>'Moderna Standardized'!H33</f>
        <v>38.423000000000002</v>
      </c>
      <c r="I43" s="25">
        <f>'Moderna Standardized'!I33</f>
        <v>1519.43</v>
      </c>
      <c r="J43" s="25">
        <f>'Moderna Standardized'!J33</f>
        <v>1092.8979999999999</v>
      </c>
      <c r="K43" s="25">
        <f>'Moderna Standardized'!K33</f>
        <v>182.749</v>
      </c>
      <c r="L43" s="25">
        <f>'Moderna Standardized'!L33</f>
        <v>113.01</v>
      </c>
      <c r="M43" s="25"/>
      <c r="N43" s="25"/>
      <c r="O43" s="25"/>
      <c r="P43" s="25"/>
      <c r="Q43" s="25"/>
    </row>
    <row r="44" spans="1:17" x14ac:dyDescent="0.45">
      <c r="B44" s="34" t="s">
        <v>283</v>
      </c>
      <c r="C44" s="25"/>
      <c r="D44" s="25">
        <f>'Moderna Standardized'!D32</f>
        <v>12.823</v>
      </c>
      <c r="E44" s="25">
        <f>'Moderna Standardized'!E32</f>
        <v>11.173999999999999</v>
      </c>
      <c r="F44" s="25">
        <f>'Moderna Standardized'!F32</f>
        <v>10.992000000000001</v>
      </c>
      <c r="G44" s="25">
        <f>'Moderna Standardized'!G32</f>
        <v>4.7839999999999998</v>
      </c>
      <c r="H44" s="25">
        <f>'Moderna Standardized'!H32</f>
        <v>1137.143</v>
      </c>
      <c r="I44" s="25">
        <f>'Moderna Standardized'!I32</f>
        <v>2791.7779999999998</v>
      </c>
      <c r="J44" s="25">
        <f>'Moderna Standardized'!J32</f>
        <v>1329.6299999999999</v>
      </c>
      <c r="K44" s="25">
        <f>'Moderna Standardized'!K32</f>
        <v>806.99199999999996</v>
      </c>
      <c r="L44" s="25">
        <f>'Moderna Standardized'!L32</f>
        <v>345.79199999999997</v>
      </c>
      <c r="M44" s="25"/>
      <c r="N44" s="25"/>
      <c r="O44" s="25"/>
      <c r="P44" s="25"/>
      <c r="Q44" s="25"/>
    </row>
    <row r="45" spans="1:17" x14ac:dyDescent="0.45">
      <c r="B45" s="34" t="s">
        <v>284</v>
      </c>
      <c r="C45" s="25"/>
      <c r="D45" s="25">
        <f>'Moderna Standardized'!D34</f>
        <v>14.689</v>
      </c>
      <c r="E45" s="25">
        <f>'Moderna Standardized'!E34</f>
        <v>11.472999999999999</v>
      </c>
      <c r="F45" s="25">
        <f>'Moderna Standardized'!F34</f>
        <v>25.323</v>
      </c>
      <c r="G45" s="25">
        <f>'Moderna Standardized'!G34</f>
        <v>18.21</v>
      </c>
      <c r="H45" s="25">
        <f>'Moderna Standardized'!H34</f>
        <v>206.012</v>
      </c>
      <c r="I45" s="25">
        <f>'Moderna Standardized'!I34</f>
        <v>387.77099999999996</v>
      </c>
      <c r="J45" s="25">
        <f>'Moderna Standardized'!J34</f>
        <v>879.55799999999999</v>
      </c>
      <c r="K45" s="25">
        <f>'Moderna Standardized'!K34</f>
        <v>567.24600000000009</v>
      </c>
      <c r="L45" s="25">
        <f>'Moderna Standardized'!L34</f>
        <v>578.57499999999993</v>
      </c>
      <c r="M45" s="25"/>
      <c r="N45" s="25"/>
      <c r="O45" s="25"/>
      <c r="P45" s="25"/>
      <c r="Q45" s="25"/>
    </row>
    <row r="46" spans="1:17" x14ac:dyDescent="0.45">
      <c r="B46" s="34" t="s">
        <v>285</v>
      </c>
      <c r="C46" s="27"/>
      <c r="D46" s="27">
        <f>'Moderna Standardized'!D31</f>
        <v>1003.327</v>
      </c>
      <c r="E46" s="27">
        <f>'Moderna Standardized'!E31</f>
        <v>629.62099999999998</v>
      </c>
      <c r="F46" s="27">
        <f>'Moderna Standardized'!F31</f>
        <v>1328.8139999999999</v>
      </c>
      <c r="G46" s="27">
        <f>'Moderna Standardized'!G31</f>
        <v>982.88299999999992</v>
      </c>
      <c r="H46" s="27">
        <f>'Moderna Standardized'!H31</f>
        <v>3767.04</v>
      </c>
      <c r="I46" s="27">
        <f>'Moderna Standardized'!I31</f>
        <v>9432.2510000000002</v>
      </c>
      <c r="J46" s="27">
        <f>'Moderna Standardized'!J31</f>
        <v>9265.3019999999997</v>
      </c>
      <c r="K46" s="27">
        <f>'Moderna Standardized'!K31</f>
        <v>7784.0390000000007</v>
      </c>
      <c r="L46" s="27">
        <f>'Moderna Standardized'!L31</f>
        <v>6785.4470000000001</v>
      </c>
      <c r="M46" s="27"/>
      <c r="N46" s="27"/>
      <c r="O46" s="27"/>
      <c r="P46" s="27"/>
      <c r="Q46" s="27"/>
    </row>
    <row r="47" spans="1:17" x14ac:dyDescent="0.45">
      <c r="B47" s="42" t="s">
        <v>286</v>
      </c>
      <c r="C47" s="32"/>
      <c r="D47" s="32">
        <f t="shared" ref="D47:L47" si="7">SUM(D43:D46)</f>
        <v>1030.8389999999999</v>
      </c>
      <c r="E47" s="32">
        <f t="shared" si="7"/>
        <v>652.26800000000003</v>
      </c>
      <c r="F47" s="32">
        <f t="shared" si="7"/>
        <v>1365.1289999999999</v>
      </c>
      <c r="G47" s="32">
        <f t="shared" si="7"/>
        <v>1005.877</v>
      </c>
      <c r="H47" s="32">
        <f t="shared" si="7"/>
        <v>5148.6180000000004</v>
      </c>
      <c r="I47" s="32">
        <f t="shared" si="7"/>
        <v>14131.23</v>
      </c>
      <c r="J47" s="32">
        <f t="shared" si="7"/>
        <v>12567.387999999999</v>
      </c>
      <c r="K47" s="32">
        <f t="shared" si="7"/>
        <v>9341.0260000000017</v>
      </c>
      <c r="L47" s="32">
        <f t="shared" si="7"/>
        <v>7822.8240000000005</v>
      </c>
      <c r="M47" s="32"/>
      <c r="N47" s="32"/>
      <c r="O47" s="32"/>
      <c r="P47" s="32"/>
      <c r="Q47" s="32"/>
    </row>
    <row r="49" spans="2:17" ht="14.65" thickBot="1" x14ac:dyDescent="0.5">
      <c r="B49" s="34"/>
      <c r="C49" s="49"/>
      <c r="D49" s="49"/>
      <c r="E49" s="49"/>
      <c r="F49" s="49"/>
      <c r="G49" s="49"/>
      <c r="H49" s="49"/>
      <c r="I49" s="49"/>
      <c r="J49" s="49"/>
      <c r="K49" s="49"/>
      <c r="L49" s="49"/>
      <c r="M49" s="49"/>
      <c r="N49" s="49"/>
      <c r="O49" s="49"/>
      <c r="P49" s="49"/>
      <c r="Q49" s="49"/>
    </row>
    <row r="50" spans="2:17" ht="14.65" thickTop="1" x14ac:dyDescent="0.45">
      <c r="B50" s="42" t="s">
        <v>287</v>
      </c>
      <c r="C50" s="32"/>
      <c r="D50" s="32">
        <f t="shared" ref="D50:L50" si="8">SUM(D41,D47)</f>
        <v>1343.7529999999999</v>
      </c>
      <c r="E50" s="32">
        <f t="shared" si="8"/>
        <v>903.16300000000001</v>
      </c>
      <c r="F50" s="32">
        <f t="shared" si="8"/>
        <v>1713.7399999999998</v>
      </c>
      <c r="G50" s="32">
        <f t="shared" si="8"/>
        <v>1416.3339999999998</v>
      </c>
      <c r="H50" s="32">
        <f t="shared" si="8"/>
        <v>5998.0020000000004</v>
      </c>
      <c r="I50" s="32">
        <f t="shared" si="8"/>
        <v>21691.451999999997</v>
      </c>
      <c r="J50" s="32">
        <f t="shared" si="8"/>
        <v>24195.330999999998</v>
      </c>
      <c r="K50" s="32">
        <f t="shared" si="8"/>
        <v>16670.001000000004</v>
      </c>
      <c r="L50" s="32">
        <f t="shared" si="8"/>
        <v>13659.758000000002</v>
      </c>
      <c r="M50" s="32"/>
      <c r="N50" s="32"/>
      <c r="O50" s="32"/>
      <c r="P50" s="32"/>
      <c r="Q50" s="32"/>
    </row>
    <row r="52" spans="2:17" x14ac:dyDescent="0.45">
      <c r="B52" s="24" t="s">
        <v>288</v>
      </c>
    </row>
    <row r="53" spans="2:17" x14ac:dyDescent="0.45">
      <c r="B53" s="42" t="s">
        <v>289</v>
      </c>
      <c r="C53" s="23"/>
      <c r="D53" s="23">
        <f>'Moderna Standardized'!D50</f>
        <v>-317.46699999999998</v>
      </c>
      <c r="E53" s="23">
        <f>'Moderna Standardized'!E50</f>
        <v>-459.17700000000002</v>
      </c>
      <c r="F53" s="23">
        <f>'Moderna Standardized'!F50</f>
        <v>1336.5129999999997</v>
      </c>
      <c r="G53" s="23">
        <f>'Moderna Standardized'!G50</f>
        <v>1046.8740000000003</v>
      </c>
      <c r="H53" s="23">
        <f>'Moderna Standardized'!H50</f>
        <v>2093.6179999999999</v>
      </c>
      <c r="I53" s="23">
        <f>'Moderna Standardized'!I50</f>
        <v>12437.698</v>
      </c>
      <c r="J53" s="23">
        <f>'Moderna Standardized'!J50</f>
        <v>17893.391000000003</v>
      </c>
      <c r="K53" s="23">
        <f>'Moderna Standardized'!K50</f>
        <v>12533.714</v>
      </c>
      <c r="L53" s="23">
        <f>'Moderna Standardized'!L50</f>
        <v>10529.276000000002</v>
      </c>
      <c r="M53" s="23"/>
      <c r="N53" s="23"/>
      <c r="O53" s="23"/>
      <c r="P53" s="23"/>
      <c r="Q53" s="23"/>
    </row>
    <row r="54" spans="2:17" x14ac:dyDescent="0.45">
      <c r="B54" s="24" t="s">
        <v>290</v>
      </c>
      <c r="D54" s="24">
        <f>'Moderna Standardized'!D51</f>
        <v>1115.71</v>
      </c>
      <c r="E54" s="24">
        <f>'Moderna Standardized'!E51</f>
        <v>979.923</v>
      </c>
      <c r="F54" s="24">
        <f>'Moderna Standardized'!F51</f>
        <v>0</v>
      </c>
      <c r="G54" s="24">
        <f>'Moderna Standardized'!G51</f>
        <v>0</v>
      </c>
      <c r="H54" s="24">
        <f>'Moderna Standardized'!H51</f>
        <v>0</v>
      </c>
      <c r="I54" s="24">
        <f>'Moderna Standardized'!I51</f>
        <v>0</v>
      </c>
      <c r="J54" s="24">
        <f>'Moderna Standardized'!J51</f>
        <v>0</v>
      </c>
      <c r="K54" s="24">
        <f>'Moderna Standardized'!K51</f>
        <v>0</v>
      </c>
      <c r="L54" s="24">
        <f>'Moderna Standardized'!L51</f>
        <v>0</v>
      </c>
    </row>
    <row r="55" spans="2:17" x14ac:dyDescent="0.45">
      <c r="B55" s="216" t="s">
        <v>291</v>
      </c>
      <c r="C55" s="23"/>
      <c r="D55" s="25">
        <f>'Moderna Standardized'!D49</f>
        <v>0</v>
      </c>
      <c r="E55" s="25">
        <f>'Moderna Standardized'!E49</f>
        <v>0</v>
      </c>
      <c r="F55" s="25">
        <f>'Moderna Standardized'!F49</f>
        <v>0</v>
      </c>
      <c r="G55" s="25">
        <f>'Moderna Standardized'!G49</f>
        <v>0</v>
      </c>
      <c r="H55" s="25">
        <f>'Moderna Standardized'!H49</f>
        <v>0</v>
      </c>
      <c r="I55" s="25">
        <f>'Moderna Standardized'!I49</f>
        <v>0</v>
      </c>
      <c r="J55" s="25">
        <f>'Moderna Standardized'!J49</f>
        <v>0</v>
      </c>
      <c r="K55" s="25">
        <f>'Moderna Standardized'!K49</f>
        <v>0</v>
      </c>
      <c r="L55" s="25">
        <f>'Moderna Standardized'!L49</f>
        <v>0</v>
      </c>
      <c r="M55" s="23"/>
      <c r="N55" s="23"/>
      <c r="O55" s="23"/>
      <c r="P55" s="23"/>
      <c r="Q55" s="23"/>
    </row>
    <row r="58" spans="2:17" x14ac:dyDescent="0.45">
      <c r="B58" s="34" t="s">
        <v>292</v>
      </c>
      <c r="C58" s="25"/>
      <c r="D58" s="25">
        <f>'Moderna Standardized'!D46</f>
        <v>11.853</v>
      </c>
      <c r="E58" s="25">
        <f>'Moderna Standardized'!E46</f>
        <v>13.064</v>
      </c>
      <c r="F58" s="25">
        <f>'Moderna Standardized'!F46</f>
        <v>29.248999999999999</v>
      </c>
      <c r="G58" s="25">
        <f>'Moderna Standardized'!G46</f>
        <v>117.95</v>
      </c>
      <c r="H58" s="25">
        <f>'Moderna Standardized'!H46</f>
        <v>169.22300000000001</v>
      </c>
      <c r="I58" s="25">
        <f>'Moderna Standardized'!I46</f>
        <v>619.90700000000004</v>
      </c>
      <c r="J58" s="25">
        <f>'Moderna Standardized'!J46</f>
        <v>939.44299999999998</v>
      </c>
      <c r="K58" s="25">
        <f>'Moderna Standardized'!K46</f>
        <v>1101.925</v>
      </c>
      <c r="L58" s="25">
        <f>'Moderna Standardized'!L46</f>
        <v>685.78899999999999</v>
      </c>
      <c r="M58" s="25"/>
      <c r="N58" s="25"/>
      <c r="O58" s="25"/>
      <c r="P58" s="25"/>
      <c r="Q58" s="25"/>
    </row>
    <row r="59" spans="2:17" x14ac:dyDescent="0.45">
      <c r="B59" s="34" t="s">
        <v>293</v>
      </c>
      <c r="C59" s="25"/>
      <c r="D59" s="25">
        <f>'Moderna Standardized'!D47</f>
        <v>0</v>
      </c>
      <c r="E59" s="25">
        <f>'Moderna Standardized'!E47</f>
        <v>0</v>
      </c>
      <c r="F59" s="25">
        <f>'Moderna Standardized'!F47</f>
        <v>0</v>
      </c>
      <c r="G59" s="25">
        <f>'Moderna Standardized'!G47</f>
        <v>0</v>
      </c>
      <c r="H59" s="25">
        <f>'Moderna Standardized'!H47</f>
        <v>0</v>
      </c>
      <c r="I59" s="25">
        <f>'Moderna Standardized'!I47</f>
        <v>0</v>
      </c>
      <c r="J59" s="25">
        <f>'Moderna Standardized'!J47</f>
        <v>0</v>
      </c>
      <c r="K59" s="25">
        <f>'Moderna Standardized'!K47</f>
        <v>0</v>
      </c>
      <c r="L59" s="25">
        <f>'Moderna Standardized'!L47</f>
        <v>0</v>
      </c>
      <c r="M59" s="25"/>
      <c r="N59" s="25"/>
      <c r="O59" s="25"/>
      <c r="P59" s="25"/>
      <c r="Q59" s="25"/>
    </row>
    <row r="60" spans="2:17" x14ac:dyDescent="0.45">
      <c r="B60" s="34" t="s">
        <v>294</v>
      </c>
      <c r="C60" s="27"/>
      <c r="D60" s="25">
        <f>'Moderna Standardized'!D48</f>
        <v>379.28799999999995</v>
      </c>
      <c r="E60" s="25">
        <f>'Moderna Standardized'!E48</f>
        <v>209.90300000000002</v>
      </c>
      <c r="F60" s="25">
        <f>'Moderna Standardized'!F48</f>
        <v>153.38300000000001</v>
      </c>
      <c r="G60" s="25">
        <f>'Moderna Standardized'!G48</f>
        <v>123.98100000000001</v>
      </c>
      <c r="H60" s="25">
        <f>'Moderna Standardized'!H48</f>
        <v>147.15100000000001</v>
      </c>
      <c r="I60" s="25">
        <f>'Moderna Standardized'!I48</f>
        <v>607.59699999999998</v>
      </c>
      <c r="J60" s="25">
        <f>'Moderna Standardized'!J48</f>
        <v>756.04600000000005</v>
      </c>
      <c r="K60" s="25">
        <f>'Moderna Standardized'!K48</f>
        <v>306.69299999999998</v>
      </c>
      <c r="L60" s="25">
        <f>'Moderna Standardized'!L48</f>
        <v>313.91699999999997</v>
      </c>
      <c r="M60" s="27"/>
      <c r="N60" s="27"/>
      <c r="O60" s="27"/>
      <c r="P60" s="27"/>
      <c r="Q60" s="27"/>
    </row>
    <row r="61" spans="2:17" x14ac:dyDescent="0.45">
      <c r="B61" s="42" t="s">
        <v>295</v>
      </c>
      <c r="C61" s="32"/>
      <c r="D61" s="36">
        <f t="shared" ref="D61:Q61" si="9">SUM(D58:D60)</f>
        <v>391.14099999999996</v>
      </c>
      <c r="E61" s="36">
        <f t="shared" si="9"/>
        <v>222.96700000000001</v>
      </c>
      <c r="F61" s="36">
        <f t="shared" si="9"/>
        <v>182.63200000000001</v>
      </c>
      <c r="G61" s="36">
        <f t="shared" si="9"/>
        <v>241.93100000000001</v>
      </c>
      <c r="H61" s="36">
        <f t="shared" si="9"/>
        <v>316.37400000000002</v>
      </c>
      <c r="I61" s="36">
        <f t="shared" si="9"/>
        <v>1227.5039999999999</v>
      </c>
      <c r="J61" s="36">
        <f t="shared" si="9"/>
        <v>1695.489</v>
      </c>
      <c r="K61" s="36">
        <f t="shared" si="9"/>
        <v>1408.6179999999999</v>
      </c>
      <c r="L61" s="36">
        <f t="shared" si="9"/>
        <v>999.7059999999999</v>
      </c>
      <c r="M61" s="32">
        <f t="shared" si="9"/>
        <v>0</v>
      </c>
      <c r="N61" s="32">
        <f t="shared" si="9"/>
        <v>0</v>
      </c>
      <c r="O61" s="32">
        <f t="shared" si="9"/>
        <v>0</v>
      </c>
      <c r="P61" s="32">
        <f t="shared" si="9"/>
        <v>0</v>
      </c>
      <c r="Q61" s="32">
        <f t="shared" si="9"/>
        <v>0</v>
      </c>
    </row>
    <row r="63" spans="2:17" x14ac:dyDescent="0.45">
      <c r="B63" s="34" t="s">
        <v>296</v>
      </c>
      <c r="C63" s="25"/>
      <c r="D63" s="25">
        <f>'Moderna Standardized'!D44</f>
        <v>26.698</v>
      </c>
      <c r="E63" s="25">
        <f>'Moderna Standardized'!E44</f>
        <v>17.260000000000002</v>
      </c>
      <c r="F63" s="25">
        <f>'Moderna Standardized'!F44</f>
        <v>27.259</v>
      </c>
      <c r="G63" s="25">
        <f>'Moderna Standardized'!G44</f>
        <v>6.3179999999999996</v>
      </c>
      <c r="H63" s="25">
        <f>'Moderna Standardized'!H44</f>
        <v>14.715</v>
      </c>
      <c r="I63" s="25">
        <f>'Moderna Standardized'!I44</f>
        <v>265.54899999999998</v>
      </c>
      <c r="J63" s="25">
        <f>'Moderna Standardized'!J44</f>
        <v>455.68599999999998</v>
      </c>
      <c r="K63" s="25">
        <f>'Moderna Standardized'!K44</f>
        <v>470.44400000000002</v>
      </c>
      <c r="L63" s="25">
        <f>'Moderna Standardized'!L44</f>
        <v>391.19</v>
      </c>
      <c r="M63" s="25"/>
      <c r="N63" s="25"/>
      <c r="O63" s="25"/>
      <c r="P63" s="25"/>
      <c r="Q63" s="25"/>
    </row>
    <row r="64" spans="2:17" x14ac:dyDescent="0.45">
      <c r="B64" s="34" t="s">
        <v>297</v>
      </c>
      <c r="C64" s="25"/>
      <c r="D64" s="25">
        <f>'Moderna Standardized'!D45</f>
        <v>127.67100000000001</v>
      </c>
      <c r="E64" s="25">
        <f>'Moderna Standardized'!E45</f>
        <v>142.18900000000002</v>
      </c>
      <c r="F64" s="25">
        <f>'Moderna Standardized'!F45</f>
        <v>167.33799999999999</v>
      </c>
      <c r="G64" s="25">
        <f>'Moderna Standardized'!G45</f>
        <v>118.01900000000001</v>
      </c>
      <c r="H64" s="25">
        <f>'Moderna Standardized'!H45</f>
        <v>3548.768</v>
      </c>
      <c r="I64" s="25">
        <f>'Moderna Standardized'!I45</f>
        <v>7575.17</v>
      </c>
      <c r="J64" s="25">
        <f>'Moderna Standardized'!J45</f>
        <v>3967.3690000000001</v>
      </c>
      <c r="K64" s="25">
        <f>'Moderna Standardized'!K45</f>
        <v>2234.6090000000004</v>
      </c>
      <c r="L64" s="25">
        <f>'Moderna Standardized'!L45</f>
        <v>1703.848</v>
      </c>
      <c r="M64" s="25"/>
      <c r="N64" s="25"/>
      <c r="O64" s="25"/>
      <c r="P64" s="25"/>
      <c r="Q64" s="25"/>
    </row>
    <row r="65" spans="1:20" x14ac:dyDescent="0.45">
      <c r="B65" s="34" t="s">
        <v>298</v>
      </c>
      <c r="C65" s="27"/>
      <c r="D65" s="27">
        <f>'Moderna Standardized'!D43</f>
        <v>0</v>
      </c>
      <c r="E65" s="27">
        <f>'Moderna Standardized'!E43</f>
        <v>0</v>
      </c>
      <c r="F65" s="27">
        <f>'Moderna Standardized'!F43</f>
        <v>0</v>
      </c>
      <c r="G65" s="27">
        <f>'Moderna Standardized'!G43</f>
        <v>3.1930000000000001</v>
      </c>
      <c r="H65" s="27">
        <f>'Moderna Standardized'!H43</f>
        <v>24.524999999999999</v>
      </c>
      <c r="I65" s="27">
        <f>'Moderna Standardized'!I43</f>
        <v>185.53200000000001</v>
      </c>
      <c r="J65" s="27">
        <f>'Moderna Standardized'!J43</f>
        <v>183.39699999999999</v>
      </c>
      <c r="K65" s="27">
        <f>'Moderna Standardized'!K43</f>
        <v>22.617999999999999</v>
      </c>
      <c r="L65" s="27">
        <f>'Moderna Standardized'!L43</f>
        <v>35.738</v>
      </c>
      <c r="M65" s="27"/>
      <c r="N65" s="27"/>
      <c r="O65" s="27"/>
      <c r="P65" s="27"/>
      <c r="Q65" s="27"/>
    </row>
    <row r="66" spans="1:20" x14ac:dyDescent="0.45">
      <c r="B66" s="42" t="s">
        <v>299</v>
      </c>
      <c r="C66" s="32"/>
      <c r="D66" s="32">
        <f t="shared" ref="D66:Q66" si="10">SUM(D63:D65)</f>
        <v>154.369</v>
      </c>
      <c r="E66" s="32">
        <f t="shared" si="10"/>
        <v>159.44900000000001</v>
      </c>
      <c r="F66" s="32">
        <f t="shared" si="10"/>
        <v>194.59699999999998</v>
      </c>
      <c r="G66" s="32">
        <f t="shared" si="10"/>
        <v>127.53</v>
      </c>
      <c r="H66" s="32">
        <f t="shared" si="10"/>
        <v>3588.0080000000003</v>
      </c>
      <c r="I66" s="32">
        <f t="shared" si="10"/>
        <v>8026.2510000000002</v>
      </c>
      <c r="J66" s="32">
        <f t="shared" si="10"/>
        <v>4606.4520000000002</v>
      </c>
      <c r="K66" s="32">
        <f t="shared" si="10"/>
        <v>2727.6710000000003</v>
      </c>
      <c r="L66" s="32">
        <f t="shared" si="10"/>
        <v>2130.7759999999998</v>
      </c>
      <c r="M66" s="32">
        <f t="shared" si="10"/>
        <v>0</v>
      </c>
      <c r="N66" s="32">
        <f t="shared" si="10"/>
        <v>0</v>
      </c>
      <c r="O66" s="32">
        <f t="shared" si="10"/>
        <v>0</v>
      </c>
      <c r="P66" s="32">
        <f t="shared" si="10"/>
        <v>0</v>
      </c>
      <c r="Q66" s="32">
        <f t="shared" si="10"/>
        <v>0</v>
      </c>
    </row>
    <row r="68" spans="1:20" ht="14.65" thickBot="1" x14ac:dyDescent="0.5">
      <c r="C68" s="49"/>
      <c r="D68" s="49"/>
      <c r="E68" s="49"/>
      <c r="F68" s="49"/>
      <c r="G68" s="49"/>
      <c r="H68" s="49"/>
      <c r="I68" s="49"/>
      <c r="J68" s="49"/>
      <c r="K68" s="49"/>
      <c r="L68" s="49"/>
      <c r="M68" s="49"/>
      <c r="N68" s="49"/>
      <c r="O68" s="49"/>
      <c r="P68" s="49"/>
      <c r="Q68" s="49"/>
    </row>
    <row r="69" spans="1:20" ht="15" thickTop="1" thickBot="1" x14ac:dyDescent="0.5">
      <c r="B69" s="44" t="s">
        <v>300</v>
      </c>
      <c r="C69" s="44">
        <f>SUM(C53:C55,C61,C66)</f>
        <v>0</v>
      </c>
      <c r="D69" s="44">
        <f t="shared" ref="D69:L69" si="11">SUM(D53:D55,D61,D66)</f>
        <v>1343.7529999999999</v>
      </c>
      <c r="E69" s="44">
        <f>SUM(E53:E55,E61,E66)</f>
        <v>903.16200000000003</v>
      </c>
      <c r="F69" s="44">
        <f t="shared" si="11"/>
        <v>1713.7419999999997</v>
      </c>
      <c r="G69" s="44">
        <f>SUM(G53:G55,G61,G66)</f>
        <v>1416.3350000000003</v>
      </c>
      <c r="H69" s="44">
        <f t="shared" si="11"/>
        <v>5998</v>
      </c>
      <c r="I69" s="44">
        <f>SUM(I53:I55,I61,I66)</f>
        <v>21691.453000000001</v>
      </c>
      <c r="J69" s="44">
        <f t="shared" si="11"/>
        <v>24195.332000000006</v>
      </c>
      <c r="K69" s="44">
        <f>SUM(K53:K55,K61,K66)</f>
        <v>16670.003000000001</v>
      </c>
      <c r="L69" s="44">
        <f t="shared" si="11"/>
        <v>13659.758000000002</v>
      </c>
      <c r="M69" s="44"/>
      <c r="N69" s="44"/>
      <c r="O69" s="44"/>
      <c r="P69" s="44"/>
      <c r="Q69" s="44"/>
    </row>
    <row r="70" spans="1:20" s="56" customFormat="1" ht="15" thickTop="1" thickBot="1" x14ac:dyDescent="0.5">
      <c r="B70" s="55" t="s">
        <v>301</v>
      </c>
      <c r="C70" s="55"/>
      <c r="D70" s="55">
        <f t="shared" ref="D70:L70" si="12">D50-D69</f>
        <v>0</v>
      </c>
      <c r="E70" s="55">
        <f t="shared" si="12"/>
        <v>9.9999999997635314E-4</v>
      </c>
      <c r="F70" s="55">
        <f t="shared" si="12"/>
        <v>-1.9999999999527063E-3</v>
      </c>
      <c r="G70" s="55">
        <f t="shared" si="12"/>
        <v>-1.0000000004311005E-3</v>
      </c>
      <c r="H70" s="55">
        <f t="shared" si="12"/>
        <v>2.0000000004074536E-3</v>
      </c>
      <c r="I70" s="55">
        <f t="shared" si="12"/>
        <v>-1.0000000038417056E-3</v>
      </c>
      <c r="J70" s="55">
        <f t="shared" si="12"/>
        <v>-1.0000000074796844E-3</v>
      </c>
      <c r="K70" s="55">
        <f t="shared" si="12"/>
        <v>-1.9999999967694748E-3</v>
      </c>
      <c r="L70" s="55">
        <f t="shared" si="12"/>
        <v>0</v>
      </c>
      <c r="M70" s="55">
        <f>M69-M50</f>
        <v>0</v>
      </c>
      <c r="N70" s="55">
        <f>N69-N50</f>
        <v>0</v>
      </c>
      <c r="O70" s="55">
        <f>O69-O50</f>
        <v>0</v>
      </c>
      <c r="P70" s="55">
        <f>P69-P50</f>
        <v>0</v>
      </c>
      <c r="Q70" s="55">
        <f>Q69-Q50</f>
        <v>0</v>
      </c>
    </row>
    <row r="71" spans="1:20" ht="14.65" thickTop="1" x14ac:dyDescent="0.45">
      <c r="A71" s="24" t="s">
        <v>14</v>
      </c>
      <c r="B71" s="32" t="s">
        <v>302</v>
      </c>
      <c r="C71" s="46"/>
      <c r="D71" s="46"/>
      <c r="E71" s="46"/>
      <c r="F71" s="46"/>
      <c r="G71" s="46"/>
      <c r="H71" s="46"/>
      <c r="I71" s="46"/>
      <c r="J71" s="46"/>
      <c r="K71" s="46"/>
      <c r="L71" s="46"/>
      <c r="M71" s="46"/>
      <c r="N71" s="46"/>
      <c r="O71" s="46"/>
      <c r="P71" s="46"/>
      <c r="Q71" s="46"/>
    </row>
    <row r="72" spans="1:20" x14ac:dyDescent="0.45">
      <c r="B72" s="34" t="s">
        <v>303</v>
      </c>
      <c r="C72" s="25"/>
      <c r="D72" s="25">
        <f>'Moderna Standardized'!D56</f>
        <v>-204.672</v>
      </c>
      <c r="E72" s="25">
        <f>'Moderna Standardized'!E56</f>
        <v>-240.43399999999997</v>
      </c>
      <c r="F72" s="25">
        <f>'Moderna Standardized'!F56</f>
        <v>-346.09299999999996</v>
      </c>
      <c r="G72" s="25">
        <f>'Moderna Standardized'!G56</f>
        <v>-494.90799999999996</v>
      </c>
      <c r="H72" s="25">
        <f>'Moderna Standardized'!H56</f>
        <v>-665.74199999999996</v>
      </c>
      <c r="I72" s="25">
        <f>'Moderna Standardized'!I56</f>
        <v>11237.673999999999</v>
      </c>
      <c r="J72" s="25">
        <f>'Moderna Standardized'!J56</f>
        <v>8946.1630000000005</v>
      </c>
      <c r="K72" s="25">
        <f>'Moderna Standardized'!K56</f>
        <v>-4000.0349999999999</v>
      </c>
      <c r="L72" s="25">
        <f>'Moderna Standardized'!L56</f>
        <v>-3705.7380000000007</v>
      </c>
      <c r="M72" s="25"/>
      <c r="N72" s="25"/>
      <c r="O72" s="25"/>
      <c r="P72" s="25"/>
      <c r="Q72" s="25"/>
      <c r="T72" s="51"/>
    </row>
    <row r="73" spans="1:20" x14ac:dyDescent="0.45">
      <c r="B73" s="34" t="s">
        <v>304</v>
      </c>
      <c r="C73" s="25"/>
      <c r="D73" s="25">
        <f>'Moderna Standardized'!D60</f>
        <v>-0.94299999999999995</v>
      </c>
      <c r="E73" s="25">
        <f>'Moderna Standardized'!E60</f>
        <v>7.0999999999999994E-2</v>
      </c>
      <c r="F73" s="25">
        <f>'Moderna Standardized'!F60</f>
        <v>-0.27600000000000002</v>
      </c>
      <c r="G73" s="25">
        <f>'Moderna Standardized'!G60</f>
        <v>0.89300000000000002</v>
      </c>
      <c r="H73" s="25">
        <f>'Moderna Standardized'!H60</f>
        <v>-2.6309999999999998</v>
      </c>
      <c r="I73" s="25">
        <f>'Moderna Standardized'!I60</f>
        <v>-175.11299999999994</v>
      </c>
      <c r="J73" s="25">
        <f>'Moderna Standardized'!J60</f>
        <v>-1153.9449999999999</v>
      </c>
      <c r="K73" s="25">
        <f>'Moderna Standardized'!K60</f>
        <v>-713.995</v>
      </c>
      <c r="L73" s="25">
        <f>'Moderna Standardized'!L60</f>
        <v>42.530999999999999</v>
      </c>
      <c r="M73" s="25"/>
      <c r="N73" s="25"/>
      <c r="O73" s="25"/>
      <c r="P73" s="25"/>
      <c r="Q73" s="25"/>
      <c r="T73" s="51"/>
    </row>
    <row r="74" spans="1:20" x14ac:dyDescent="0.45">
      <c r="B74" s="34" t="s">
        <v>305</v>
      </c>
      <c r="C74" s="25"/>
      <c r="D74" s="25">
        <f>'Moderna Standardized'!D58</f>
        <v>2.2410000000000001</v>
      </c>
      <c r="E74" s="25">
        <f>'Moderna Standardized'!E58</f>
        <v>0.96299999999999997</v>
      </c>
      <c r="F74" s="25">
        <f>'Moderna Standardized'!F58</f>
        <v>-0.82700000000000007</v>
      </c>
      <c r="G74" s="25">
        <f>'Moderna Standardized'!G58</f>
        <v>-3.573</v>
      </c>
      <c r="H74" s="25">
        <f>'Moderna Standardized'!H58</f>
        <v>8.7710000000000008</v>
      </c>
      <c r="I74" s="25">
        <f>'Moderna Standardized'!I58</f>
        <v>45.682000000000002</v>
      </c>
      <c r="J74" s="25">
        <f>'Moderna Standardized'!J58</f>
        <v>29.491</v>
      </c>
      <c r="K74" s="25">
        <f>'Moderna Standardized'!K58</f>
        <v>-24.045999999999999</v>
      </c>
      <c r="L74" s="25">
        <f>'Moderna Standardized'!L58</f>
        <v>-39.756999999999998</v>
      </c>
      <c r="M74" s="25"/>
      <c r="N74" s="25"/>
      <c r="O74" s="25"/>
      <c r="P74" s="25"/>
      <c r="Q74" s="25"/>
      <c r="T74" s="51"/>
    </row>
    <row r="75" spans="1:20" x14ac:dyDescent="0.45">
      <c r="B75" s="34" t="s">
        <v>306</v>
      </c>
      <c r="C75" s="27"/>
      <c r="D75" s="27">
        <f>'Moderna Standardized'!D59</f>
        <v>52.454000000000001</v>
      </c>
      <c r="E75" s="27">
        <f>'Moderna Standardized'!E59</f>
        <v>87.204999999999998</v>
      </c>
      <c r="F75" s="27">
        <f>'Moderna Standardized'!F59</f>
        <v>88.363</v>
      </c>
      <c r="G75" s="27">
        <f>'Moderna Standardized'!G59</f>
        <v>107.2</v>
      </c>
      <c r="H75" s="27">
        <f>'Moderna Standardized'!H59</f>
        <v>299.97799999999995</v>
      </c>
      <c r="I75" s="27">
        <f>'Moderna Standardized'!I59</f>
        <v>539.72</v>
      </c>
      <c r="J75" s="27">
        <f>'Moderna Standardized'!J59</f>
        <v>-1690.4860000000001</v>
      </c>
      <c r="K75" s="27">
        <f>'Moderna Standardized'!K59</f>
        <v>2246.4929999999999</v>
      </c>
      <c r="L75" s="27">
        <f>'Moderna Standardized'!L59</f>
        <v>453.97200000000004</v>
      </c>
      <c r="M75" s="27"/>
      <c r="N75" s="27"/>
      <c r="O75" s="27"/>
      <c r="P75" s="27"/>
      <c r="Q75" s="27"/>
      <c r="T75" s="51"/>
    </row>
    <row r="76" spans="1:20" ht="28.5" x14ac:dyDescent="0.45">
      <c r="B76" s="42" t="s">
        <v>307</v>
      </c>
      <c r="C76" s="32"/>
      <c r="D76" s="32">
        <f t="shared" ref="D76:Q76" si="13">SUM(D72:D75)</f>
        <v>-150.91999999999999</v>
      </c>
      <c r="E76" s="32">
        <f t="shared" si="13"/>
        <v>-152.19499999999999</v>
      </c>
      <c r="F76" s="32">
        <f t="shared" si="13"/>
        <v>-258.83299999999997</v>
      </c>
      <c r="G76" s="32">
        <f t="shared" si="13"/>
        <v>-390.38799999999998</v>
      </c>
      <c r="H76" s="32">
        <f t="shared" si="13"/>
        <v>-359.62400000000002</v>
      </c>
      <c r="I76" s="32">
        <f t="shared" si="13"/>
        <v>11647.963</v>
      </c>
      <c r="J76" s="32">
        <f t="shared" si="13"/>
        <v>6131.2230000000009</v>
      </c>
      <c r="K76" s="32">
        <f t="shared" si="13"/>
        <v>-2491.5830000000001</v>
      </c>
      <c r="L76" s="32">
        <f t="shared" si="13"/>
        <v>-3248.9920000000006</v>
      </c>
      <c r="M76" s="32">
        <f t="shared" si="13"/>
        <v>0</v>
      </c>
      <c r="N76" s="32">
        <f t="shared" si="13"/>
        <v>0</v>
      </c>
      <c r="O76" s="32">
        <f t="shared" si="13"/>
        <v>0</v>
      </c>
      <c r="P76" s="32">
        <f t="shared" si="13"/>
        <v>0</v>
      </c>
      <c r="Q76" s="32">
        <f t="shared" si="13"/>
        <v>0</v>
      </c>
      <c r="T76" s="51"/>
    </row>
    <row r="77" spans="1:20" x14ac:dyDescent="0.45">
      <c r="B77" s="34"/>
    </row>
    <row r="78" spans="1:20" ht="28.5" x14ac:dyDescent="0.45">
      <c r="B78" s="34" t="s">
        <v>308</v>
      </c>
      <c r="C78" s="27"/>
      <c r="D78" s="27">
        <f>'Moderna Standardized'!D63</f>
        <v>201.16</v>
      </c>
      <c r="E78" s="27">
        <f>'Moderna Standardized'!E63</f>
        <v>-155.18800000000002</v>
      </c>
      <c r="F78" s="27">
        <f>'Moderna Standardized'!F63</f>
        <v>-41.88</v>
      </c>
      <c r="G78" s="27">
        <f>'Moderna Standardized'!G63</f>
        <v>-54.494</v>
      </c>
      <c r="H78" s="27">
        <f>'Moderna Standardized'!H63</f>
        <v>2124.4110000000001</v>
      </c>
      <c r="I78" s="27">
        <f>'Moderna Standardized'!I63</f>
        <v>-126.89400000000023</v>
      </c>
      <c r="J78" s="27">
        <f>'Moderna Standardized'!J63</f>
        <v>-1555.3989999999999</v>
      </c>
      <c r="K78" s="27">
        <f>'Moderna Standardized'!K63</f>
        <v>-746.36500000000001</v>
      </c>
      <c r="L78" s="27">
        <f>'Moderna Standardized'!L63</f>
        <v>100.78000000000009</v>
      </c>
      <c r="M78" s="27"/>
      <c r="N78" s="27"/>
      <c r="O78" s="27"/>
      <c r="P78" s="27"/>
      <c r="Q78" s="27"/>
      <c r="T78" s="51"/>
    </row>
    <row r="79" spans="1:20" ht="28.5" x14ac:dyDescent="0.45">
      <c r="B79" s="42" t="s">
        <v>309</v>
      </c>
      <c r="C79" s="32"/>
      <c r="D79" s="32">
        <f t="shared" ref="D79:L79" si="14">SUM(D78,D76)</f>
        <v>50.240000000000009</v>
      </c>
      <c r="E79" s="32">
        <f t="shared" si="14"/>
        <v>-307.38300000000004</v>
      </c>
      <c r="F79" s="32">
        <f t="shared" si="14"/>
        <v>-300.71299999999997</v>
      </c>
      <c r="G79" s="32">
        <f t="shared" si="14"/>
        <v>-444.88199999999995</v>
      </c>
      <c r="H79" s="32">
        <f t="shared" si="14"/>
        <v>1764.787</v>
      </c>
      <c r="I79" s="32">
        <f t="shared" si="14"/>
        <v>11521.069</v>
      </c>
      <c r="J79" s="32">
        <f t="shared" si="14"/>
        <v>4575.8240000000005</v>
      </c>
      <c r="K79" s="32">
        <f t="shared" si="14"/>
        <v>-3237.9480000000003</v>
      </c>
      <c r="L79" s="32">
        <f t="shared" si="14"/>
        <v>-3148.2120000000004</v>
      </c>
      <c r="M79" s="32">
        <f>SUM(M76:M78)</f>
        <v>0</v>
      </c>
      <c r="N79" s="32">
        <f>SUM(N76:N78)</f>
        <v>0</v>
      </c>
      <c r="O79" s="32">
        <f>SUM(O76:O78)</f>
        <v>0</v>
      </c>
      <c r="P79" s="32">
        <f>SUM(P76:P78)</f>
        <v>0</v>
      </c>
      <c r="Q79" s="32">
        <f>SUM(Q76:Q78)</f>
        <v>0</v>
      </c>
      <c r="T79" s="51"/>
    </row>
    <row r="80" spans="1:20" x14ac:dyDescent="0.45">
      <c r="B80" s="34"/>
    </row>
    <row r="81" spans="1:18" x14ac:dyDescent="0.45">
      <c r="B81" s="34" t="s">
        <v>310</v>
      </c>
      <c r="C81" s="25"/>
      <c r="D81" s="25">
        <f>'Moderna Standardized'!D61</f>
        <v>10.228999999999999</v>
      </c>
      <c r="E81" s="25">
        <f>'Moderna Standardized'!E61</f>
        <v>13.512</v>
      </c>
      <c r="F81" s="25">
        <f>'Moderna Standardized'!F61</f>
        <v>22.904</v>
      </c>
      <c r="G81" s="25">
        <f>'Moderna Standardized'!G61</f>
        <v>34.840000000000003</v>
      </c>
      <c r="H81" s="25">
        <f>'Moderna Standardized'!H61</f>
        <v>21.928000000000001</v>
      </c>
      <c r="I81" s="25">
        <f>'Moderna Standardized'!I61</f>
        <v>15.227</v>
      </c>
      <c r="J81" s="25">
        <f>'Moderna Standardized'!J61</f>
        <v>190.26300000000001</v>
      </c>
      <c r="K81" s="25">
        <f>'Moderna Standardized'!K61</f>
        <v>389.36799999999999</v>
      </c>
      <c r="L81" s="25">
        <f>'Moderna Standardized'!L61</f>
        <v>392.94900000000001</v>
      </c>
      <c r="M81" s="25"/>
      <c r="N81" s="25"/>
      <c r="O81" s="25"/>
      <c r="P81" s="25"/>
      <c r="Q81" s="25"/>
    </row>
    <row r="82" spans="1:18" x14ac:dyDescent="0.45">
      <c r="B82" s="34" t="s">
        <v>311</v>
      </c>
      <c r="C82" s="25"/>
      <c r="D82" s="25">
        <f>'Moderna Standardized'!D62</f>
        <v>0</v>
      </c>
      <c r="E82" s="25">
        <f>'Moderna Standardized'!E62</f>
        <v>0</v>
      </c>
      <c r="F82" s="25">
        <f>'Moderna Standardized'!F62</f>
        <v>0</v>
      </c>
      <c r="G82" s="25">
        <f>'Moderna Standardized'!G62</f>
        <v>0</v>
      </c>
      <c r="H82" s="25">
        <f>'Moderna Standardized'!H62</f>
        <v>0</v>
      </c>
      <c r="I82" s="25">
        <f>'Moderna Standardized'!I62</f>
        <v>0</v>
      </c>
      <c r="J82" s="25">
        <f>'Moderna Standardized'!J62</f>
        <v>0</v>
      </c>
      <c r="K82" s="25">
        <f>'Moderna Standardized'!K62</f>
        <v>0</v>
      </c>
      <c r="L82" s="25">
        <f>'Moderna Standardized'!L62</f>
        <v>0</v>
      </c>
      <c r="M82" s="25"/>
      <c r="N82" s="25"/>
      <c r="O82" s="25"/>
      <c r="P82" s="25"/>
      <c r="Q82" s="25"/>
    </row>
    <row r="83" spans="1:18" ht="28.5" x14ac:dyDescent="0.45">
      <c r="B83" s="34" t="s">
        <v>312</v>
      </c>
      <c r="C83" s="27"/>
      <c r="D83" s="27">
        <f>'Moderna Standardized'!D64</f>
        <v>-586.51</v>
      </c>
      <c r="E83" s="27">
        <f>'Moderna Standardized'!E64</f>
        <v>370.154</v>
      </c>
      <c r="F83" s="27">
        <f>'Moderna Standardized'!F64</f>
        <v>-316.22400000000005</v>
      </c>
      <c r="G83" s="27">
        <f>'Moderna Standardized'!G64</f>
        <v>-13.4</v>
      </c>
      <c r="H83" s="27">
        <f>'Moderna Standardized'!H64</f>
        <v>-1466.5619999999999</v>
      </c>
      <c r="I83" s="27">
        <f>'Moderna Standardized'!I64</f>
        <v>-7210.0789999999997</v>
      </c>
      <c r="J83" s="27">
        <f>'Moderna Standardized'!J64</f>
        <v>-4924.0050000000001</v>
      </c>
      <c r="K83" s="27">
        <f>'Moderna Standardized'!K64</f>
        <v>3889.9759999999997</v>
      </c>
      <c r="L83" s="27">
        <f>'Moderna Standardized'!L64</f>
        <v>1802.0160000000001</v>
      </c>
      <c r="M83" s="27"/>
      <c r="N83" s="27"/>
      <c r="O83" s="27"/>
      <c r="P83" s="27"/>
      <c r="Q83" s="27"/>
    </row>
    <row r="84" spans="1:18" x14ac:dyDescent="0.45">
      <c r="B84" s="42" t="s">
        <v>313</v>
      </c>
      <c r="C84" s="32"/>
      <c r="D84" s="32">
        <f t="shared" ref="D84:L84" si="15">SUM(D81:D83,D79)</f>
        <v>-526.04099999999994</v>
      </c>
      <c r="E84" s="32">
        <f t="shared" si="15"/>
        <v>76.282999999999959</v>
      </c>
      <c r="F84" s="32">
        <f t="shared" si="15"/>
        <v>-594.03300000000002</v>
      </c>
      <c r="G84" s="32">
        <f t="shared" si="15"/>
        <v>-423.44199999999995</v>
      </c>
      <c r="H84" s="32">
        <f t="shared" si="15"/>
        <v>320.15300000000025</v>
      </c>
      <c r="I84" s="32">
        <f t="shared" si="15"/>
        <v>4326.2169999999996</v>
      </c>
      <c r="J84" s="32">
        <f t="shared" si="15"/>
        <v>-157.91799999999967</v>
      </c>
      <c r="K84" s="32">
        <f t="shared" si="15"/>
        <v>1041.3959999999997</v>
      </c>
      <c r="L84" s="32">
        <f t="shared" si="15"/>
        <v>-953.2470000000003</v>
      </c>
      <c r="M84" s="32">
        <f>SUM(M79:M83)</f>
        <v>0</v>
      </c>
      <c r="N84" s="32">
        <f>SUM(N79:N83)</f>
        <v>0</v>
      </c>
      <c r="O84" s="32">
        <f>SUM(O79:O83)</f>
        <v>0</v>
      </c>
      <c r="P84" s="32">
        <f>SUM(P79:P83)</f>
        <v>0</v>
      </c>
      <c r="Q84" s="32">
        <f>SUM(Q79:Q83)</f>
        <v>0</v>
      </c>
    </row>
    <row r="85" spans="1:18" x14ac:dyDescent="0.45">
      <c r="B85" s="42"/>
      <c r="C85" s="32"/>
      <c r="D85" s="32"/>
      <c r="E85" s="32"/>
      <c r="F85" s="32"/>
      <c r="G85" s="32"/>
      <c r="H85" s="32"/>
      <c r="I85" s="32"/>
      <c r="J85" s="32"/>
      <c r="K85" s="32"/>
      <c r="L85" s="32"/>
      <c r="M85" s="32"/>
      <c r="N85" s="32"/>
      <c r="O85" s="32"/>
      <c r="P85" s="32"/>
      <c r="Q85" s="32"/>
    </row>
    <row r="86" spans="1:18" x14ac:dyDescent="0.45">
      <c r="B86" s="34" t="s">
        <v>314</v>
      </c>
      <c r="C86" s="25"/>
      <c r="D86" s="25">
        <f>'Moderna Standardized'!D68</f>
        <v>-0.126</v>
      </c>
      <c r="E86" s="25">
        <f>'Moderna Standardized'!E68</f>
        <v>-0.11700000000000001</v>
      </c>
      <c r="F86" s="25">
        <f>'Moderna Standardized'!F68</f>
        <v>-2.6240000000000001</v>
      </c>
      <c r="G86" s="25">
        <f>'Moderna Standardized'!G68</f>
        <v>0</v>
      </c>
      <c r="H86" s="25">
        <f>'Moderna Standardized'!H68</f>
        <v>-8.7710000000000008</v>
      </c>
      <c r="I86" s="25">
        <f>'Moderna Standardized'!I68</f>
        <v>-14.381</v>
      </c>
      <c r="J86" s="25">
        <f>'Moderna Standardized'!J68</f>
        <v>-27.588000000000001</v>
      </c>
      <c r="K86" s="25">
        <f>'Moderna Standardized'!K68</f>
        <v>-35.145000000000003</v>
      </c>
      <c r="L86" s="25">
        <f>'Moderna Standardized'!L68</f>
        <v>-22.19</v>
      </c>
      <c r="M86" s="25"/>
      <c r="N86" s="25"/>
      <c r="O86" s="25"/>
      <c r="P86" s="25"/>
      <c r="Q86" s="25"/>
    </row>
    <row r="87" spans="1:18" x14ac:dyDescent="0.45">
      <c r="B87" s="34" t="s">
        <v>315</v>
      </c>
      <c r="C87" s="27"/>
      <c r="D87" s="27">
        <f>'Moderna Standardized'!D67</f>
        <v>0</v>
      </c>
      <c r="E87" s="27">
        <f>'Moderna Standardized'!E67</f>
        <v>1.276</v>
      </c>
      <c r="F87" s="27">
        <f>'Moderna Standardized'!F67</f>
        <v>8.0190000000000001</v>
      </c>
      <c r="G87" s="27">
        <f>'Moderna Standardized'!G67</f>
        <v>0.89300000000000002</v>
      </c>
      <c r="H87" s="27">
        <f>'Moderna Standardized'!H67</f>
        <v>-5.2629999999999999</v>
      </c>
      <c r="I87" s="27">
        <f>'Moderna Standardized'!I67</f>
        <v>-118.434</v>
      </c>
      <c r="J87" s="27">
        <f>'Moderna Standardized'!J67</f>
        <v>-175.042</v>
      </c>
      <c r="K87" s="27">
        <f>'Moderna Standardized'!K67</f>
        <v>-249.71299999999999</v>
      </c>
      <c r="L87" s="27">
        <f>'Moderna Standardized'!L67</f>
        <v>-9.2460000000000004</v>
      </c>
      <c r="M87" s="27"/>
      <c r="N87" s="27"/>
      <c r="O87" s="27"/>
      <c r="P87" s="27"/>
      <c r="Q87" s="27"/>
    </row>
    <row r="88" spans="1:18" x14ac:dyDescent="0.45">
      <c r="B88" s="42" t="s">
        <v>316</v>
      </c>
      <c r="C88" s="32"/>
      <c r="D88" s="32">
        <f t="shared" ref="D88:L88" si="16">SUM(D86:D87,D84)</f>
        <v>-526.16699999999992</v>
      </c>
      <c r="E88" s="32">
        <f t="shared" si="16"/>
        <v>77.441999999999965</v>
      </c>
      <c r="F88" s="32">
        <f t="shared" si="16"/>
        <v>-588.63800000000003</v>
      </c>
      <c r="G88" s="32">
        <f t="shared" si="16"/>
        <v>-422.54899999999998</v>
      </c>
      <c r="H88" s="32">
        <f t="shared" si="16"/>
        <v>306.11900000000026</v>
      </c>
      <c r="I88" s="32">
        <f t="shared" si="16"/>
        <v>4193.402</v>
      </c>
      <c r="J88" s="32">
        <f t="shared" si="16"/>
        <v>-360.54799999999966</v>
      </c>
      <c r="K88" s="32">
        <f t="shared" si="16"/>
        <v>756.53799999999978</v>
      </c>
      <c r="L88" s="32">
        <f t="shared" si="16"/>
        <v>-984.68300000000033</v>
      </c>
      <c r="M88" s="32">
        <f>SUM(M84:M87)</f>
        <v>0</v>
      </c>
      <c r="N88" s="32">
        <f>SUM(N84:N87)</f>
        <v>0</v>
      </c>
      <c r="O88" s="32">
        <f>SUM(O84:O87)</f>
        <v>0</v>
      </c>
      <c r="P88" s="32">
        <f>SUM(P84:P87)</f>
        <v>0</v>
      </c>
      <c r="Q88" s="32">
        <f>SUM(Q84:Q87)</f>
        <v>0</v>
      </c>
    </row>
    <row r="89" spans="1:18" x14ac:dyDescent="0.45">
      <c r="B89" s="34"/>
    </row>
    <row r="90" spans="1:18" x14ac:dyDescent="0.45">
      <c r="B90" s="34" t="s">
        <v>317</v>
      </c>
      <c r="C90" s="25"/>
      <c r="D90" s="25">
        <f>'Moderna Standardized'!D69</f>
        <v>-0.57199999999999995</v>
      </c>
      <c r="E90" s="25">
        <f>'Moderna Standardized'!E69</f>
        <v>-1.3149999999999999</v>
      </c>
      <c r="F90" s="25">
        <f>'Moderna Standardized'!F69</f>
        <v>0</v>
      </c>
      <c r="G90" s="25">
        <f>'Moderna Standardized'!G69</f>
        <v>0</v>
      </c>
      <c r="H90" s="25">
        <f>'Moderna Standardized'!H69</f>
        <v>0</v>
      </c>
      <c r="I90" s="25">
        <f>'Moderna Standardized'!I69</f>
        <v>0</v>
      </c>
      <c r="J90" s="25">
        <f>'Moderna Standardized'!J69</f>
        <v>0</v>
      </c>
      <c r="K90" s="25">
        <f>'Moderna Standardized'!K69</f>
        <v>0</v>
      </c>
      <c r="L90" s="25">
        <f>'Moderna Standardized'!L69</f>
        <v>0</v>
      </c>
      <c r="M90" s="25"/>
      <c r="N90" s="25"/>
      <c r="O90" s="25"/>
      <c r="P90" s="25"/>
      <c r="Q90" s="25"/>
    </row>
    <row r="91" spans="1:18" x14ac:dyDescent="0.45">
      <c r="B91" s="34" t="s">
        <v>318</v>
      </c>
      <c r="C91" s="25"/>
      <c r="D91" s="25">
        <f>'Moderna Standardized'!D70</f>
        <v>428.20600000000002</v>
      </c>
      <c r="E91" s="25">
        <f>'Moderna Standardized'!E70</f>
        <v>0.188</v>
      </c>
      <c r="F91" s="25">
        <f>'Moderna Standardized'!F70</f>
        <v>1031.8190000000002</v>
      </c>
      <c r="G91" s="25">
        <f>'Moderna Standardized'!G70</f>
        <v>45.56</v>
      </c>
      <c r="H91" s="25">
        <f>'Moderna Standardized'!H70</f>
        <v>1788.4690000000001</v>
      </c>
      <c r="I91" s="25">
        <f>'Moderna Standardized'!I70</f>
        <v>-620.08600000000001</v>
      </c>
      <c r="J91" s="25">
        <f>'Moderna Standardized'!J70</f>
        <v>-3105.0909999999999</v>
      </c>
      <c r="K91" s="25">
        <f>'Moderna Standardized'!K70</f>
        <v>-1023.824</v>
      </c>
      <c r="L91" s="25">
        <f>'Moderna Standardized'!L70</f>
        <v>61.023000000000003</v>
      </c>
      <c r="M91" s="25"/>
      <c r="N91" s="25"/>
      <c r="O91" s="25"/>
      <c r="P91" s="25"/>
      <c r="Q91" s="25"/>
    </row>
    <row r="92" spans="1:18" x14ac:dyDescent="0.45">
      <c r="B92" s="31" t="s">
        <v>319</v>
      </c>
      <c r="C92" s="25"/>
      <c r="D92" s="25">
        <f>'Moderna Standardized'!D71</f>
        <v>0</v>
      </c>
      <c r="E92" s="25">
        <f>'Moderna Standardized'!E71</f>
        <v>0</v>
      </c>
      <c r="F92" s="25">
        <f>'Moderna Standardized'!F71</f>
        <v>0</v>
      </c>
      <c r="G92" s="25">
        <f>'Moderna Standardized'!G71</f>
        <v>0</v>
      </c>
      <c r="H92" s="25">
        <f>'Moderna Standardized'!H71</f>
        <v>0</v>
      </c>
      <c r="I92" s="25">
        <f>'Moderna Standardized'!I71</f>
        <v>0</v>
      </c>
      <c r="J92" s="25">
        <f>'Moderna Standardized'!J71</f>
        <v>0</v>
      </c>
      <c r="K92" s="25">
        <f>'Moderna Standardized'!K71</f>
        <v>0</v>
      </c>
      <c r="L92" s="25">
        <f>'Moderna Standardized'!L71</f>
        <v>0</v>
      </c>
      <c r="M92" s="25"/>
      <c r="N92" s="25"/>
      <c r="O92" s="25"/>
      <c r="P92" s="25"/>
      <c r="Q92" s="25"/>
    </row>
    <row r="93" spans="1:18" ht="14.65" thickBot="1" x14ac:dyDescent="0.5">
      <c r="B93" s="52" t="s">
        <v>320</v>
      </c>
      <c r="C93" s="72"/>
      <c r="D93" s="72">
        <f t="shared" ref="D93:L93" si="17">SUM(D88,D92)</f>
        <v>-526.16699999999992</v>
      </c>
      <c r="E93" s="72">
        <f t="shared" si="17"/>
        <v>77.441999999999965</v>
      </c>
      <c r="F93" s="72">
        <f t="shared" si="17"/>
        <v>-588.63800000000003</v>
      </c>
      <c r="G93" s="72">
        <f t="shared" si="17"/>
        <v>-422.54899999999998</v>
      </c>
      <c r="H93" s="72">
        <f t="shared" si="17"/>
        <v>306.11900000000026</v>
      </c>
      <c r="I93" s="72">
        <f t="shared" si="17"/>
        <v>4193.402</v>
      </c>
      <c r="J93" s="72">
        <f t="shared" si="17"/>
        <v>-360.54799999999966</v>
      </c>
      <c r="K93" s="72">
        <f t="shared" si="17"/>
        <v>756.53799999999978</v>
      </c>
      <c r="L93" s="72">
        <f t="shared" si="17"/>
        <v>-984.68300000000033</v>
      </c>
      <c r="M93" s="72">
        <f>SUM(M88:M91)</f>
        <v>0</v>
      </c>
      <c r="N93" s="72">
        <f>SUM(N88:N91)</f>
        <v>0</v>
      </c>
      <c r="O93" s="72">
        <f>SUM(O88:O91)</f>
        <v>0</v>
      </c>
      <c r="P93" s="72">
        <f>SUM(P88:P91)</f>
        <v>0</v>
      </c>
      <c r="Q93" s="72">
        <f>SUM(Q88:Q91)</f>
        <v>0</v>
      </c>
    </row>
    <row r="94" spans="1:18" ht="15" thickTop="1" thickBot="1" x14ac:dyDescent="0.5">
      <c r="B94" s="34"/>
    </row>
    <row r="95" spans="1:18" ht="14.65" thickTop="1" x14ac:dyDescent="0.45">
      <c r="A95" s="24" t="s">
        <v>14</v>
      </c>
      <c r="B95" s="57" t="s">
        <v>321</v>
      </c>
      <c r="C95" s="58"/>
      <c r="D95" s="58"/>
      <c r="E95" s="58"/>
      <c r="F95" s="58"/>
      <c r="G95" s="58"/>
      <c r="H95" s="58"/>
      <c r="I95" s="58"/>
      <c r="J95" s="58"/>
      <c r="K95" s="58"/>
      <c r="L95" s="58"/>
      <c r="M95" s="58"/>
      <c r="N95" s="58"/>
      <c r="O95" s="58"/>
      <c r="P95" s="58"/>
      <c r="Q95" s="58"/>
    </row>
    <row r="96" spans="1:18" x14ac:dyDescent="0.45">
      <c r="B96" s="42" t="s">
        <v>96</v>
      </c>
      <c r="C96" s="32"/>
      <c r="D96" s="32">
        <f t="shared" ref="D96:R96" si="18">D9</f>
        <v>98.018000000000001</v>
      </c>
      <c r="E96" s="32">
        <f t="shared" si="18"/>
        <v>182.54300000000001</v>
      </c>
      <c r="F96" s="32">
        <f t="shared" si="18"/>
        <v>114.48</v>
      </c>
      <c r="G96" s="32">
        <f t="shared" si="18"/>
        <v>53.6</v>
      </c>
      <c r="H96" s="32">
        <f t="shared" si="18"/>
        <v>704.33600000000001</v>
      </c>
      <c r="I96" s="32">
        <f t="shared" si="18"/>
        <v>15625.644999999999</v>
      </c>
      <c r="J96" s="32">
        <f t="shared" si="18"/>
        <v>18325.173999999999</v>
      </c>
      <c r="K96" s="32">
        <f t="shared" si="18"/>
        <v>6333.4650000000001</v>
      </c>
      <c r="L96" s="32">
        <f t="shared" si="18"/>
        <v>2991.9569999999999</v>
      </c>
      <c r="M96" s="32">
        <f t="shared" si="18"/>
        <v>0</v>
      </c>
      <c r="N96" s="32">
        <f t="shared" si="18"/>
        <v>0</v>
      </c>
      <c r="O96" s="32">
        <f t="shared" si="18"/>
        <v>0</v>
      </c>
      <c r="P96" s="32">
        <f t="shared" si="18"/>
        <v>0</v>
      </c>
      <c r="Q96" s="32">
        <f t="shared" si="18"/>
        <v>0</v>
      </c>
      <c r="R96" s="24">
        <f t="shared" si="18"/>
        <v>0</v>
      </c>
    </row>
    <row r="97" spans="2:18" x14ac:dyDescent="0.45">
      <c r="B97" s="42" t="s">
        <v>322</v>
      </c>
      <c r="C97" s="32"/>
      <c r="D97" s="32">
        <f t="shared" ref="D97:R97" si="19">D101</f>
        <v>-195.512</v>
      </c>
      <c r="E97" s="32">
        <f t="shared" si="19"/>
        <v>-226.96799999999996</v>
      </c>
      <c r="F97" s="32">
        <f t="shared" si="19"/>
        <v>-326.08900000000006</v>
      </c>
      <c r="G97" s="32">
        <f t="shared" si="19"/>
        <v>-459.17500000000001</v>
      </c>
      <c r="H97" s="32">
        <f t="shared" si="19"/>
        <v>-655.21599999999989</v>
      </c>
      <c r="I97" s="32">
        <f t="shared" si="19"/>
        <v>10322.35</v>
      </c>
      <c r="J97" s="32">
        <f t="shared" si="19"/>
        <v>7954.893</v>
      </c>
      <c r="K97" s="32">
        <f t="shared" si="19"/>
        <v>-4359.8069999999998</v>
      </c>
      <c r="L97" s="32">
        <f t="shared" si="19"/>
        <v>-3292.4479999999999</v>
      </c>
      <c r="M97" s="32">
        <f t="shared" si="19"/>
        <v>0</v>
      </c>
      <c r="N97" s="32">
        <f t="shared" si="19"/>
        <v>0</v>
      </c>
      <c r="O97" s="32">
        <f t="shared" si="19"/>
        <v>0</v>
      </c>
      <c r="P97" s="32">
        <f t="shared" si="19"/>
        <v>0</v>
      </c>
      <c r="Q97" s="32">
        <f t="shared" si="19"/>
        <v>0</v>
      </c>
      <c r="R97" s="24">
        <f t="shared" si="19"/>
        <v>0</v>
      </c>
    </row>
    <row r="98" spans="2:18" x14ac:dyDescent="0.45">
      <c r="B98" s="47" t="s">
        <v>323</v>
      </c>
      <c r="D98" s="24">
        <f t="shared" ref="D98:R98" si="20">D18</f>
        <v>-195.512</v>
      </c>
      <c r="E98" s="24">
        <f t="shared" si="20"/>
        <v>-226.96799999999996</v>
      </c>
      <c r="F98" s="24">
        <f t="shared" si="20"/>
        <v>-326.08900000000006</v>
      </c>
      <c r="G98" s="24">
        <f t="shared" si="20"/>
        <v>-459.17500000000001</v>
      </c>
      <c r="H98" s="24">
        <f t="shared" si="20"/>
        <v>-655.21599999999989</v>
      </c>
      <c r="I98" s="24">
        <f t="shared" si="20"/>
        <v>10322.35</v>
      </c>
      <c r="J98" s="24">
        <f t="shared" si="20"/>
        <v>7954.893</v>
      </c>
      <c r="K98" s="24">
        <f t="shared" si="20"/>
        <v>-4359.8069999999998</v>
      </c>
      <c r="L98" s="24">
        <f t="shared" si="20"/>
        <v>-3292.4479999999999</v>
      </c>
      <c r="M98" s="24">
        <f t="shared" si="20"/>
        <v>0</v>
      </c>
      <c r="N98" s="24">
        <f t="shared" si="20"/>
        <v>0</v>
      </c>
      <c r="O98" s="24">
        <f t="shared" si="20"/>
        <v>0</v>
      </c>
      <c r="P98" s="24">
        <f t="shared" si="20"/>
        <v>0</v>
      </c>
      <c r="Q98" s="24">
        <f t="shared" si="20"/>
        <v>0</v>
      </c>
      <c r="R98" s="24">
        <f t="shared" si="20"/>
        <v>0</v>
      </c>
    </row>
    <row r="99" spans="2:18" x14ac:dyDescent="0.45">
      <c r="B99" s="59" t="s">
        <v>324</v>
      </c>
      <c r="D99" s="24">
        <f t="shared" ref="D99:R99" si="21">-D106</f>
        <v>0</v>
      </c>
      <c r="E99" s="24">
        <f t="shared" si="21"/>
        <v>0</v>
      </c>
      <c r="F99" s="24">
        <f t="shared" si="21"/>
        <v>0</v>
      </c>
      <c r="G99" s="24">
        <f t="shared" si="21"/>
        <v>0</v>
      </c>
      <c r="H99" s="24">
        <f t="shared" si="21"/>
        <v>0</v>
      </c>
      <c r="I99" s="24">
        <f t="shared" si="21"/>
        <v>0</v>
      </c>
      <c r="J99" s="24">
        <f t="shared" si="21"/>
        <v>0</v>
      </c>
      <c r="K99" s="24">
        <f t="shared" si="21"/>
        <v>0</v>
      </c>
      <c r="L99" s="24">
        <f t="shared" si="21"/>
        <v>0</v>
      </c>
      <c r="M99" s="24">
        <f t="shared" si="21"/>
        <v>0</v>
      </c>
      <c r="N99" s="24">
        <f t="shared" si="21"/>
        <v>0</v>
      </c>
      <c r="O99" s="24">
        <f t="shared" si="21"/>
        <v>0</v>
      </c>
      <c r="P99" s="24">
        <f t="shared" si="21"/>
        <v>0</v>
      </c>
      <c r="Q99" s="24">
        <f t="shared" si="21"/>
        <v>0</v>
      </c>
      <c r="R99" s="24">
        <f t="shared" si="21"/>
        <v>0</v>
      </c>
    </row>
    <row r="100" spans="2:18" x14ac:dyDescent="0.45">
      <c r="B100" s="59" t="s">
        <v>325</v>
      </c>
      <c r="C100" s="27"/>
      <c r="D100" s="27">
        <f t="shared" ref="D100:R100" si="22">D110</f>
        <v>0</v>
      </c>
      <c r="E100" s="27">
        <f t="shared" si="22"/>
        <v>0</v>
      </c>
      <c r="F100" s="27">
        <f t="shared" si="22"/>
        <v>0</v>
      </c>
      <c r="G100" s="27">
        <f t="shared" si="22"/>
        <v>0</v>
      </c>
      <c r="H100" s="27">
        <f t="shared" si="22"/>
        <v>0</v>
      </c>
      <c r="I100" s="27">
        <f t="shared" si="22"/>
        <v>0</v>
      </c>
      <c r="J100" s="27">
        <f t="shared" si="22"/>
        <v>0</v>
      </c>
      <c r="K100" s="27">
        <f t="shared" si="22"/>
        <v>0</v>
      </c>
      <c r="L100" s="27">
        <f t="shared" si="22"/>
        <v>0</v>
      </c>
      <c r="M100" s="27">
        <f t="shared" si="22"/>
        <v>0</v>
      </c>
      <c r="N100" s="27">
        <f t="shared" si="22"/>
        <v>0</v>
      </c>
      <c r="O100" s="27">
        <f t="shared" si="22"/>
        <v>0</v>
      </c>
      <c r="P100" s="27">
        <f t="shared" si="22"/>
        <v>0</v>
      </c>
      <c r="Q100" s="27">
        <f t="shared" si="22"/>
        <v>0</v>
      </c>
      <c r="R100" s="24">
        <f t="shared" si="22"/>
        <v>0</v>
      </c>
    </row>
    <row r="101" spans="2:18" x14ac:dyDescent="0.45">
      <c r="B101" s="60" t="s">
        <v>326</v>
      </c>
      <c r="C101" s="32"/>
      <c r="D101" s="32">
        <f t="shared" ref="D101:R101" si="23">SUM(D98:D100)</f>
        <v>-195.512</v>
      </c>
      <c r="E101" s="32">
        <f t="shared" si="23"/>
        <v>-226.96799999999996</v>
      </c>
      <c r="F101" s="32">
        <f t="shared" si="23"/>
        <v>-326.08900000000006</v>
      </c>
      <c r="G101" s="32">
        <f t="shared" si="23"/>
        <v>-459.17500000000001</v>
      </c>
      <c r="H101" s="32">
        <f t="shared" si="23"/>
        <v>-655.21599999999989</v>
      </c>
      <c r="I101" s="32">
        <f t="shared" si="23"/>
        <v>10322.35</v>
      </c>
      <c r="J101" s="32">
        <f t="shared" si="23"/>
        <v>7954.893</v>
      </c>
      <c r="K101" s="32">
        <f t="shared" si="23"/>
        <v>-4359.8069999999998</v>
      </c>
      <c r="L101" s="32">
        <f t="shared" si="23"/>
        <v>-3292.4479999999999</v>
      </c>
      <c r="M101" s="32">
        <f t="shared" si="23"/>
        <v>0</v>
      </c>
      <c r="N101" s="32">
        <f t="shared" si="23"/>
        <v>0</v>
      </c>
      <c r="O101" s="32">
        <f t="shared" si="23"/>
        <v>0</v>
      </c>
      <c r="P101" s="32">
        <f t="shared" si="23"/>
        <v>0</v>
      </c>
      <c r="Q101" s="32">
        <f t="shared" si="23"/>
        <v>0</v>
      </c>
      <c r="R101" s="24">
        <f t="shared" si="23"/>
        <v>0</v>
      </c>
    </row>
    <row r="102" spans="2:18" x14ac:dyDescent="0.45">
      <c r="B102" s="42" t="s">
        <v>327</v>
      </c>
      <c r="C102" s="28"/>
      <c r="D102" s="28">
        <f t="shared" ref="D102:R102" si="24">D105</f>
        <v>0</v>
      </c>
      <c r="E102" s="28">
        <f t="shared" si="24"/>
        <v>0</v>
      </c>
      <c r="F102" s="28">
        <f t="shared" si="24"/>
        <v>0</v>
      </c>
      <c r="G102" s="28">
        <f t="shared" si="24"/>
        <v>0</v>
      </c>
      <c r="H102" s="28">
        <f t="shared" si="24"/>
        <v>0</v>
      </c>
      <c r="I102" s="28">
        <f t="shared" si="24"/>
        <v>0</v>
      </c>
      <c r="J102" s="28">
        <f t="shared" si="24"/>
        <v>0</v>
      </c>
      <c r="K102" s="28">
        <f t="shared" si="24"/>
        <v>0</v>
      </c>
      <c r="L102" s="28">
        <f t="shared" si="24"/>
        <v>0</v>
      </c>
      <c r="M102" s="28">
        <f t="shared" si="24"/>
        <v>0</v>
      </c>
      <c r="N102" s="28">
        <f t="shared" si="24"/>
        <v>0</v>
      </c>
      <c r="O102" s="28">
        <f t="shared" si="24"/>
        <v>0</v>
      </c>
      <c r="P102" s="28">
        <f t="shared" si="24"/>
        <v>0</v>
      </c>
      <c r="Q102" s="28">
        <f t="shared" si="24"/>
        <v>0</v>
      </c>
      <c r="R102" s="24">
        <f t="shared" si="24"/>
        <v>0</v>
      </c>
    </row>
    <row r="103" spans="2:18" x14ac:dyDescent="0.45">
      <c r="B103" s="47" t="s">
        <v>328</v>
      </c>
      <c r="D103" s="24">
        <f t="shared" ref="D103:R103" si="25">-D13</f>
        <v>2.3239999999999998</v>
      </c>
      <c r="E103" s="24">
        <f t="shared" si="25"/>
        <v>1.5459999999999998</v>
      </c>
      <c r="F103" s="24">
        <f t="shared" si="25"/>
        <v>-4.1790000000000003</v>
      </c>
      <c r="G103" s="24">
        <f t="shared" si="25"/>
        <v>7.1470000000000002</v>
      </c>
      <c r="H103" s="24">
        <f t="shared" si="25"/>
        <v>-3.5089999999999999</v>
      </c>
      <c r="I103" s="24">
        <f t="shared" si="25"/>
        <v>10.151</v>
      </c>
      <c r="J103" s="24">
        <f t="shared" si="25"/>
        <v>15.221</v>
      </c>
      <c r="K103" s="24">
        <f t="shared" si="25"/>
        <v>79.538000000000011</v>
      </c>
      <c r="L103" s="24">
        <f t="shared" si="25"/>
        <v>58.249000000000002</v>
      </c>
      <c r="M103" s="24">
        <f t="shared" si="25"/>
        <v>0</v>
      </c>
      <c r="N103" s="24">
        <f t="shared" si="25"/>
        <v>0</v>
      </c>
      <c r="O103" s="24">
        <f t="shared" si="25"/>
        <v>0</v>
      </c>
      <c r="P103" s="24">
        <f t="shared" si="25"/>
        <v>0</v>
      </c>
      <c r="Q103" s="24">
        <f t="shared" si="25"/>
        <v>0</v>
      </c>
      <c r="R103" s="24">
        <f t="shared" si="25"/>
        <v>0</v>
      </c>
    </row>
    <row r="104" spans="2:18" x14ac:dyDescent="0.45">
      <c r="B104" s="47" t="s">
        <v>329</v>
      </c>
      <c r="C104" s="68"/>
      <c r="D104" s="68">
        <f t="shared" ref="D104:L104" si="26">$C$4</f>
        <v>0</v>
      </c>
      <c r="E104" s="68">
        <f t="shared" si="26"/>
        <v>0</v>
      </c>
      <c r="F104" s="68">
        <f t="shared" si="26"/>
        <v>0</v>
      </c>
      <c r="G104" s="68">
        <f t="shared" si="26"/>
        <v>0</v>
      </c>
      <c r="H104" s="68">
        <f t="shared" si="26"/>
        <v>0</v>
      </c>
      <c r="I104" s="68">
        <f t="shared" si="26"/>
        <v>0</v>
      </c>
      <c r="J104" s="68">
        <f t="shared" si="26"/>
        <v>0</v>
      </c>
      <c r="K104" s="68">
        <f t="shared" si="26"/>
        <v>0</v>
      </c>
      <c r="L104" s="68">
        <f t="shared" si="26"/>
        <v>0</v>
      </c>
      <c r="M104" s="27"/>
      <c r="N104" s="27"/>
      <c r="O104" s="27"/>
      <c r="P104" s="27"/>
      <c r="Q104" s="27"/>
    </row>
    <row r="105" spans="2:18" x14ac:dyDescent="0.45">
      <c r="B105" s="60" t="s">
        <v>330</v>
      </c>
      <c r="C105" s="32"/>
      <c r="D105" s="32">
        <f t="shared" ref="D105:R105" si="27">D104*D103</f>
        <v>0</v>
      </c>
      <c r="E105" s="32">
        <f t="shared" si="27"/>
        <v>0</v>
      </c>
      <c r="F105" s="32">
        <f t="shared" si="27"/>
        <v>0</v>
      </c>
      <c r="G105" s="32">
        <f t="shared" si="27"/>
        <v>0</v>
      </c>
      <c r="H105" s="32">
        <f t="shared" si="27"/>
        <v>0</v>
      </c>
      <c r="I105" s="32">
        <f t="shared" si="27"/>
        <v>0</v>
      </c>
      <c r="J105" s="32">
        <f t="shared" si="27"/>
        <v>0</v>
      </c>
      <c r="K105" s="32">
        <f t="shared" si="27"/>
        <v>0</v>
      </c>
      <c r="L105" s="32">
        <f t="shared" si="27"/>
        <v>0</v>
      </c>
      <c r="M105" s="32">
        <f t="shared" si="27"/>
        <v>0</v>
      </c>
      <c r="N105" s="32">
        <f t="shared" si="27"/>
        <v>0</v>
      </c>
      <c r="O105" s="32">
        <f t="shared" si="27"/>
        <v>0</v>
      </c>
      <c r="P105" s="32">
        <f t="shared" si="27"/>
        <v>0</v>
      </c>
      <c r="Q105" s="32">
        <f t="shared" si="27"/>
        <v>0</v>
      </c>
      <c r="R105" s="24">
        <f t="shared" si="27"/>
        <v>0</v>
      </c>
    </row>
    <row r="106" spans="2:18" x14ac:dyDescent="0.45">
      <c r="B106" s="61" t="s">
        <v>331</v>
      </c>
      <c r="C106" s="28"/>
      <c r="D106" s="28">
        <f t="shared" ref="D106:R106" si="28">D109</f>
        <v>0</v>
      </c>
      <c r="E106" s="28">
        <f t="shared" si="28"/>
        <v>0</v>
      </c>
      <c r="F106" s="28">
        <f t="shared" si="28"/>
        <v>0</v>
      </c>
      <c r="G106" s="28">
        <f t="shared" si="28"/>
        <v>0</v>
      </c>
      <c r="H106" s="28">
        <f t="shared" si="28"/>
        <v>0</v>
      </c>
      <c r="I106" s="28">
        <f t="shared" si="28"/>
        <v>0</v>
      </c>
      <c r="J106" s="28">
        <f t="shared" si="28"/>
        <v>0</v>
      </c>
      <c r="K106" s="28">
        <f t="shared" si="28"/>
        <v>0</v>
      </c>
      <c r="L106" s="28">
        <f t="shared" si="28"/>
        <v>0</v>
      </c>
      <c r="M106" s="28">
        <f t="shared" si="28"/>
        <v>0</v>
      </c>
      <c r="N106" s="28">
        <f t="shared" si="28"/>
        <v>0</v>
      </c>
      <c r="O106" s="28">
        <f t="shared" si="28"/>
        <v>0</v>
      </c>
      <c r="P106" s="28">
        <f t="shared" si="28"/>
        <v>0</v>
      </c>
      <c r="Q106" s="28">
        <f t="shared" si="28"/>
        <v>0</v>
      </c>
      <c r="R106" s="24">
        <f t="shared" si="28"/>
        <v>0</v>
      </c>
    </row>
    <row r="107" spans="2:18" x14ac:dyDescent="0.45">
      <c r="B107" s="47" t="s">
        <v>332</v>
      </c>
      <c r="D107" s="24">
        <f t="shared" ref="D107:R107" si="29">D12+D14</f>
        <v>10.228999999999999</v>
      </c>
      <c r="E107" s="24">
        <f t="shared" si="29"/>
        <v>13.512</v>
      </c>
      <c r="F107" s="24">
        <f t="shared" si="29"/>
        <v>22.904</v>
      </c>
      <c r="G107" s="24">
        <f t="shared" si="29"/>
        <v>34.840000000000003</v>
      </c>
      <c r="H107" s="24">
        <f t="shared" si="29"/>
        <v>21.928000000000001</v>
      </c>
      <c r="I107" s="24">
        <f t="shared" si="29"/>
        <v>15.227</v>
      </c>
      <c r="J107" s="24">
        <f t="shared" si="29"/>
        <v>190.26300000000001</v>
      </c>
      <c r="K107" s="24">
        <f t="shared" si="29"/>
        <v>389.36799999999999</v>
      </c>
      <c r="L107" s="24">
        <f t="shared" si="29"/>
        <v>392.94900000000001</v>
      </c>
      <c r="M107" s="24">
        <f t="shared" si="29"/>
        <v>0</v>
      </c>
      <c r="N107" s="24">
        <f t="shared" si="29"/>
        <v>0</v>
      </c>
      <c r="O107" s="24">
        <f t="shared" si="29"/>
        <v>0</v>
      </c>
      <c r="P107" s="24">
        <f t="shared" si="29"/>
        <v>0</v>
      </c>
      <c r="Q107" s="24">
        <f t="shared" si="29"/>
        <v>0</v>
      </c>
      <c r="R107" s="24">
        <f t="shared" si="29"/>
        <v>0</v>
      </c>
    </row>
    <row r="108" spans="2:18" x14ac:dyDescent="0.45">
      <c r="B108" s="47" t="s">
        <v>329</v>
      </c>
      <c r="C108" s="68"/>
      <c r="D108" s="68">
        <f t="shared" ref="D108:L108" si="30">$C$4</f>
        <v>0</v>
      </c>
      <c r="E108" s="68">
        <f t="shared" si="30"/>
        <v>0</v>
      </c>
      <c r="F108" s="68">
        <f t="shared" si="30"/>
        <v>0</v>
      </c>
      <c r="G108" s="68">
        <f t="shared" si="30"/>
        <v>0</v>
      </c>
      <c r="H108" s="68">
        <f t="shared" si="30"/>
        <v>0</v>
      </c>
      <c r="I108" s="68">
        <f t="shared" si="30"/>
        <v>0</v>
      </c>
      <c r="J108" s="68">
        <f t="shared" si="30"/>
        <v>0</v>
      </c>
      <c r="K108" s="68">
        <f t="shared" si="30"/>
        <v>0</v>
      </c>
      <c r="L108" s="68">
        <f t="shared" si="30"/>
        <v>0</v>
      </c>
      <c r="M108" s="27"/>
      <c r="N108" s="27"/>
      <c r="O108" s="27"/>
      <c r="P108" s="27"/>
      <c r="Q108" s="27"/>
    </row>
    <row r="109" spans="2:18" x14ac:dyDescent="0.45">
      <c r="B109" s="60" t="s">
        <v>333</v>
      </c>
      <c r="C109" s="32"/>
      <c r="D109" s="32">
        <f t="shared" ref="D109:R109" si="31">D108*D107</f>
        <v>0</v>
      </c>
      <c r="E109" s="32">
        <f t="shared" si="31"/>
        <v>0</v>
      </c>
      <c r="F109" s="32">
        <f t="shared" si="31"/>
        <v>0</v>
      </c>
      <c r="G109" s="32">
        <f t="shared" si="31"/>
        <v>0</v>
      </c>
      <c r="H109" s="32">
        <f t="shared" si="31"/>
        <v>0</v>
      </c>
      <c r="I109" s="32">
        <f t="shared" si="31"/>
        <v>0</v>
      </c>
      <c r="J109" s="32">
        <f t="shared" si="31"/>
        <v>0</v>
      </c>
      <c r="K109" s="32">
        <f t="shared" si="31"/>
        <v>0</v>
      </c>
      <c r="L109" s="32">
        <f t="shared" si="31"/>
        <v>0</v>
      </c>
      <c r="M109" s="32">
        <f t="shared" si="31"/>
        <v>0</v>
      </c>
      <c r="N109" s="32">
        <f t="shared" si="31"/>
        <v>0</v>
      </c>
      <c r="O109" s="32">
        <f t="shared" si="31"/>
        <v>0</v>
      </c>
      <c r="P109" s="32">
        <f t="shared" si="31"/>
        <v>0</v>
      </c>
      <c r="Q109" s="32">
        <f t="shared" si="31"/>
        <v>0</v>
      </c>
      <c r="R109" s="24">
        <f t="shared" si="31"/>
        <v>0</v>
      </c>
    </row>
    <row r="110" spans="2:18" x14ac:dyDescent="0.45">
      <c r="B110" s="42" t="s">
        <v>334</v>
      </c>
      <c r="C110" s="28"/>
      <c r="D110" s="28">
        <f t="shared" ref="D110:R110" si="32">D113</f>
        <v>0</v>
      </c>
      <c r="E110" s="28">
        <f t="shared" si="32"/>
        <v>0</v>
      </c>
      <c r="F110" s="28">
        <f t="shared" si="32"/>
        <v>0</v>
      </c>
      <c r="G110" s="28">
        <f t="shared" si="32"/>
        <v>0</v>
      </c>
      <c r="H110" s="28">
        <f t="shared" si="32"/>
        <v>0</v>
      </c>
      <c r="I110" s="28">
        <f t="shared" si="32"/>
        <v>0</v>
      </c>
      <c r="J110" s="28">
        <f t="shared" si="32"/>
        <v>0</v>
      </c>
      <c r="K110" s="28">
        <f t="shared" si="32"/>
        <v>0</v>
      </c>
      <c r="L110" s="28">
        <f t="shared" si="32"/>
        <v>0</v>
      </c>
      <c r="M110" s="28">
        <f t="shared" si="32"/>
        <v>0</v>
      </c>
      <c r="N110" s="28">
        <f t="shared" si="32"/>
        <v>0</v>
      </c>
      <c r="O110" s="28">
        <f t="shared" si="32"/>
        <v>0</v>
      </c>
      <c r="P110" s="28">
        <f t="shared" si="32"/>
        <v>0</v>
      </c>
      <c r="Q110" s="28">
        <f t="shared" si="32"/>
        <v>0</v>
      </c>
      <c r="R110" s="24">
        <f t="shared" si="32"/>
        <v>0</v>
      </c>
    </row>
    <row r="111" spans="2:18" x14ac:dyDescent="0.45">
      <c r="B111" s="47" t="s">
        <v>335</v>
      </c>
      <c r="D111" s="24">
        <f t="shared" ref="D111:R111" si="33">-(D15)</f>
        <v>0.126</v>
      </c>
      <c r="E111" s="24">
        <f t="shared" si="33"/>
        <v>0.11700000000000001</v>
      </c>
      <c r="F111" s="24">
        <f t="shared" si="33"/>
        <v>2.6240000000000001</v>
      </c>
      <c r="G111" s="24">
        <f t="shared" si="33"/>
        <v>0</v>
      </c>
      <c r="H111" s="24">
        <f t="shared" si="33"/>
        <v>8.7710000000000008</v>
      </c>
      <c r="I111" s="24">
        <f t="shared" si="33"/>
        <v>14.381</v>
      </c>
      <c r="J111" s="24">
        <f t="shared" si="33"/>
        <v>27.588000000000001</v>
      </c>
      <c r="K111" s="24">
        <f t="shared" si="33"/>
        <v>35.145000000000003</v>
      </c>
      <c r="L111" s="24">
        <f t="shared" si="33"/>
        <v>22.19</v>
      </c>
      <c r="M111" s="24">
        <f t="shared" si="33"/>
        <v>0</v>
      </c>
      <c r="N111" s="24">
        <f t="shared" si="33"/>
        <v>0</v>
      </c>
      <c r="O111" s="24">
        <f t="shared" si="33"/>
        <v>0</v>
      </c>
      <c r="P111" s="24">
        <f t="shared" si="33"/>
        <v>0</v>
      </c>
      <c r="Q111" s="24">
        <f t="shared" si="33"/>
        <v>0</v>
      </c>
      <c r="R111" s="24">
        <f t="shared" si="33"/>
        <v>0</v>
      </c>
    </row>
    <row r="112" spans="2:18" x14ac:dyDescent="0.45">
      <c r="B112" s="47" t="s">
        <v>329</v>
      </c>
      <c r="C112" s="68"/>
      <c r="D112" s="68">
        <f t="shared" ref="D112:L112" si="34">$C$4</f>
        <v>0</v>
      </c>
      <c r="E112" s="68">
        <f t="shared" si="34"/>
        <v>0</v>
      </c>
      <c r="F112" s="68">
        <f t="shared" si="34"/>
        <v>0</v>
      </c>
      <c r="G112" s="68">
        <f t="shared" si="34"/>
        <v>0</v>
      </c>
      <c r="H112" s="68">
        <f t="shared" si="34"/>
        <v>0</v>
      </c>
      <c r="I112" s="68">
        <f t="shared" si="34"/>
        <v>0</v>
      </c>
      <c r="J112" s="68">
        <f t="shared" si="34"/>
        <v>0</v>
      </c>
      <c r="K112" s="68">
        <f t="shared" si="34"/>
        <v>0</v>
      </c>
      <c r="L112" s="68">
        <f t="shared" si="34"/>
        <v>0</v>
      </c>
      <c r="M112" s="27"/>
      <c r="N112" s="27"/>
      <c r="O112" s="27"/>
      <c r="P112" s="27"/>
      <c r="Q112" s="27"/>
    </row>
    <row r="113" spans="1:18" x14ac:dyDescent="0.45">
      <c r="B113" s="60" t="s">
        <v>336</v>
      </c>
      <c r="C113" s="32"/>
      <c r="D113" s="32">
        <f t="shared" ref="D113:R113" si="35">D112*D111</f>
        <v>0</v>
      </c>
      <c r="E113" s="32">
        <f t="shared" si="35"/>
        <v>0</v>
      </c>
      <c r="F113" s="32">
        <f t="shared" si="35"/>
        <v>0</v>
      </c>
      <c r="G113" s="32">
        <f t="shared" si="35"/>
        <v>0</v>
      </c>
      <c r="H113" s="32">
        <f t="shared" si="35"/>
        <v>0</v>
      </c>
      <c r="I113" s="32">
        <f t="shared" si="35"/>
        <v>0</v>
      </c>
      <c r="J113" s="32">
        <f t="shared" si="35"/>
        <v>0</v>
      </c>
      <c r="K113" s="32">
        <f t="shared" si="35"/>
        <v>0</v>
      </c>
      <c r="L113" s="32">
        <f t="shared" si="35"/>
        <v>0</v>
      </c>
      <c r="M113" s="32">
        <f t="shared" si="35"/>
        <v>0</v>
      </c>
      <c r="N113" s="32">
        <f t="shared" si="35"/>
        <v>0</v>
      </c>
      <c r="O113" s="32">
        <f t="shared" si="35"/>
        <v>0</v>
      </c>
      <c r="P113" s="32">
        <f t="shared" si="35"/>
        <v>0</v>
      </c>
      <c r="Q113" s="32">
        <f t="shared" si="35"/>
        <v>0</v>
      </c>
      <c r="R113" s="24">
        <f t="shared" si="35"/>
        <v>0</v>
      </c>
    </row>
    <row r="114" spans="1:18" ht="14.65" thickBot="1" x14ac:dyDescent="0.5">
      <c r="B114" s="52" t="s">
        <v>337</v>
      </c>
      <c r="C114" s="44"/>
      <c r="D114" s="44">
        <f t="shared" ref="D114:R114" si="36">D101+D106-D110</f>
        <v>-195.512</v>
      </c>
      <c r="E114" s="44">
        <f t="shared" si="36"/>
        <v>-226.96799999999996</v>
      </c>
      <c r="F114" s="44">
        <f t="shared" si="36"/>
        <v>-326.08900000000006</v>
      </c>
      <c r="G114" s="44">
        <f t="shared" si="36"/>
        <v>-459.17500000000001</v>
      </c>
      <c r="H114" s="44">
        <f t="shared" si="36"/>
        <v>-655.21599999999989</v>
      </c>
      <c r="I114" s="44">
        <f t="shared" si="36"/>
        <v>10322.35</v>
      </c>
      <c r="J114" s="44">
        <f t="shared" si="36"/>
        <v>7954.893</v>
      </c>
      <c r="K114" s="44">
        <f t="shared" si="36"/>
        <v>-4359.8069999999998</v>
      </c>
      <c r="L114" s="44">
        <f t="shared" si="36"/>
        <v>-3292.4479999999999</v>
      </c>
      <c r="M114" s="44">
        <f t="shared" si="36"/>
        <v>0</v>
      </c>
      <c r="N114" s="44">
        <f t="shared" si="36"/>
        <v>0</v>
      </c>
      <c r="O114" s="44">
        <f t="shared" si="36"/>
        <v>0</v>
      </c>
      <c r="P114" s="44">
        <f t="shared" si="36"/>
        <v>0</v>
      </c>
      <c r="Q114" s="44">
        <f t="shared" si="36"/>
        <v>0</v>
      </c>
      <c r="R114" s="24">
        <f t="shared" si="36"/>
        <v>0</v>
      </c>
    </row>
    <row r="115" spans="1:18" ht="15" thickTop="1" thickBot="1" x14ac:dyDescent="0.5">
      <c r="B115" s="34"/>
    </row>
    <row r="116" spans="1:18" ht="14.65" thickTop="1" x14ac:dyDescent="0.45">
      <c r="A116" s="24" t="s">
        <v>14</v>
      </c>
      <c r="B116" s="57" t="s">
        <v>338</v>
      </c>
      <c r="C116" s="58"/>
      <c r="D116" s="58"/>
      <c r="E116" s="58"/>
      <c r="F116" s="58"/>
      <c r="G116" s="58"/>
      <c r="H116" s="58"/>
      <c r="I116" s="58"/>
      <c r="J116" s="58"/>
      <c r="K116" s="58"/>
      <c r="L116" s="58"/>
      <c r="M116" s="58"/>
      <c r="N116" s="58"/>
      <c r="O116" s="58"/>
      <c r="P116" s="58"/>
      <c r="Q116" s="58"/>
    </row>
    <row r="117" spans="1:18" x14ac:dyDescent="0.45">
      <c r="B117" s="42" t="s">
        <v>339</v>
      </c>
    </row>
    <row r="118" spans="1:18" x14ac:dyDescent="0.45">
      <c r="B118" s="47" t="s">
        <v>340</v>
      </c>
      <c r="D118" s="24">
        <f t="shared" ref="D118:R118" si="37">MIN(D3*D9,D46)</f>
        <v>0</v>
      </c>
      <c r="E118" s="24">
        <f t="shared" si="37"/>
        <v>9.1271500000000003</v>
      </c>
      <c r="F118" s="24">
        <f t="shared" si="37"/>
        <v>5.7240000000000002</v>
      </c>
      <c r="G118" s="24">
        <f t="shared" si="37"/>
        <v>2.68</v>
      </c>
      <c r="H118" s="24">
        <f t="shared" si="37"/>
        <v>35.216799999999999</v>
      </c>
      <c r="I118" s="24">
        <f t="shared" si="37"/>
        <v>781.28224999999998</v>
      </c>
      <c r="J118" s="24">
        <f t="shared" si="37"/>
        <v>916.25869999999998</v>
      </c>
      <c r="K118" s="24">
        <f t="shared" si="37"/>
        <v>316.67325000000005</v>
      </c>
      <c r="L118" s="24">
        <f t="shared" si="37"/>
        <v>149.59784999999999</v>
      </c>
      <c r="M118" s="24">
        <f t="shared" si="37"/>
        <v>0</v>
      </c>
      <c r="N118" s="24">
        <f t="shared" si="37"/>
        <v>0</v>
      </c>
      <c r="O118" s="24">
        <f t="shared" si="37"/>
        <v>0</v>
      </c>
      <c r="P118" s="24">
        <f t="shared" si="37"/>
        <v>0</v>
      </c>
      <c r="Q118" s="24">
        <f t="shared" si="37"/>
        <v>0</v>
      </c>
      <c r="R118" s="24">
        <f t="shared" si="37"/>
        <v>0</v>
      </c>
    </row>
    <row r="119" spans="1:18" x14ac:dyDescent="0.45">
      <c r="B119" s="59" t="s">
        <v>341</v>
      </c>
      <c r="D119" s="24">
        <f t="shared" ref="D119:R119" si="38">D44</f>
        <v>12.823</v>
      </c>
      <c r="E119" s="24">
        <f t="shared" si="38"/>
        <v>11.173999999999999</v>
      </c>
      <c r="F119" s="24">
        <f t="shared" si="38"/>
        <v>10.992000000000001</v>
      </c>
      <c r="G119" s="24">
        <f t="shared" si="38"/>
        <v>4.7839999999999998</v>
      </c>
      <c r="H119" s="24">
        <f t="shared" si="38"/>
        <v>1137.143</v>
      </c>
      <c r="I119" s="24">
        <f t="shared" si="38"/>
        <v>2791.7779999999998</v>
      </c>
      <c r="J119" s="24">
        <f t="shared" si="38"/>
        <v>1329.6299999999999</v>
      </c>
      <c r="K119" s="24">
        <f t="shared" si="38"/>
        <v>806.99199999999996</v>
      </c>
      <c r="L119" s="24">
        <f t="shared" si="38"/>
        <v>345.79199999999997</v>
      </c>
      <c r="M119" s="24">
        <f t="shared" si="38"/>
        <v>0</v>
      </c>
      <c r="N119" s="24">
        <f t="shared" si="38"/>
        <v>0</v>
      </c>
      <c r="O119" s="24">
        <f t="shared" si="38"/>
        <v>0</v>
      </c>
      <c r="P119" s="24">
        <f t="shared" si="38"/>
        <v>0</v>
      </c>
      <c r="Q119" s="24">
        <f t="shared" si="38"/>
        <v>0</v>
      </c>
      <c r="R119" s="24">
        <f t="shared" si="38"/>
        <v>0</v>
      </c>
    </row>
    <row r="120" spans="1:18" x14ac:dyDescent="0.45">
      <c r="B120" s="47" t="s">
        <v>342</v>
      </c>
      <c r="D120" s="24">
        <f t="shared" ref="D120:R120" si="39">D43</f>
        <v>0</v>
      </c>
      <c r="E120" s="24">
        <f t="shared" si="39"/>
        <v>0</v>
      </c>
      <c r="F120" s="24">
        <f t="shared" si="39"/>
        <v>0</v>
      </c>
      <c r="G120" s="24">
        <f t="shared" si="39"/>
        <v>0</v>
      </c>
      <c r="H120" s="24">
        <f t="shared" si="39"/>
        <v>38.423000000000002</v>
      </c>
      <c r="I120" s="24">
        <f t="shared" si="39"/>
        <v>1519.43</v>
      </c>
      <c r="J120" s="24">
        <f t="shared" si="39"/>
        <v>1092.8979999999999</v>
      </c>
      <c r="K120" s="24">
        <f t="shared" si="39"/>
        <v>182.749</v>
      </c>
      <c r="L120" s="24">
        <f t="shared" si="39"/>
        <v>113.01</v>
      </c>
      <c r="M120" s="24">
        <f t="shared" si="39"/>
        <v>0</v>
      </c>
      <c r="N120" s="24">
        <f t="shared" si="39"/>
        <v>0</v>
      </c>
      <c r="O120" s="24">
        <f t="shared" si="39"/>
        <v>0</v>
      </c>
      <c r="P120" s="24">
        <f t="shared" si="39"/>
        <v>0</v>
      </c>
      <c r="Q120" s="24">
        <f t="shared" si="39"/>
        <v>0</v>
      </c>
      <c r="R120" s="24">
        <f t="shared" si="39"/>
        <v>0</v>
      </c>
    </row>
    <row r="121" spans="1:18" x14ac:dyDescent="0.45">
      <c r="B121" s="47" t="s">
        <v>343</v>
      </c>
      <c r="D121" s="24">
        <f t="shared" ref="D121:R121" si="40">D45</f>
        <v>14.689</v>
      </c>
      <c r="E121" s="24">
        <f t="shared" si="40"/>
        <v>11.472999999999999</v>
      </c>
      <c r="F121" s="24">
        <f t="shared" si="40"/>
        <v>25.323</v>
      </c>
      <c r="G121" s="24">
        <f t="shared" si="40"/>
        <v>18.21</v>
      </c>
      <c r="H121" s="24">
        <f t="shared" si="40"/>
        <v>206.012</v>
      </c>
      <c r="I121" s="24">
        <f t="shared" si="40"/>
        <v>387.77099999999996</v>
      </c>
      <c r="J121" s="24">
        <f t="shared" si="40"/>
        <v>879.55799999999999</v>
      </c>
      <c r="K121" s="24">
        <f t="shared" si="40"/>
        <v>567.24600000000009</v>
      </c>
      <c r="L121" s="24">
        <f t="shared" si="40"/>
        <v>578.57499999999993</v>
      </c>
      <c r="M121" s="24">
        <f t="shared" si="40"/>
        <v>0</v>
      </c>
      <c r="N121" s="24">
        <f t="shared" si="40"/>
        <v>0</v>
      </c>
      <c r="O121" s="24">
        <f t="shared" si="40"/>
        <v>0</v>
      </c>
      <c r="P121" s="24">
        <f t="shared" si="40"/>
        <v>0</v>
      </c>
      <c r="Q121" s="24">
        <f t="shared" si="40"/>
        <v>0</v>
      </c>
      <c r="R121" s="24">
        <f t="shared" si="40"/>
        <v>0</v>
      </c>
    </row>
    <row r="122" spans="1:18" x14ac:dyDescent="0.45">
      <c r="B122" s="47" t="s">
        <v>344</v>
      </c>
      <c r="D122" s="24">
        <f t="shared" ref="D122:R122" si="41">D63</f>
        <v>26.698</v>
      </c>
      <c r="E122" s="24">
        <f t="shared" si="41"/>
        <v>17.260000000000002</v>
      </c>
      <c r="F122" s="24">
        <f t="shared" si="41"/>
        <v>27.259</v>
      </c>
      <c r="G122" s="24">
        <f t="shared" si="41"/>
        <v>6.3179999999999996</v>
      </c>
      <c r="H122" s="24">
        <f t="shared" si="41"/>
        <v>14.715</v>
      </c>
      <c r="I122" s="24">
        <f t="shared" si="41"/>
        <v>265.54899999999998</v>
      </c>
      <c r="J122" s="24">
        <f t="shared" si="41"/>
        <v>455.68599999999998</v>
      </c>
      <c r="K122" s="24">
        <f t="shared" si="41"/>
        <v>470.44400000000002</v>
      </c>
      <c r="L122" s="24">
        <f t="shared" si="41"/>
        <v>391.19</v>
      </c>
      <c r="M122" s="24">
        <f t="shared" si="41"/>
        <v>0</v>
      </c>
      <c r="N122" s="24">
        <f t="shared" si="41"/>
        <v>0</v>
      </c>
      <c r="O122" s="24">
        <f t="shared" si="41"/>
        <v>0</v>
      </c>
      <c r="P122" s="24">
        <f t="shared" si="41"/>
        <v>0</v>
      </c>
      <c r="Q122" s="24">
        <f t="shared" si="41"/>
        <v>0</v>
      </c>
      <c r="R122" s="24">
        <f t="shared" si="41"/>
        <v>0</v>
      </c>
    </row>
    <row r="123" spans="1:18" x14ac:dyDescent="0.45">
      <c r="B123" s="47" t="s">
        <v>345</v>
      </c>
      <c r="C123" s="27"/>
      <c r="D123" s="27">
        <f t="shared" ref="D123:R123" si="42">D64</f>
        <v>127.67100000000001</v>
      </c>
      <c r="E123" s="27">
        <f t="shared" si="42"/>
        <v>142.18900000000002</v>
      </c>
      <c r="F123" s="27">
        <f t="shared" si="42"/>
        <v>167.33799999999999</v>
      </c>
      <c r="G123" s="27">
        <f t="shared" si="42"/>
        <v>118.01900000000001</v>
      </c>
      <c r="H123" s="27">
        <f t="shared" si="42"/>
        <v>3548.768</v>
      </c>
      <c r="I123" s="27">
        <f t="shared" si="42"/>
        <v>7575.17</v>
      </c>
      <c r="J123" s="27">
        <f t="shared" si="42"/>
        <v>3967.3690000000001</v>
      </c>
      <c r="K123" s="27">
        <f t="shared" si="42"/>
        <v>2234.6090000000004</v>
      </c>
      <c r="L123" s="27">
        <f t="shared" si="42"/>
        <v>1703.848</v>
      </c>
      <c r="M123" s="27">
        <f t="shared" si="42"/>
        <v>0</v>
      </c>
      <c r="N123" s="27">
        <f t="shared" si="42"/>
        <v>0</v>
      </c>
      <c r="O123" s="27">
        <f t="shared" si="42"/>
        <v>0</v>
      </c>
      <c r="P123" s="27">
        <f t="shared" si="42"/>
        <v>0</v>
      </c>
      <c r="Q123" s="27">
        <f t="shared" si="42"/>
        <v>0</v>
      </c>
      <c r="R123" s="24">
        <f t="shared" si="42"/>
        <v>0</v>
      </c>
    </row>
    <row r="124" spans="1:18" x14ac:dyDescent="0.45">
      <c r="B124" s="60" t="s">
        <v>138</v>
      </c>
      <c r="C124" s="32"/>
      <c r="D124" s="32">
        <f t="shared" ref="D124:R124" si="43">SUM(D118:D121)-SUM(D122:D123)</f>
        <v>-126.857</v>
      </c>
      <c r="E124" s="32">
        <f t="shared" si="43"/>
        <v>-127.67485000000002</v>
      </c>
      <c r="F124" s="32">
        <f t="shared" si="43"/>
        <v>-152.55799999999999</v>
      </c>
      <c r="G124" s="32">
        <f t="shared" si="43"/>
        <v>-98.663000000000011</v>
      </c>
      <c r="H124" s="32">
        <f t="shared" si="43"/>
        <v>-2146.6882000000005</v>
      </c>
      <c r="I124" s="32">
        <f t="shared" si="43"/>
        <v>-2360.4577500000005</v>
      </c>
      <c r="J124" s="32">
        <f t="shared" si="43"/>
        <v>-204.71030000000064</v>
      </c>
      <c r="K124" s="32">
        <f t="shared" si="43"/>
        <v>-831.39275000000021</v>
      </c>
      <c r="L124" s="32">
        <f t="shared" si="43"/>
        <v>-908.06314999999995</v>
      </c>
      <c r="M124" s="32">
        <f t="shared" si="43"/>
        <v>0</v>
      </c>
      <c r="N124" s="32">
        <f t="shared" si="43"/>
        <v>0</v>
      </c>
      <c r="O124" s="32">
        <f t="shared" si="43"/>
        <v>0</v>
      </c>
      <c r="P124" s="32">
        <f t="shared" si="43"/>
        <v>0</v>
      </c>
      <c r="Q124" s="32">
        <f t="shared" si="43"/>
        <v>0</v>
      </c>
      <c r="R124" s="24">
        <f t="shared" si="43"/>
        <v>0</v>
      </c>
    </row>
    <row r="125" spans="1:18" x14ac:dyDescent="0.45">
      <c r="B125" s="62" t="s">
        <v>346</v>
      </c>
    </row>
    <row r="126" spans="1:18" x14ac:dyDescent="0.45">
      <c r="B126" s="47" t="s">
        <v>347</v>
      </c>
      <c r="D126" s="24">
        <f t="shared" ref="D126:R126" si="44">D37</f>
        <v>77</v>
      </c>
      <c r="E126" s="24">
        <f t="shared" si="44"/>
        <v>115.785</v>
      </c>
      <c r="F126" s="24">
        <f t="shared" si="44"/>
        <v>185.14099999999999</v>
      </c>
      <c r="G126" s="24">
        <f t="shared" si="44"/>
        <v>256.55599999999998</v>
      </c>
      <c r="H126" s="24">
        <f t="shared" si="44"/>
        <v>316.37299999999999</v>
      </c>
      <c r="I126" s="24">
        <f t="shared" si="44"/>
        <v>1216.0719999999999</v>
      </c>
      <c r="J126" s="24">
        <f t="shared" si="44"/>
        <v>2001.462</v>
      </c>
      <c r="K126" s="24">
        <f t="shared" si="44"/>
        <v>2404.6930000000002</v>
      </c>
      <c r="L126" s="24">
        <f t="shared" si="44"/>
        <v>2854.2350000000001</v>
      </c>
      <c r="M126" s="24">
        <f t="shared" si="44"/>
        <v>0</v>
      </c>
      <c r="N126" s="24">
        <f t="shared" si="44"/>
        <v>0</v>
      </c>
      <c r="O126" s="24">
        <f t="shared" si="44"/>
        <v>0</v>
      </c>
      <c r="P126" s="24">
        <f t="shared" si="44"/>
        <v>0</v>
      </c>
      <c r="Q126" s="24">
        <f t="shared" si="44"/>
        <v>0</v>
      </c>
      <c r="R126" s="24">
        <f t="shared" si="44"/>
        <v>0</v>
      </c>
    </row>
    <row r="127" spans="1:18" x14ac:dyDescent="0.45">
      <c r="B127" s="47" t="s">
        <v>348</v>
      </c>
      <c r="D127" s="24">
        <f t="shared" ref="D127:R127" si="45">D38</f>
        <v>11.599</v>
      </c>
      <c r="E127" s="24">
        <f t="shared" si="45"/>
        <v>13.645</v>
      </c>
      <c r="F127" s="24">
        <f t="shared" si="45"/>
        <v>12.381</v>
      </c>
      <c r="G127" s="24">
        <f t="shared" si="45"/>
        <v>11.337</v>
      </c>
      <c r="H127" s="24">
        <f t="shared" si="45"/>
        <v>10.628</v>
      </c>
      <c r="I127" s="24">
        <f t="shared" si="45"/>
        <v>40.448</v>
      </c>
      <c r="J127" s="24">
        <f t="shared" si="45"/>
        <v>885.17200000000003</v>
      </c>
      <c r="K127" s="24">
        <f t="shared" si="45"/>
        <v>633.29</v>
      </c>
      <c r="L127" s="24">
        <f t="shared" si="45"/>
        <v>560.22199999999998</v>
      </c>
      <c r="M127" s="24">
        <f t="shared" si="45"/>
        <v>0</v>
      </c>
      <c r="N127" s="24">
        <f t="shared" si="45"/>
        <v>0</v>
      </c>
      <c r="O127" s="24">
        <f t="shared" si="45"/>
        <v>0</v>
      </c>
      <c r="P127" s="24">
        <f t="shared" si="45"/>
        <v>0</v>
      </c>
      <c r="Q127" s="24">
        <f t="shared" si="45"/>
        <v>0</v>
      </c>
      <c r="R127" s="24">
        <f t="shared" si="45"/>
        <v>0</v>
      </c>
    </row>
    <row r="128" spans="1:18" x14ac:dyDescent="0.45">
      <c r="B128" s="47" t="s">
        <v>349</v>
      </c>
      <c r="D128" s="24">
        <f t="shared" ref="D128:R128" si="46">D59-D40</f>
        <v>0</v>
      </c>
      <c r="E128" s="24">
        <f t="shared" si="46"/>
        <v>0</v>
      </c>
      <c r="F128" s="24">
        <f t="shared" si="46"/>
        <v>0</v>
      </c>
      <c r="G128" s="24">
        <f t="shared" si="46"/>
        <v>0</v>
      </c>
      <c r="H128" s="24">
        <f t="shared" si="46"/>
        <v>0</v>
      </c>
      <c r="I128" s="24">
        <f t="shared" si="46"/>
        <v>-286.65199999999999</v>
      </c>
      <c r="J128" s="24">
        <f t="shared" si="46"/>
        <v>-918.85699999999997</v>
      </c>
      <c r="K128" s="24">
        <f t="shared" si="46"/>
        <v>0</v>
      </c>
      <c r="L128" s="24">
        <f t="shared" si="46"/>
        <v>0</v>
      </c>
      <c r="M128" s="24">
        <f t="shared" si="46"/>
        <v>0</v>
      </c>
      <c r="N128" s="24">
        <f t="shared" si="46"/>
        <v>0</v>
      </c>
      <c r="O128" s="24">
        <f t="shared" si="46"/>
        <v>0</v>
      </c>
      <c r="P128" s="24">
        <f t="shared" si="46"/>
        <v>0</v>
      </c>
      <c r="Q128" s="24">
        <f t="shared" si="46"/>
        <v>0</v>
      </c>
      <c r="R128" s="24">
        <f t="shared" si="46"/>
        <v>0</v>
      </c>
    </row>
    <row r="129" spans="2:18" ht="28.5" x14ac:dyDescent="0.45">
      <c r="B129" s="47" t="s">
        <v>350</v>
      </c>
      <c r="C129" s="25"/>
      <c r="D129" s="25">
        <f t="shared" ref="D129:R129" si="47">D60</f>
        <v>379.28799999999995</v>
      </c>
      <c r="E129" s="25">
        <f t="shared" si="47"/>
        <v>209.90300000000002</v>
      </c>
      <c r="F129" s="25">
        <f t="shared" si="47"/>
        <v>153.38300000000001</v>
      </c>
      <c r="G129" s="25">
        <f t="shared" si="47"/>
        <v>123.98100000000001</v>
      </c>
      <c r="H129" s="25">
        <f t="shared" si="47"/>
        <v>147.15100000000001</v>
      </c>
      <c r="I129" s="25">
        <f t="shared" si="47"/>
        <v>607.59699999999998</v>
      </c>
      <c r="J129" s="25">
        <f t="shared" si="47"/>
        <v>756.04600000000005</v>
      </c>
      <c r="K129" s="25">
        <f t="shared" si="47"/>
        <v>306.69299999999998</v>
      </c>
      <c r="L129" s="25">
        <f t="shared" si="47"/>
        <v>313.91699999999997</v>
      </c>
      <c r="M129" s="25">
        <f t="shared" si="47"/>
        <v>0</v>
      </c>
      <c r="N129" s="27">
        <f t="shared" si="47"/>
        <v>0</v>
      </c>
      <c r="O129" s="27">
        <f t="shared" si="47"/>
        <v>0</v>
      </c>
      <c r="P129" s="27">
        <f t="shared" si="47"/>
        <v>0</v>
      </c>
      <c r="Q129" s="27">
        <f t="shared" si="47"/>
        <v>0</v>
      </c>
      <c r="R129" s="24">
        <f t="shared" si="47"/>
        <v>0</v>
      </c>
    </row>
    <row r="130" spans="2:18" x14ac:dyDescent="0.45">
      <c r="B130" s="60" t="s">
        <v>351</v>
      </c>
      <c r="C130" s="36"/>
      <c r="D130" s="36">
        <f t="shared" ref="D130:R130" si="48">SUM(D126:D127)-SUM(D128:D129)</f>
        <v>-290.68899999999996</v>
      </c>
      <c r="E130" s="36">
        <f t="shared" si="48"/>
        <v>-80.473000000000013</v>
      </c>
      <c r="F130" s="36">
        <f t="shared" si="48"/>
        <v>44.138999999999982</v>
      </c>
      <c r="G130" s="36">
        <f t="shared" si="48"/>
        <v>143.91199999999998</v>
      </c>
      <c r="H130" s="36">
        <f t="shared" si="48"/>
        <v>179.84999999999997</v>
      </c>
      <c r="I130" s="36">
        <f t="shared" si="48"/>
        <v>935.57500000000005</v>
      </c>
      <c r="J130" s="36">
        <f t="shared" si="48"/>
        <v>3049.4449999999997</v>
      </c>
      <c r="K130" s="36">
        <f t="shared" si="48"/>
        <v>2731.29</v>
      </c>
      <c r="L130" s="36">
        <f t="shared" si="48"/>
        <v>3100.5400000000004</v>
      </c>
      <c r="M130" s="36">
        <f t="shared" si="48"/>
        <v>0</v>
      </c>
      <c r="N130" s="36">
        <f t="shared" si="48"/>
        <v>0</v>
      </c>
      <c r="O130" s="36">
        <f t="shared" si="48"/>
        <v>0</v>
      </c>
      <c r="P130" s="36">
        <f t="shared" si="48"/>
        <v>0</v>
      </c>
      <c r="Q130" s="36">
        <f t="shared" si="48"/>
        <v>0</v>
      </c>
      <c r="R130" s="24">
        <f t="shared" si="48"/>
        <v>0</v>
      </c>
    </row>
    <row r="131" spans="2:18" x14ac:dyDescent="0.45">
      <c r="B131" s="62" t="s">
        <v>352</v>
      </c>
      <c r="C131" s="32"/>
      <c r="D131" s="32"/>
      <c r="E131" s="32"/>
      <c r="F131" s="32"/>
      <c r="G131" s="32"/>
      <c r="H131" s="32"/>
      <c r="I131" s="32"/>
      <c r="J131" s="32"/>
      <c r="K131" s="32"/>
      <c r="L131" s="32"/>
      <c r="M131" s="32"/>
      <c r="N131" s="32"/>
      <c r="O131" s="32"/>
      <c r="P131" s="32"/>
      <c r="Q131" s="32"/>
    </row>
    <row r="132" spans="2:18" x14ac:dyDescent="0.45">
      <c r="B132" s="47" t="s">
        <v>353</v>
      </c>
      <c r="C132" s="216"/>
      <c r="D132" s="216">
        <f t="shared" ref="D132:R132" si="49">MAX(0,D46-D118)</f>
        <v>1003.327</v>
      </c>
      <c r="E132" s="216">
        <f t="shared" si="49"/>
        <v>620.49384999999995</v>
      </c>
      <c r="F132" s="216">
        <f t="shared" si="49"/>
        <v>1323.09</v>
      </c>
      <c r="G132" s="216">
        <f t="shared" si="49"/>
        <v>980.20299999999997</v>
      </c>
      <c r="H132" s="216">
        <f t="shared" si="49"/>
        <v>3731.8231999999998</v>
      </c>
      <c r="I132" s="216">
        <f t="shared" si="49"/>
        <v>8650.96875</v>
      </c>
      <c r="J132" s="216">
        <f t="shared" si="49"/>
        <v>8349.0432999999994</v>
      </c>
      <c r="K132" s="216">
        <f t="shared" si="49"/>
        <v>7467.3657500000008</v>
      </c>
      <c r="L132" s="216">
        <f t="shared" si="49"/>
        <v>6635.84915</v>
      </c>
      <c r="M132" s="216">
        <f t="shared" si="49"/>
        <v>0</v>
      </c>
      <c r="N132" s="216">
        <f t="shared" si="49"/>
        <v>0</v>
      </c>
      <c r="O132" s="216">
        <f t="shared" si="49"/>
        <v>0</v>
      </c>
      <c r="P132" s="216">
        <f t="shared" si="49"/>
        <v>0</v>
      </c>
      <c r="Q132" s="216">
        <f t="shared" si="49"/>
        <v>0</v>
      </c>
      <c r="R132" s="24">
        <f t="shared" si="49"/>
        <v>0</v>
      </c>
    </row>
    <row r="133" spans="2:18" x14ac:dyDescent="0.45">
      <c r="B133" s="47" t="s">
        <v>354</v>
      </c>
      <c r="D133" s="24">
        <f>+D39</f>
        <v>224.315</v>
      </c>
      <c r="E133" s="24">
        <f t="shared" ref="E133:R133" si="50">+E39</f>
        <v>121.465</v>
      </c>
      <c r="F133" s="24">
        <f t="shared" si="50"/>
        <v>151.089</v>
      </c>
      <c r="G133" s="24">
        <f t="shared" si="50"/>
        <v>142.56399999999999</v>
      </c>
      <c r="H133" s="24">
        <f t="shared" si="50"/>
        <v>522.38300000000004</v>
      </c>
      <c r="I133" s="24">
        <f t="shared" si="50"/>
        <v>6017.05</v>
      </c>
      <c r="J133" s="24">
        <f t="shared" si="50"/>
        <v>7822.4520000000002</v>
      </c>
      <c r="K133" s="24">
        <f t="shared" si="50"/>
        <v>4290.9920000000002</v>
      </c>
      <c r="L133" s="24">
        <f t="shared" si="50"/>
        <v>2422.4769999999999</v>
      </c>
      <c r="M133" s="24">
        <f t="shared" si="50"/>
        <v>0</v>
      </c>
      <c r="N133" s="24">
        <f t="shared" si="50"/>
        <v>0</v>
      </c>
      <c r="O133" s="24">
        <f t="shared" si="50"/>
        <v>0</v>
      </c>
      <c r="P133" s="24">
        <f t="shared" si="50"/>
        <v>0</v>
      </c>
      <c r="Q133" s="24">
        <f t="shared" si="50"/>
        <v>0</v>
      </c>
      <c r="R133" s="24">
        <f t="shared" si="50"/>
        <v>0</v>
      </c>
    </row>
    <row r="134" spans="2:18" ht="14.65" thickBot="1" x14ac:dyDescent="0.5">
      <c r="B134" s="60" t="s">
        <v>355</v>
      </c>
      <c r="C134" s="64"/>
      <c r="D134" s="64">
        <f t="shared" ref="D134:R134" si="51">SUM(D132:D133)</f>
        <v>1227.6420000000001</v>
      </c>
      <c r="E134" s="64">
        <f t="shared" si="51"/>
        <v>741.95884999999998</v>
      </c>
      <c r="F134" s="64">
        <f t="shared" si="51"/>
        <v>1474.1789999999999</v>
      </c>
      <c r="G134" s="64">
        <f t="shared" si="51"/>
        <v>1122.7670000000001</v>
      </c>
      <c r="H134" s="64">
        <f t="shared" si="51"/>
        <v>4254.2061999999996</v>
      </c>
      <c r="I134" s="64">
        <f t="shared" si="51"/>
        <v>14668.018749999999</v>
      </c>
      <c r="J134" s="64">
        <f t="shared" si="51"/>
        <v>16171.495299999999</v>
      </c>
      <c r="K134" s="64">
        <f t="shared" si="51"/>
        <v>11758.357750000001</v>
      </c>
      <c r="L134" s="64">
        <f t="shared" si="51"/>
        <v>9058.3261500000008</v>
      </c>
      <c r="M134" s="64">
        <f t="shared" si="51"/>
        <v>0</v>
      </c>
      <c r="N134" s="64">
        <f t="shared" si="51"/>
        <v>0</v>
      </c>
      <c r="O134" s="64">
        <f t="shared" si="51"/>
        <v>0</v>
      </c>
      <c r="P134" s="64">
        <f t="shared" si="51"/>
        <v>0</v>
      </c>
      <c r="Q134" s="64">
        <f t="shared" si="51"/>
        <v>0</v>
      </c>
      <c r="R134" s="24">
        <f t="shared" si="51"/>
        <v>0</v>
      </c>
    </row>
    <row r="135" spans="2:18" ht="14.65" thickTop="1" x14ac:dyDescent="0.45">
      <c r="B135" s="42" t="s">
        <v>356</v>
      </c>
      <c r="C135" s="32"/>
      <c r="D135" s="32">
        <f t="shared" ref="D135:R135" si="52">SUM(D124,D130,D134)</f>
        <v>810.09600000000012</v>
      </c>
      <c r="E135" s="32">
        <f t="shared" si="52"/>
        <v>533.81099999999992</v>
      </c>
      <c r="F135" s="32">
        <f t="shared" si="52"/>
        <v>1365.7599999999998</v>
      </c>
      <c r="G135" s="32">
        <f t="shared" si="52"/>
        <v>1168.0160000000001</v>
      </c>
      <c r="H135" s="32">
        <f t="shared" si="52"/>
        <v>2287.367999999999</v>
      </c>
      <c r="I135" s="32">
        <f t="shared" si="52"/>
        <v>13243.135999999999</v>
      </c>
      <c r="J135" s="32">
        <f t="shared" si="52"/>
        <v>19016.229999999996</v>
      </c>
      <c r="K135" s="32">
        <f t="shared" si="52"/>
        <v>13658.255000000001</v>
      </c>
      <c r="L135" s="32">
        <f t="shared" si="52"/>
        <v>11250.803000000002</v>
      </c>
      <c r="M135" s="32">
        <f t="shared" si="52"/>
        <v>0</v>
      </c>
      <c r="N135" s="32">
        <f t="shared" si="52"/>
        <v>0</v>
      </c>
      <c r="O135" s="32">
        <f t="shared" si="52"/>
        <v>0</v>
      </c>
      <c r="P135" s="32">
        <f t="shared" si="52"/>
        <v>0</v>
      </c>
      <c r="Q135" s="32">
        <f t="shared" si="52"/>
        <v>0</v>
      </c>
      <c r="R135" s="24">
        <f t="shared" si="52"/>
        <v>0</v>
      </c>
    </row>
    <row r="136" spans="2:18" x14ac:dyDescent="0.45">
      <c r="B136" s="42"/>
      <c r="C136" s="71"/>
      <c r="D136" s="71"/>
      <c r="E136" s="71"/>
      <c r="F136" s="71"/>
      <c r="G136" s="71"/>
      <c r="H136" s="71"/>
      <c r="I136" s="71"/>
      <c r="J136" s="71"/>
      <c r="K136" s="71"/>
      <c r="L136" s="71"/>
      <c r="M136" s="32"/>
      <c r="N136" s="32"/>
      <c r="O136" s="32"/>
      <c r="P136" s="32"/>
      <c r="Q136" s="32"/>
    </row>
    <row r="137" spans="2:18" x14ac:dyDescent="0.45">
      <c r="B137" s="42" t="s">
        <v>357</v>
      </c>
      <c r="C137" s="71"/>
      <c r="D137" s="71"/>
      <c r="E137" s="71"/>
      <c r="F137" s="71"/>
      <c r="G137" s="71"/>
      <c r="H137" s="71"/>
      <c r="I137" s="71"/>
      <c r="J137" s="71"/>
      <c r="K137" s="71"/>
      <c r="L137" s="71"/>
    </row>
    <row r="138" spans="2:18" x14ac:dyDescent="0.45">
      <c r="B138" s="47" t="s">
        <v>358</v>
      </c>
      <c r="D138" s="24">
        <f t="shared" ref="D138:R138" si="53">D65</f>
        <v>0</v>
      </c>
      <c r="E138" s="24">
        <f t="shared" si="53"/>
        <v>0</v>
      </c>
      <c r="F138" s="24">
        <f t="shared" si="53"/>
        <v>0</v>
      </c>
      <c r="G138" s="24">
        <f t="shared" si="53"/>
        <v>3.1930000000000001</v>
      </c>
      <c r="H138" s="24">
        <f t="shared" si="53"/>
        <v>24.524999999999999</v>
      </c>
      <c r="I138" s="24">
        <f t="shared" si="53"/>
        <v>185.53200000000001</v>
      </c>
      <c r="J138" s="24">
        <f t="shared" si="53"/>
        <v>183.39699999999999</v>
      </c>
      <c r="K138" s="24">
        <f t="shared" si="53"/>
        <v>22.617999999999999</v>
      </c>
      <c r="L138" s="24">
        <f t="shared" si="53"/>
        <v>35.738</v>
      </c>
      <c r="M138" s="24">
        <f t="shared" si="53"/>
        <v>0</v>
      </c>
      <c r="N138" s="24">
        <f t="shared" si="53"/>
        <v>0</v>
      </c>
      <c r="O138" s="24">
        <f t="shared" si="53"/>
        <v>0</v>
      </c>
      <c r="P138" s="24">
        <f t="shared" si="53"/>
        <v>0</v>
      </c>
      <c r="Q138" s="24">
        <f t="shared" si="53"/>
        <v>0</v>
      </c>
      <c r="R138" s="24">
        <f t="shared" si="53"/>
        <v>0</v>
      </c>
    </row>
    <row r="139" spans="2:18" x14ac:dyDescent="0.45">
      <c r="B139" s="47" t="s">
        <v>359</v>
      </c>
      <c r="D139" s="24">
        <f t="shared" ref="D139:R139" si="54">D58</f>
        <v>11.853</v>
      </c>
      <c r="E139" s="24">
        <f t="shared" si="54"/>
        <v>13.064</v>
      </c>
      <c r="F139" s="24">
        <f t="shared" si="54"/>
        <v>29.248999999999999</v>
      </c>
      <c r="G139" s="24">
        <f t="shared" si="54"/>
        <v>117.95</v>
      </c>
      <c r="H139" s="24">
        <f t="shared" si="54"/>
        <v>169.22300000000001</v>
      </c>
      <c r="I139" s="24">
        <f t="shared" si="54"/>
        <v>619.90700000000004</v>
      </c>
      <c r="J139" s="24">
        <f t="shared" si="54"/>
        <v>939.44299999999998</v>
      </c>
      <c r="K139" s="24">
        <f t="shared" si="54"/>
        <v>1101.925</v>
      </c>
      <c r="L139" s="24">
        <f t="shared" si="54"/>
        <v>685.78899999999999</v>
      </c>
      <c r="M139" s="24">
        <f t="shared" si="54"/>
        <v>0</v>
      </c>
      <c r="N139" s="24">
        <f t="shared" si="54"/>
        <v>0</v>
      </c>
      <c r="O139" s="24">
        <f t="shared" si="54"/>
        <v>0</v>
      </c>
      <c r="P139" s="24">
        <f t="shared" si="54"/>
        <v>0</v>
      </c>
      <c r="Q139" s="24">
        <f t="shared" si="54"/>
        <v>0</v>
      </c>
      <c r="R139" s="24">
        <f t="shared" si="54"/>
        <v>0</v>
      </c>
    </row>
    <row r="140" spans="2:18" x14ac:dyDescent="0.45">
      <c r="B140" s="60" t="s">
        <v>360</v>
      </c>
      <c r="C140" s="32"/>
      <c r="D140" s="32">
        <f t="shared" ref="D140:R140" si="55">SUM(D138:D139)</f>
        <v>11.853</v>
      </c>
      <c r="E140" s="32">
        <f t="shared" si="55"/>
        <v>13.064</v>
      </c>
      <c r="F140" s="32">
        <f t="shared" si="55"/>
        <v>29.248999999999999</v>
      </c>
      <c r="G140" s="32">
        <f t="shared" si="55"/>
        <v>121.143</v>
      </c>
      <c r="H140" s="32">
        <f t="shared" si="55"/>
        <v>193.74800000000002</v>
      </c>
      <c r="I140" s="32">
        <f t="shared" si="55"/>
        <v>805.43900000000008</v>
      </c>
      <c r="J140" s="32">
        <f t="shared" si="55"/>
        <v>1122.8399999999999</v>
      </c>
      <c r="K140" s="32">
        <f t="shared" si="55"/>
        <v>1124.5429999999999</v>
      </c>
      <c r="L140" s="32">
        <f t="shared" si="55"/>
        <v>721.52700000000004</v>
      </c>
      <c r="M140" s="32">
        <f t="shared" si="55"/>
        <v>0</v>
      </c>
      <c r="N140" s="32">
        <f t="shared" si="55"/>
        <v>0</v>
      </c>
      <c r="O140" s="32">
        <f t="shared" si="55"/>
        <v>0</v>
      </c>
      <c r="P140" s="32">
        <f t="shared" si="55"/>
        <v>0</v>
      </c>
      <c r="Q140" s="32">
        <f t="shared" si="55"/>
        <v>0</v>
      </c>
      <c r="R140" s="24">
        <f t="shared" si="55"/>
        <v>0</v>
      </c>
    </row>
    <row r="141" spans="2:18" x14ac:dyDescent="0.45">
      <c r="B141" s="62" t="s">
        <v>361</v>
      </c>
    </row>
    <row r="142" spans="2:18" x14ac:dyDescent="0.45">
      <c r="B142" s="47" t="s">
        <v>362</v>
      </c>
      <c r="D142" s="24">
        <f t="shared" ref="D142:R142" si="56">D53</f>
        <v>-317.46699999999998</v>
      </c>
      <c r="E142" s="24">
        <f t="shared" si="56"/>
        <v>-459.17700000000002</v>
      </c>
      <c r="F142" s="24">
        <f t="shared" si="56"/>
        <v>1336.5129999999997</v>
      </c>
      <c r="G142" s="24">
        <f t="shared" si="56"/>
        <v>1046.8740000000003</v>
      </c>
      <c r="H142" s="24">
        <f t="shared" si="56"/>
        <v>2093.6179999999999</v>
      </c>
      <c r="I142" s="24">
        <f t="shared" si="56"/>
        <v>12437.698</v>
      </c>
      <c r="J142" s="24">
        <f t="shared" si="56"/>
        <v>17893.391000000003</v>
      </c>
      <c r="K142" s="24">
        <f t="shared" si="56"/>
        <v>12533.714</v>
      </c>
      <c r="L142" s="24">
        <f t="shared" si="56"/>
        <v>10529.276000000002</v>
      </c>
      <c r="M142" s="24">
        <f t="shared" si="56"/>
        <v>0</v>
      </c>
      <c r="N142" s="24">
        <f t="shared" si="56"/>
        <v>0</v>
      </c>
      <c r="O142" s="24">
        <f t="shared" si="56"/>
        <v>0</v>
      </c>
      <c r="P142" s="24">
        <f t="shared" si="56"/>
        <v>0</v>
      </c>
      <c r="Q142" s="24">
        <f t="shared" si="56"/>
        <v>0</v>
      </c>
      <c r="R142" s="24">
        <f t="shared" si="56"/>
        <v>0</v>
      </c>
    </row>
    <row r="143" spans="2:18" x14ac:dyDescent="0.45">
      <c r="B143" s="59" t="s">
        <v>363</v>
      </c>
      <c r="D143" s="24">
        <f t="shared" ref="D143:R143" si="57">D55</f>
        <v>0</v>
      </c>
      <c r="E143" s="24">
        <f t="shared" si="57"/>
        <v>0</v>
      </c>
      <c r="F143" s="24">
        <f t="shared" si="57"/>
        <v>0</v>
      </c>
      <c r="G143" s="24">
        <f t="shared" si="57"/>
        <v>0</v>
      </c>
      <c r="H143" s="24">
        <f t="shared" si="57"/>
        <v>0</v>
      </c>
      <c r="I143" s="24">
        <f t="shared" si="57"/>
        <v>0</v>
      </c>
      <c r="J143" s="24">
        <f t="shared" si="57"/>
        <v>0</v>
      </c>
      <c r="K143" s="24">
        <f t="shared" si="57"/>
        <v>0</v>
      </c>
      <c r="L143" s="24">
        <f t="shared" si="57"/>
        <v>0</v>
      </c>
      <c r="M143" s="24">
        <f t="shared" si="57"/>
        <v>0</v>
      </c>
      <c r="N143" s="24">
        <f t="shared" si="57"/>
        <v>0</v>
      </c>
      <c r="O143" s="24">
        <f t="shared" si="57"/>
        <v>0</v>
      </c>
      <c r="P143" s="24">
        <f t="shared" si="57"/>
        <v>0</v>
      </c>
      <c r="Q143" s="24">
        <f t="shared" si="57"/>
        <v>0</v>
      </c>
      <c r="R143" s="24">
        <f t="shared" si="57"/>
        <v>0</v>
      </c>
    </row>
    <row r="144" spans="2:18" ht="14.65" thickBot="1" x14ac:dyDescent="0.5">
      <c r="B144" s="66" t="s">
        <v>364</v>
      </c>
      <c r="C144" s="64"/>
      <c r="D144" s="64">
        <f t="shared" ref="D144:R144" si="58">SUM(D142:D143)</f>
        <v>-317.46699999999998</v>
      </c>
      <c r="E144" s="64">
        <f t="shared" si="58"/>
        <v>-459.17700000000002</v>
      </c>
      <c r="F144" s="64">
        <f t="shared" si="58"/>
        <v>1336.5129999999997</v>
      </c>
      <c r="G144" s="64">
        <f t="shared" si="58"/>
        <v>1046.8740000000003</v>
      </c>
      <c r="H144" s="64">
        <f t="shared" si="58"/>
        <v>2093.6179999999999</v>
      </c>
      <c r="I144" s="64">
        <f t="shared" si="58"/>
        <v>12437.698</v>
      </c>
      <c r="J144" s="64">
        <f t="shared" si="58"/>
        <v>17893.391000000003</v>
      </c>
      <c r="K144" s="64">
        <f t="shared" si="58"/>
        <v>12533.714</v>
      </c>
      <c r="L144" s="64">
        <f t="shared" si="58"/>
        <v>10529.276000000002</v>
      </c>
      <c r="M144" s="64">
        <f t="shared" si="58"/>
        <v>0</v>
      </c>
      <c r="N144" s="64">
        <f t="shared" si="58"/>
        <v>0</v>
      </c>
      <c r="O144" s="64">
        <f t="shared" si="58"/>
        <v>0</v>
      </c>
      <c r="P144" s="64">
        <f t="shared" si="58"/>
        <v>0</v>
      </c>
      <c r="Q144" s="64">
        <f t="shared" si="58"/>
        <v>0</v>
      </c>
      <c r="R144" s="24">
        <f t="shared" si="58"/>
        <v>0</v>
      </c>
    </row>
    <row r="145" spans="1:18" ht="15" thickTop="1" thickBot="1" x14ac:dyDescent="0.5">
      <c r="B145" s="52" t="s">
        <v>365</v>
      </c>
      <c r="C145" s="44"/>
      <c r="D145" s="44">
        <f t="shared" ref="D145:R145" si="59">SUM(D140,D144)</f>
        <v>-305.61399999999998</v>
      </c>
      <c r="E145" s="44">
        <f t="shared" si="59"/>
        <v>-446.113</v>
      </c>
      <c r="F145" s="44">
        <f t="shared" si="59"/>
        <v>1365.7619999999997</v>
      </c>
      <c r="G145" s="44">
        <f t="shared" si="59"/>
        <v>1168.0170000000003</v>
      </c>
      <c r="H145" s="44">
        <f t="shared" si="59"/>
        <v>2287.366</v>
      </c>
      <c r="I145" s="44">
        <f t="shared" si="59"/>
        <v>13243.137000000001</v>
      </c>
      <c r="J145" s="44">
        <f t="shared" si="59"/>
        <v>19016.231000000003</v>
      </c>
      <c r="K145" s="44">
        <f t="shared" si="59"/>
        <v>13658.257</v>
      </c>
      <c r="L145" s="44">
        <f t="shared" si="59"/>
        <v>11250.803000000002</v>
      </c>
      <c r="M145" s="44">
        <f t="shared" si="59"/>
        <v>0</v>
      </c>
      <c r="N145" s="44">
        <f t="shared" si="59"/>
        <v>0</v>
      </c>
      <c r="O145" s="44">
        <f t="shared" si="59"/>
        <v>0</v>
      </c>
      <c r="P145" s="44">
        <f t="shared" si="59"/>
        <v>0</v>
      </c>
      <c r="Q145" s="44">
        <f t="shared" si="59"/>
        <v>0</v>
      </c>
      <c r="R145" s="24">
        <f t="shared" si="59"/>
        <v>0</v>
      </c>
    </row>
    <row r="146" spans="1:18" ht="14.65" thickTop="1" x14ac:dyDescent="0.45">
      <c r="A146" s="24" t="s">
        <v>14</v>
      </c>
      <c r="B146" s="34"/>
    </row>
    <row r="147" spans="1:18" x14ac:dyDescent="0.45">
      <c r="B147" s="34"/>
    </row>
  </sheetData>
  <dataValidations count="1">
    <dataValidation type="list" allowBlank="1" showInputMessage="1" showErrorMessage="1" sqref="B27:C27" xr:uid="{65DFE7CA-37C8-D048-8708-35195F92FAAB}">
      <formula1>B$237:B$254</formula1>
    </dataValidation>
  </dataValidation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2EB0C-8892-4268-9D6A-FE6DDAE12E9C}">
  <dimension ref="A2:T147"/>
  <sheetViews>
    <sheetView showGridLines="0" topLeftCell="F1" zoomScale="57" workbookViewId="0">
      <selection activeCell="S1" sqref="S1:AS1048576"/>
    </sheetView>
  </sheetViews>
  <sheetFormatPr defaultColWidth="9.1328125" defaultRowHeight="14.25" x14ac:dyDescent="0.45"/>
  <cols>
    <col min="1" max="1" width="3.33203125" style="24" customWidth="1"/>
    <col min="2" max="2" width="45.33203125" style="24" customWidth="1"/>
    <col min="3" max="10" width="10.1328125" style="24" bestFit="1" customWidth="1"/>
    <col min="11" max="12" width="9.6640625" style="24" bestFit="1" customWidth="1"/>
    <col min="13" max="17" width="9.46484375" style="24" bestFit="1" customWidth="1"/>
    <col min="18" max="16384" width="9.1328125" style="24"/>
  </cols>
  <sheetData>
    <row r="2" spans="1:17" x14ac:dyDescent="0.45">
      <c r="B2" s="26" t="s">
        <v>366</v>
      </c>
      <c r="C2" s="21">
        <v>2015</v>
      </c>
      <c r="D2" s="21">
        <f t="shared" ref="D2:Q2" si="0">C2+1</f>
        <v>2016</v>
      </c>
      <c r="E2" s="21">
        <f t="shared" si="0"/>
        <v>2017</v>
      </c>
      <c r="F2" s="21">
        <f t="shared" si="0"/>
        <v>2018</v>
      </c>
      <c r="G2" s="21">
        <f t="shared" si="0"/>
        <v>2019</v>
      </c>
      <c r="H2" s="21">
        <f t="shared" si="0"/>
        <v>2020</v>
      </c>
      <c r="I2" s="21">
        <f t="shared" si="0"/>
        <v>2021</v>
      </c>
      <c r="J2" s="21">
        <f t="shared" si="0"/>
        <v>2022</v>
      </c>
      <c r="K2" s="21">
        <f t="shared" si="0"/>
        <v>2023</v>
      </c>
      <c r="L2" s="21">
        <f t="shared" si="0"/>
        <v>2024</v>
      </c>
      <c r="M2" s="22">
        <f t="shared" si="0"/>
        <v>2025</v>
      </c>
      <c r="N2" s="22">
        <f t="shared" si="0"/>
        <v>2026</v>
      </c>
      <c r="O2" s="22">
        <f t="shared" si="0"/>
        <v>2027</v>
      </c>
      <c r="P2" s="22">
        <f t="shared" si="0"/>
        <v>2028</v>
      </c>
      <c r="Q2" s="22">
        <f t="shared" si="0"/>
        <v>2029</v>
      </c>
    </row>
    <row r="3" spans="1:17" x14ac:dyDescent="0.45">
      <c r="B3" s="24" t="s">
        <v>251</v>
      </c>
      <c r="C3" s="14"/>
      <c r="D3" s="14"/>
      <c r="E3" s="14">
        <v>0.05</v>
      </c>
      <c r="F3" s="14">
        <v>0.05</v>
      </c>
      <c r="G3" s="14">
        <v>0.05</v>
      </c>
      <c r="H3" s="14">
        <v>0.05</v>
      </c>
      <c r="I3" s="14">
        <v>0.05</v>
      </c>
      <c r="J3" s="14">
        <v>0.05</v>
      </c>
      <c r="K3" s="14">
        <v>0.05</v>
      </c>
      <c r="L3" s="14">
        <v>0.05</v>
      </c>
      <c r="M3" s="14">
        <v>0.05</v>
      </c>
      <c r="N3" s="14">
        <v>0.05</v>
      </c>
      <c r="O3" s="14">
        <v>0.05</v>
      </c>
      <c r="P3" s="14">
        <v>0.05</v>
      </c>
      <c r="Q3" s="14">
        <v>0.05</v>
      </c>
    </row>
    <row r="4" spans="1:17" x14ac:dyDescent="0.45">
      <c r="B4" s="24" t="s">
        <v>86</v>
      </c>
      <c r="C4" s="14"/>
      <c r="D4" s="14"/>
      <c r="E4" s="14">
        <f t="shared" ref="E4:K4" si="1">-E17/E11</f>
        <v>0.23676612127045235</v>
      </c>
      <c r="F4" s="14">
        <f t="shared" si="1"/>
        <v>7.9847277556440902E-2</v>
      </c>
      <c r="G4" s="14">
        <f t="shared" si="1"/>
        <v>1.778888562187592E-2</v>
      </c>
      <c r="H4" s="14">
        <f t="shared" si="1"/>
        <v>0.23842195540308747</v>
      </c>
      <c r="I4" s="14">
        <f t="shared" si="1"/>
        <v>0.18190309398715704</v>
      </c>
      <c r="J4" s="14">
        <f t="shared" si="1"/>
        <v>0.18389365186398227</v>
      </c>
      <c r="K4" s="14">
        <f t="shared" si="1"/>
        <v>0.12523088289619505</v>
      </c>
    </row>
    <row r="5" spans="1:17" x14ac:dyDescent="0.45">
      <c r="B5" s="40" t="s">
        <v>367</v>
      </c>
      <c r="C5" s="217"/>
      <c r="D5" s="40"/>
      <c r="E5" s="40"/>
      <c r="F5" s="40"/>
      <c r="G5" s="40"/>
      <c r="H5" s="40"/>
      <c r="I5" s="40"/>
      <c r="J5" s="40"/>
      <c r="K5" s="40"/>
      <c r="L5" s="40"/>
      <c r="M5" s="40"/>
      <c r="N5" s="40"/>
      <c r="O5" s="40"/>
      <c r="P5" s="40"/>
      <c r="Q5" s="40"/>
    </row>
    <row r="7" spans="1:17" ht="14.65" thickBot="1" x14ac:dyDescent="0.5">
      <c r="B7" s="41"/>
      <c r="C7" s="41"/>
      <c r="D7" s="41"/>
      <c r="E7" s="41"/>
      <c r="F7" s="41"/>
      <c r="G7" s="41"/>
      <c r="H7" s="41"/>
      <c r="I7" s="41"/>
      <c r="J7" s="41"/>
      <c r="K7" s="41"/>
      <c r="L7" s="41"/>
      <c r="M7" s="41"/>
      <c r="N7" s="41"/>
      <c r="O7" s="41"/>
      <c r="P7" s="41"/>
      <c r="Q7" s="41"/>
    </row>
    <row r="8" spans="1:17" ht="14.65" thickTop="1" x14ac:dyDescent="0.45">
      <c r="A8" s="24" t="s">
        <v>14</v>
      </c>
      <c r="B8" s="42" t="s">
        <v>252</v>
      </c>
      <c r="C8" s="54"/>
      <c r="D8" s="54"/>
      <c r="E8" s="54"/>
      <c r="F8" s="54"/>
      <c r="G8" s="54"/>
      <c r="H8" s="54"/>
      <c r="I8" s="54"/>
      <c r="J8" s="54"/>
      <c r="K8" s="54"/>
      <c r="L8" s="54"/>
      <c r="M8" s="54"/>
      <c r="N8" s="54"/>
      <c r="O8" s="54"/>
      <c r="P8" s="54"/>
      <c r="Q8" s="54"/>
    </row>
    <row r="9" spans="1:17" x14ac:dyDescent="0.45">
      <c r="B9" s="42" t="s">
        <v>96</v>
      </c>
      <c r="C9" s="23">
        <f>'Sanofi Standardized'!C5</f>
        <v>34861</v>
      </c>
      <c r="D9" s="23">
        <f>'Sanofi Standardized'!D5</f>
        <v>34696</v>
      </c>
      <c r="E9" s="23">
        <f>'Sanofi Standardized'!E5</f>
        <v>36221</v>
      </c>
      <c r="F9" s="23">
        <f>'Sanofi Standardized'!F5</f>
        <v>35677</v>
      </c>
      <c r="G9" s="23">
        <f>'Sanofi Standardized'!G5</f>
        <v>37631</v>
      </c>
      <c r="H9" s="23">
        <f>'Sanofi Standardized'!H5</f>
        <v>37369</v>
      </c>
      <c r="I9" s="23">
        <f>'Sanofi Standardized'!I5</f>
        <v>39175</v>
      </c>
      <c r="J9" s="23">
        <f>'Sanofi Standardized'!J5</f>
        <v>40304</v>
      </c>
      <c r="K9" s="23">
        <f>'Sanofi Standardized'!K5</f>
        <v>41109</v>
      </c>
      <c r="L9" s="23">
        <f>'Sanofi Standardized'!L5</f>
        <v>44286</v>
      </c>
      <c r="M9" s="23"/>
      <c r="N9" s="23"/>
      <c r="O9" s="23"/>
      <c r="P9" s="23"/>
      <c r="Q9" s="23"/>
    </row>
    <row r="10" spans="1:17" x14ac:dyDescent="0.45">
      <c r="B10" s="24" t="s">
        <v>253</v>
      </c>
      <c r="C10" s="27">
        <f>SUM('Sanofi Standardized'!C6:C10)</f>
        <v>-27890</v>
      </c>
      <c r="D10" s="27">
        <f>SUM('Sanofi Standardized'!D6:D10)</f>
        <v>-27178</v>
      </c>
      <c r="E10" s="27">
        <f>SUM('Sanofi Standardized'!E6:E10)</f>
        <v>-28948</v>
      </c>
      <c r="F10" s="27">
        <f>SUM('Sanofi Standardized'!F6:F10)</f>
        <v>-29653</v>
      </c>
      <c r="G10" s="27">
        <f>SUM('Sanofi Standardized'!G6:G10)</f>
        <v>-30829</v>
      </c>
      <c r="H10" s="27">
        <f>SUM('Sanofi Standardized'!H6:H10)</f>
        <v>-29790</v>
      </c>
      <c r="I10" s="27">
        <f>SUM('Sanofi Standardized'!I6:I10)</f>
        <v>-30610</v>
      </c>
      <c r="J10" s="27">
        <f>SUM('Sanofi Standardized'!J6:J10)</f>
        <v>-29923</v>
      </c>
      <c r="K10" s="27">
        <f>SUM('Sanofi Standardized'!K6:K10)</f>
        <v>-32988</v>
      </c>
      <c r="L10" s="27">
        <f>SUM('Sanofi Standardized'!L6:L10)</f>
        <v>-35417</v>
      </c>
      <c r="M10" s="27"/>
      <c r="N10" s="27"/>
      <c r="O10" s="27"/>
      <c r="P10" s="27"/>
      <c r="Q10" s="27"/>
    </row>
    <row r="11" spans="1:17" s="26" customFormat="1" x14ac:dyDescent="0.45">
      <c r="B11" s="32" t="s">
        <v>254</v>
      </c>
      <c r="C11" s="26">
        <f t="shared" ref="C11:L11" si="2">SUM(C9:C10)</f>
        <v>6971</v>
      </c>
      <c r="D11" s="26">
        <f t="shared" si="2"/>
        <v>7518</v>
      </c>
      <c r="E11" s="26">
        <f t="shared" si="2"/>
        <v>7273</v>
      </c>
      <c r="F11" s="26">
        <f t="shared" si="2"/>
        <v>6024</v>
      </c>
      <c r="G11" s="26">
        <f t="shared" si="2"/>
        <v>6802</v>
      </c>
      <c r="H11" s="26">
        <f t="shared" si="2"/>
        <v>7579</v>
      </c>
      <c r="I11" s="26">
        <f t="shared" si="2"/>
        <v>8565</v>
      </c>
      <c r="J11" s="26">
        <f t="shared" si="2"/>
        <v>10381</v>
      </c>
      <c r="K11" s="26">
        <f t="shared" si="2"/>
        <v>8121</v>
      </c>
      <c r="L11" s="26">
        <f t="shared" si="2"/>
        <v>8869</v>
      </c>
    </row>
    <row r="12" spans="1:17" x14ac:dyDescent="0.45">
      <c r="B12" s="24" t="s">
        <v>255</v>
      </c>
      <c r="C12" s="25">
        <f>'Sanofi Standardized'!C13</f>
        <v>-22</v>
      </c>
      <c r="D12" s="25">
        <f>'Sanofi Standardized'!D13</f>
        <v>-110</v>
      </c>
      <c r="E12" s="25">
        <f>'Sanofi Standardized'!E13</f>
        <v>85</v>
      </c>
      <c r="F12" s="25">
        <f>'Sanofi Standardized'!F13</f>
        <v>562</v>
      </c>
      <c r="G12" s="25">
        <f>'Sanofi Standardized'!G13</f>
        <v>255</v>
      </c>
      <c r="H12" s="25">
        <f>'Sanofi Standardized'!H13</f>
        <v>7747</v>
      </c>
      <c r="I12" s="25">
        <f>'Sanofi Standardized'!I13</f>
        <v>42</v>
      </c>
      <c r="J12" s="25">
        <f>'Sanofi Standardized'!J13</f>
        <v>56</v>
      </c>
      <c r="K12" s="25">
        <f>'Sanofi Standardized'!K13</f>
        <v>-137</v>
      </c>
      <c r="L12" s="25">
        <f>'Sanofi Standardized'!L13</f>
        <v>60</v>
      </c>
      <c r="M12" s="25"/>
      <c r="N12" s="25"/>
      <c r="O12" s="25"/>
      <c r="P12" s="25"/>
      <c r="Q12" s="25"/>
    </row>
    <row r="13" spans="1:17" x14ac:dyDescent="0.45">
      <c r="B13" s="24" t="s">
        <v>256</v>
      </c>
      <c r="C13" s="25">
        <f>'Sanofi Standardized'!C14</f>
        <v>-1369</v>
      </c>
      <c r="D13" s="25">
        <f>'Sanofi Standardized'!D14</f>
        <v>-1293</v>
      </c>
      <c r="E13" s="25">
        <f>'Sanofi Standardized'!E14</f>
        <v>-1452</v>
      </c>
      <c r="F13" s="25">
        <f>'Sanofi Standardized'!F14</f>
        <v>-1283</v>
      </c>
      <c r="G13" s="25">
        <f>'Sanofi Standardized'!G14</f>
        <v>-3597</v>
      </c>
      <c r="H13" s="25">
        <f>'Sanofi Standardized'!H14</f>
        <v>-767</v>
      </c>
      <c r="I13" s="25">
        <f>'Sanofi Standardized'!I14</f>
        <v>-411</v>
      </c>
      <c r="J13" s="25">
        <f>'Sanofi Standardized'!J14</f>
        <v>-282</v>
      </c>
      <c r="K13" s="25">
        <f>'Sanofi Standardized'!K14</f>
        <v>-1807</v>
      </c>
      <c r="L13" s="25">
        <f>'Sanofi Standardized'!L14</f>
        <v>-1943</v>
      </c>
      <c r="M13" s="25"/>
      <c r="N13" s="25"/>
      <c r="O13" s="25"/>
      <c r="P13" s="25"/>
      <c r="Q13" s="25"/>
    </row>
    <row r="14" spans="1:17" x14ac:dyDescent="0.45">
      <c r="B14" s="43" t="s">
        <v>257</v>
      </c>
      <c r="C14" s="25">
        <f>'Sanofi Standardized'!C11</f>
        <v>57</v>
      </c>
      <c r="D14" s="25">
        <f>'Sanofi Standardized'!D11</f>
        <v>56</v>
      </c>
      <c r="E14" s="25">
        <f>'Sanofi Standardized'!E11</f>
        <v>56</v>
      </c>
      <c r="F14" s="25">
        <f>'Sanofi Standardized'!F11</f>
        <v>72</v>
      </c>
      <c r="G14" s="25">
        <f>'Sanofi Standardized'!G11</f>
        <v>91</v>
      </c>
      <c r="H14" s="25">
        <f>'Sanofi Standardized'!H11</f>
        <v>37</v>
      </c>
      <c r="I14" s="25">
        <f>'Sanofi Standardized'!I11</f>
        <v>3</v>
      </c>
      <c r="J14" s="25">
        <f>'Sanofi Standardized'!J11</f>
        <v>239</v>
      </c>
      <c r="K14" s="25">
        <f>'Sanofi Standardized'!K11</f>
        <v>527</v>
      </c>
      <c r="L14" s="25">
        <f>'Sanofi Standardized'!L11</f>
        <v>413</v>
      </c>
      <c r="M14" s="25"/>
      <c r="N14" s="25"/>
      <c r="O14" s="25"/>
      <c r="P14" s="25"/>
      <c r="Q14" s="25"/>
    </row>
    <row r="15" spans="1:17" x14ac:dyDescent="0.45">
      <c r="B15" s="43" t="s">
        <v>258</v>
      </c>
      <c r="C15" s="25">
        <f>'Sanofi Standardized'!C12</f>
        <v>-416</v>
      </c>
      <c r="D15" s="25">
        <f>'Sanofi Standardized'!D12</f>
        <v>-360</v>
      </c>
      <c r="E15" s="25">
        <f>'Sanofi Standardized'!E12</f>
        <v>-346</v>
      </c>
      <c r="F15" s="25">
        <f>'Sanofi Standardized'!F12</f>
        <v>-471</v>
      </c>
      <c r="G15" s="25">
        <f>'Sanofi Standardized'!G12</f>
        <v>-544</v>
      </c>
      <c r="H15" s="25">
        <f>'Sanofi Standardized'!H12</f>
        <v>-459</v>
      </c>
      <c r="I15" s="25">
        <f>'Sanofi Standardized'!I12</f>
        <v>-362</v>
      </c>
      <c r="J15" s="25">
        <f>'Sanofi Standardized'!J12</f>
        <v>-402</v>
      </c>
      <c r="K15" s="25">
        <f>'Sanofi Standardized'!K12</f>
        <v>-589</v>
      </c>
      <c r="L15" s="25">
        <f>'Sanofi Standardized'!L12</f>
        <v>-641</v>
      </c>
      <c r="M15" s="25"/>
      <c r="N15" s="25"/>
      <c r="O15" s="27"/>
      <c r="P15" s="27"/>
      <c r="Q15" s="27"/>
    </row>
    <row r="16" spans="1:17" x14ac:dyDescent="0.45">
      <c r="B16" s="32" t="s">
        <v>259</v>
      </c>
      <c r="C16" s="36">
        <f t="shared" ref="C16:L16" si="3">SUM(C11:C15)</f>
        <v>5221</v>
      </c>
      <c r="D16" s="36">
        <f t="shared" si="3"/>
        <v>5811</v>
      </c>
      <c r="E16" s="36">
        <f t="shared" si="3"/>
        <v>5616</v>
      </c>
      <c r="F16" s="36">
        <f t="shared" si="3"/>
        <v>4904</v>
      </c>
      <c r="G16" s="36">
        <f t="shared" si="3"/>
        <v>3007</v>
      </c>
      <c r="H16" s="36">
        <f t="shared" si="3"/>
        <v>14137</v>
      </c>
      <c r="I16" s="36">
        <f t="shared" si="3"/>
        <v>7837</v>
      </c>
      <c r="J16" s="36">
        <f t="shared" si="3"/>
        <v>9992</v>
      </c>
      <c r="K16" s="36">
        <f t="shared" si="3"/>
        <v>6115</v>
      </c>
      <c r="L16" s="36">
        <f t="shared" si="3"/>
        <v>6758</v>
      </c>
      <c r="M16" s="36"/>
      <c r="N16" s="36"/>
      <c r="O16" s="32"/>
      <c r="P16" s="32"/>
      <c r="Q16" s="32"/>
    </row>
    <row r="17" spans="1:17" x14ac:dyDescent="0.45">
      <c r="B17" s="24" t="s">
        <v>260</v>
      </c>
      <c r="C17" s="27">
        <f>'Sanofi Standardized'!C15</f>
        <v>-709</v>
      </c>
      <c r="D17" s="27">
        <f>'Sanofi Standardized'!D15</f>
        <v>-1325</v>
      </c>
      <c r="E17" s="27">
        <f>'Sanofi Standardized'!E15</f>
        <v>-1722</v>
      </c>
      <c r="F17" s="27">
        <f>'Sanofi Standardized'!F15</f>
        <v>-481</v>
      </c>
      <c r="G17" s="27">
        <f>'Sanofi Standardized'!G15</f>
        <v>-121</v>
      </c>
      <c r="H17" s="27">
        <f>'Sanofi Standardized'!H15</f>
        <v>-1807</v>
      </c>
      <c r="I17" s="27">
        <f>'Sanofi Standardized'!I15</f>
        <v>-1558</v>
      </c>
      <c r="J17" s="27">
        <f>'Sanofi Standardized'!J15</f>
        <v>-1909</v>
      </c>
      <c r="K17" s="27">
        <f>'Sanofi Standardized'!K15</f>
        <v>-1017</v>
      </c>
      <c r="L17" s="27">
        <f>'Sanofi Standardized'!L15</f>
        <v>-1204</v>
      </c>
      <c r="M17" s="27"/>
      <c r="N17" s="27"/>
      <c r="O17" s="27"/>
      <c r="P17" s="27"/>
      <c r="Q17" s="27"/>
    </row>
    <row r="18" spans="1:17" x14ac:dyDescent="0.45">
      <c r="B18" s="32" t="s">
        <v>261</v>
      </c>
      <c r="C18" s="32">
        <f t="shared" ref="C18:L18" si="4">SUM(C16:C17)</f>
        <v>4512</v>
      </c>
      <c r="D18" s="32">
        <f t="shared" si="4"/>
        <v>4486</v>
      </c>
      <c r="E18" s="32">
        <f t="shared" si="4"/>
        <v>3894</v>
      </c>
      <c r="F18" s="32">
        <f t="shared" si="4"/>
        <v>4423</v>
      </c>
      <c r="G18" s="32">
        <f t="shared" si="4"/>
        <v>2886</v>
      </c>
      <c r="H18" s="32">
        <f t="shared" si="4"/>
        <v>12330</v>
      </c>
      <c r="I18" s="32">
        <f t="shared" si="4"/>
        <v>6279</v>
      </c>
      <c r="J18" s="32">
        <f t="shared" si="4"/>
        <v>8083</v>
      </c>
      <c r="K18" s="32">
        <f t="shared" si="4"/>
        <v>5098</v>
      </c>
      <c r="L18" s="32">
        <f t="shared" si="4"/>
        <v>5554</v>
      </c>
      <c r="M18" s="32"/>
      <c r="N18" s="32"/>
      <c r="O18" s="32"/>
      <c r="P18" s="32"/>
      <c r="Q18" s="32"/>
    </row>
    <row r="19" spans="1:17" x14ac:dyDescent="0.45">
      <c r="B19" s="24" t="s">
        <v>262</v>
      </c>
      <c r="C19" s="32">
        <f>'Sanofi Standardized'!C16</f>
        <v>-124</v>
      </c>
      <c r="D19" s="32">
        <f>'Sanofi Standardized'!D16</f>
        <v>314</v>
      </c>
      <c r="E19" s="32">
        <f>'Sanofi Standardized'!E16</f>
        <v>4643</v>
      </c>
      <c r="F19" s="32">
        <f>'Sanofi Standardized'!F16</f>
        <v>-13</v>
      </c>
      <c r="G19" s="32">
        <f>'Sanofi Standardized'!G16</f>
        <v>-101</v>
      </c>
      <c r="H19" s="32">
        <f>'Sanofi Standardized'!H16</f>
        <v>0</v>
      </c>
      <c r="I19" s="32">
        <f>'Sanofi Standardized'!I16</f>
        <v>0</v>
      </c>
      <c r="J19" s="32">
        <f>'Sanofi Standardized'!J16</f>
        <v>401</v>
      </c>
      <c r="K19" s="32">
        <f>'Sanofi Standardized'!K16</f>
        <v>338</v>
      </c>
      <c r="L19" s="32">
        <f>'Sanofi Standardized'!L16</f>
        <v>64</v>
      </c>
      <c r="M19" s="32"/>
      <c r="N19" s="32"/>
      <c r="O19" s="32"/>
      <c r="P19" s="32"/>
      <c r="Q19" s="32"/>
    </row>
    <row r="20" spans="1:17" x14ac:dyDescent="0.45">
      <c r="B20" s="34" t="s">
        <v>263</v>
      </c>
      <c r="C20" s="27">
        <f>'Sanofi Standardized'!C17</f>
        <v>-101</v>
      </c>
      <c r="D20" s="27">
        <f>'Sanofi Standardized'!D17</f>
        <v>-91</v>
      </c>
      <c r="E20" s="27">
        <f>'Sanofi Standardized'!E17</f>
        <v>-121</v>
      </c>
      <c r="F20" s="27">
        <f>'Sanofi Standardized'!F17</f>
        <v>-104</v>
      </c>
      <c r="G20" s="27">
        <f>'Sanofi Standardized'!G17</f>
        <v>-31</v>
      </c>
      <c r="H20" s="27">
        <f>'Sanofi Standardized'!H17</f>
        <v>-36</v>
      </c>
      <c r="I20" s="27">
        <f>'Sanofi Standardized'!I17</f>
        <v>-56</v>
      </c>
      <c r="J20" s="27">
        <f>'Sanofi Standardized'!J17</f>
        <v>-113</v>
      </c>
      <c r="K20" s="27">
        <f>'Sanofi Standardized'!K17</f>
        <v>-36</v>
      </c>
      <c r="L20" s="27">
        <f>'Sanofi Standardized'!L17</f>
        <v>-58</v>
      </c>
      <c r="M20" s="27"/>
      <c r="N20" s="27"/>
      <c r="O20" s="27"/>
      <c r="P20" s="27"/>
      <c r="Q20" s="27"/>
    </row>
    <row r="21" spans="1:17" s="26" customFormat="1" ht="14.65" thickBot="1" x14ac:dyDescent="0.5">
      <c r="B21" s="44" t="s">
        <v>264</v>
      </c>
      <c r="C21" s="53">
        <f t="shared" ref="C21:L21" si="5">SUM(C18:C20)</f>
        <v>4287</v>
      </c>
      <c r="D21" s="53">
        <f t="shared" si="5"/>
        <v>4709</v>
      </c>
      <c r="E21" s="53">
        <f t="shared" si="5"/>
        <v>8416</v>
      </c>
      <c r="F21" s="53">
        <f t="shared" si="5"/>
        <v>4306</v>
      </c>
      <c r="G21" s="53">
        <f t="shared" si="5"/>
        <v>2754</v>
      </c>
      <c r="H21" s="53">
        <f t="shared" si="5"/>
        <v>12294</v>
      </c>
      <c r="I21" s="53">
        <f t="shared" si="5"/>
        <v>6223</v>
      </c>
      <c r="J21" s="53">
        <f t="shared" si="5"/>
        <v>8371</v>
      </c>
      <c r="K21" s="53">
        <f t="shared" si="5"/>
        <v>5400</v>
      </c>
      <c r="L21" s="53">
        <f t="shared" si="5"/>
        <v>5560</v>
      </c>
      <c r="M21" s="53"/>
      <c r="N21" s="53"/>
      <c r="O21" s="53"/>
      <c r="P21" s="53"/>
      <c r="Q21" s="53"/>
    </row>
    <row r="22" spans="1:17" ht="15" thickTop="1" thickBot="1" x14ac:dyDescent="0.5">
      <c r="B22" s="45"/>
      <c r="C22" s="45"/>
      <c r="D22" s="45"/>
      <c r="E22" s="45"/>
      <c r="F22" s="45"/>
      <c r="G22" s="45"/>
      <c r="H22" s="45"/>
      <c r="I22" s="45"/>
      <c r="J22" s="45"/>
      <c r="K22" s="45"/>
      <c r="L22" s="45"/>
      <c r="M22" s="45"/>
      <c r="N22" s="45"/>
      <c r="O22" s="45"/>
      <c r="P22" s="45"/>
      <c r="Q22" s="45"/>
    </row>
    <row r="23" spans="1:17" ht="14.65" thickTop="1" x14ac:dyDescent="0.45">
      <c r="A23" s="24" t="s">
        <v>14</v>
      </c>
      <c r="B23" s="32" t="s">
        <v>265</v>
      </c>
      <c r="C23" s="54"/>
      <c r="D23" s="54"/>
      <c r="E23" s="54"/>
      <c r="F23" s="54"/>
      <c r="G23" s="54"/>
      <c r="H23" s="54"/>
      <c r="I23" s="54"/>
      <c r="J23" s="54"/>
      <c r="K23" s="54"/>
      <c r="L23" s="54"/>
      <c r="M23" s="54"/>
      <c r="N23" s="54"/>
      <c r="O23" s="54"/>
      <c r="P23" s="54"/>
      <c r="Q23" s="54"/>
    </row>
    <row r="24" spans="1:17" x14ac:dyDescent="0.45">
      <c r="B24" s="24" t="s">
        <v>266</v>
      </c>
      <c r="C24" s="46"/>
      <c r="D24" s="46"/>
      <c r="E24" s="46"/>
      <c r="F24" s="46"/>
      <c r="G24" s="46"/>
      <c r="H24" s="46"/>
      <c r="I24" s="46"/>
      <c r="J24" s="46"/>
      <c r="K24" s="46"/>
      <c r="L24" s="46"/>
      <c r="M24" s="46"/>
      <c r="N24" s="46"/>
      <c r="O24" s="46"/>
      <c r="P24" s="46"/>
      <c r="Q24" s="46"/>
    </row>
    <row r="25" spans="1:17" x14ac:dyDescent="0.45">
      <c r="B25" s="47" t="s">
        <v>267</v>
      </c>
      <c r="C25" s="25">
        <f>+'Sanofi Standardized'!C6</f>
        <v>-10919</v>
      </c>
      <c r="D25" s="25">
        <f>+'Sanofi Standardized'!D6</f>
        <v>-10701</v>
      </c>
      <c r="E25" s="25">
        <f>+'Sanofi Standardized'!E6</f>
        <v>-11447</v>
      </c>
      <c r="F25" s="25">
        <f>+'Sanofi Standardized'!F6</f>
        <v>-11321</v>
      </c>
      <c r="G25" s="25">
        <f>+'Sanofi Standardized'!G6</f>
        <v>-11976</v>
      </c>
      <c r="H25" s="25">
        <f>+'Sanofi Standardized'!H6</f>
        <v>-12106</v>
      </c>
      <c r="I25" s="25">
        <f>+'Sanofi Standardized'!I6</f>
        <v>-12251</v>
      </c>
      <c r="J25" s="25">
        <f>+'Sanofi Standardized'!J6</f>
        <v>-11869</v>
      </c>
      <c r="K25" s="25">
        <f>+'Sanofi Standardized'!K6</f>
        <v>-12619</v>
      </c>
      <c r="L25" s="25">
        <f>+'Sanofi Standardized'!L6</f>
        <v>-13195</v>
      </c>
      <c r="M25" s="25"/>
      <c r="N25" s="25"/>
      <c r="O25" s="25"/>
      <c r="P25" s="25"/>
      <c r="Q25" s="25"/>
    </row>
    <row r="26" spans="1:17" x14ac:dyDescent="0.45">
      <c r="B26" s="47" t="s">
        <v>268</v>
      </c>
      <c r="C26" s="25">
        <f>+'Sanofi Standardized'!C8</f>
        <v>-9496</v>
      </c>
      <c r="D26" s="25">
        <f>+'Sanofi Standardized'!D8</f>
        <v>-9592</v>
      </c>
      <c r="E26" s="25">
        <f>+'Sanofi Standardized'!E8</f>
        <v>-10164</v>
      </c>
      <c r="F26" s="25">
        <f>+'Sanofi Standardized'!F8</f>
        <v>-9934</v>
      </c>
      <c r="G26" s="25">
        <f>+'Sanofi Standardized'!G8</f>
        <v>-9967</v>
      </c>
      <c r="H26" s="25">
        <f>+'Sanofi Standardized'!H8</f>
        <v>-9448</v>
      </c>
      <c r="I26" s="25">
        <f>+'Sanofi Standardized'!I8</f>
        <v>-9599</v>
      </c>
      <c r="J26" s="25">
        <f>+'Sanofi Standardized'!J8</f>
        <v>-8785</v>
      </c>
      <c r="K26" s="25">
        <f>+'Sanofi Standardized'!K8</f>
        <v>-9003</v>
      </c>
      <c r="L26" s="25">
        <f>+'Sanofi Standardized'!L8</f>
        <v>-9247</v>
      </c>
      <c r="M26" s="25"/>
      <c r="N26" s="25"/>
      <c r="O26" s="25"/>
      <c r="P26" s="25"/>
      <c r="Q26" s="25"/>
    </row>
    <row r="27" spans="1:17" x14ac:dyDescent="0.45">
      <c r="B27" s="2" t="s">
        <v>269</v>
      </c>
      <c r="C27" s="24">
        <f>+'Sanofi Standardized'!C9</f>
        <v>-5082</v>
      </c>
      <c r="D27" s="24">
        <f>+'Sanofi Standardized'!D9</f>
        <v>-5172</v>
      </c>
      <c r="E27" s="24">
        <f>+'Sanofi Standardized'!E9</f>
        <v>-5472</v>
      </c>
      <c r="F27" s="24">
        <f>+'Sanofi Standardized'!F9</f>
        <v>-5894</v>
      </c>
      <c r="G27" s="24">
        <f>+'Sanofi Standardized'!G9</f>
        <v>-6020</v>
      </c>
      <c r="H27" s="24">
        <f>+'Sanofi Standardized'!H9</f>
        <v>-5530</v>
      </c>
      <c r="I27" s="24">
        <f>+'Sanofi Standardized'!I9</f>
        <v>-5692</v>
      </c>
      <c r="J27" s="24">
        <f>+'Sanofi Standardized'!J9</f>
        <v>-6501</v>
      </c>
      <c r="K27" s="24">
        <f>+'Sanofi Standardized'!K9</f>
        <v>-6507</v>
      </c>
      <c r="L27" s="24">
        <f>+'Sanofi Standardized'!L9</f>
        <v>-7394</v>
      </c>
    </row>
    <row r="28" spans="1:17" ht="29" customHeight="1" x14ac:dyDescent="0.45">
      <c r="B28" s="47" t="s">
        <v>270</v>
      </c>
      <c r="C28" s="25">
        <f>+'Sanofi Standardized'!C10</f>
        <v>-256</v>
      </c>
      <c r="D28" s="25">
        <f>+'Sanofi Standardized'!D10</f>
        <v>-21</v>
      </c>
      <c r="E28" s="25">
        <f>+'Sanofi Standardized'!E10</f>
        <v>1</v>
      </c>
      <c r="F28" s="25">
        <f>+'Sanofi Standardized'!F10</f>
        <v>-334</v>
      </c>
      <c r="G28" s="25">
        <f>+'Sanofi Standardized'!G10</f>
        <v>-720</v>
      </c>
      <c r="H28" s="25">
        <f>+'Sanofi Standardized'!H10</f>
        <v>-1025</v>
      </c>
      <c r="I28" s="25">
        <f>+'Sanofi Standardized'!I10</f>
        <v>-1488</v>
      </c>
      <c r="J28" s="25">
        <f>+'Sanofi Standardized'!J10</f>
        <v>-1190</v>
      </c>
      <c r="K28" s="25">
        <f>+'Sanofi Standardized'!K10</f>
        <v>-2948</v>
      </c>
      <c r="L28" s="25">
        <f>+'Sanofi Standardized'!L10</f>
        <v>-3832</v>
      </c>
      <c r="M28" s="25"/>
      <c r="N28" s="25"/>
      <c r="O28" s="25"/>
      <c r="P28" s="25"/>
      <c r="Q28" s="25"/>
    </row>
    <row r="29" spans="1:17" x14ac:dyDescent="0.45">
      <c r="B29" s="24" t="s">
        <v>271</v>
      </c>
    </row>
    <row r="30" spans="1:17" x14ac:dyDescent="0.45">
      <c r="B30" s="47" t="s">
        <v>272</v>
      </c>
      <c r="C30" s="25"/>
      <c r="D30" s="25"/>
      <c r="E30" s="25"/>
      <c r="F30" s="25"/>
      <c r="G30" s="25"/>
      <c r="H30" s="25"/>
      <c r="I30" s="25"/>
      <c r="J30" s="25"/>
      <c r="K30" s="25"/>
      <c r="L30" s="25"/>
      <c r="M30" s="25"/>
      <c r="N30" s="25"/>
      <c r="O30" s="25"/>
      <c r="P30" s="25"/>
      <c r="Q30" s="25"/>
    </row>
    <row r="31" spans="1:17" x14ac:dyDescent="0.45">
      <c r="B31" s="47" t="s">
        <v>273</v>
      </c>
      <c r="C31" s="25"/>
      <c r="D31" s="25"/>
      <c r="E31" s="25"/>
      <c r="F31" s="25"/>
      <c r="G31" s="25"/>
      <c r="H31" s="25"/>
      <c r="I31" s="25"/>
      <c r="J31" s="25"/>
      <c r="K31" s="25"/>
      <c r="L31" s="25"/>
      <c r="M31" s="25"/>
      <c r="N31" s="25"/>
      <c r="O31" s="25"/>
      <c r="P31" s="25"/>
      <c r="Q31" s="25"/>
    </row>
    <row r="32" spans="1:17" ht="14.75" customHeight="1" x14ac:dyDescent="0.45">
      <c r="B32" s="47" t="s">
        <v>274</v>
      </c>
      <c r="C32" s="25"/>
      <c r="D32" s="25"/>
      <c r="E32" s="25"/>
      <c r="F32" s="25"/>
      <c r="G32" s="25"/>
      <c r="H32" s="25"/>
      <c r="I32" s="25"/>
      <c r="J32" s="25"/>
      <c r="K32" s="25"/>
      <c r="L32" s="25"/>
      <c r="M32" s="25"/>
      <c r="N32" s="25"/>
      <c r="O32" s="25"/>
      <c r="P32" s="25"/>
      <c r="Q32" s="25"/>
    </row>
    <row r="33" spans="1:17" ht="28.9" thickBot="1" x14ac:dyDescent="0.5">
      <c r="B33" s="215" t="s">
        <v>275</v>
      </c>
      <c r="C33" s="48"/>
      <c r="D33" s="48"/>
      <c r="E33" s="48"/>
      <c r="F33" s="48"/>
      <c r="G33" s="48"/>
      <c r="H33" s="48"/>
      <c r="I33" s="48"/>
      <c r="J33" s="48"/>
      <c r="K33" s="48"/>
      <c r="L33" s="48"/>
      <c r="M33" s="48"/>
      <c r="N33" s="48"/>
      <c r="O33" s="48"/>
      <c r="P33" s="48"/>
      <c r="Q33" s="48"/>
    </row>
    <row r="34" spans="1:17" ht="15" thickTop="1" thickBot="1" x14ac:dyDescent="0.5">
      <c r="B34" s="41"/>
      <c r="C34" s="41"/>
      <c r="D34" s="41"/>
      <c r="E34" s="41"/>
      <c r="F34" s="41"/>
      <c r="G34" s="41"/>
      <c r="H34" s="41"/>
      <c r="I34" s="41"/>
      <c r="J34" s="41"/>
      <c r="K34" s="41"/>
      <c r="L34" s="41"/>
      <c r="M34" s="41"/>
      <c r="N34" s="41"/>
      <c r="O34" s="41"/>
      <c r="P34" s="41"/>
      <c r="Q34" s="41"/>
    </row>
    <row r="35" spans="1:17" ht="14.65" thickTop="1" x14ac:dyDescent="0.45">
      <c r="A35" s="24" t="s">
        <v>14</v>
      </c>
      <c r="B35" s="32" t="s">
        <v>276</v>
      </c>
      <c r="C35" s="54"/>
      <c r="D35" s="54"/>
      <c r="E35" s="54"/>
      <c r="F35" s="54"/>
      <c r="G35" s="54"/>
      <c r="H35" s="54"/>
      <c r="I35" s="54"/>
      <c r="J35" s="54"/>
      <c r="K35" s="54"/>
      <c r="L35" s="54"/>
      <c r="M35" s="54"/>
      <c r="N35" s="54"/>
      <c r="O35" s="54"/>
      <c r="P35" s="54"/>
      <c r="Q35" s="54"/>
    </row>
    <row r="36" spans="1:17" x14ac:dyDescent="0.45">
      <c r="B36" s="24" t="s">
        <v>277</v>
      </c>
      <c r="C36" s="46"/>
      <c r="D36" s="46"/>
      <c r="E36" s="46"/>
      <c r="F36" s="46"/>
      <c r="G36" s="46"/>
      <c r="H36" s="46"/>
      <c r="I36" s="46"/>
      <c r="J36" s="46"/>
      <c r="K36" s="46"/>
      <c r="L36" s="46"/>
      <c r="M36" s="46"/>
      <c r="N36" s="46"/>
      <c r="O36" s="46"/>
      <c r="P36" s="46"/>
      <c r="Q36" s="46"/>
    </row>
    <row r="37" spans="1:17" x14ac:dyDescent="0.45">
      <c r="B37" s="34" t="s">
        <v>278</v>
      </c>
      <c r="C37" s="25">
        <f>SUM('Sanofi Standardized'!C35)</f>
        <v>10112</v>
      </c>
      <c r="D37" s="25">
        <f>SUM('Sanofi Standardized'!D35)</f>
        <v>12839</v>
      </c>
      <c r="E37" s="25">
        <f>SUM('Sanofi Standardized'!E35)</f>
        <v>9712</v>
      </c>
      <c r="F37" s="25">
        <f>SUM('Sanofi Standardized'!F35)</f>
        <v>10029</v>
      </c>
      <c r="G37" s="25">
        <f>SUM('Sanofi Standardized'!G35)</f>
        <v>11488</v>
      </c>
      <c r="H37" s="25">
        <f>SUM('Sanofi Standardized'!H35)</f>
        <v>11104</v>
      </c>
      <c r="I37" s="25">
        <f>SUM('Sanofi Standardized'!I35)</f>
        <v>12621</v>
      </c>
      <c r="J37" s="25">
        <f>SUM('Sanofi Standardized'!J35)</f>
        <v>12481</v>
      </c>
      <c r="K37" s="25">
        <f>SUM('Sanofi Standardized'!K35)</f>
        <v>12387</v>
      </c>
      <c r="L37" s="25">
        <f>SUM('Sanofi Standardized'!L35)</f>
        <v>12469</v>
      </c>
      <c r="M37" s="25"/>
      <c r="N37" s="25"/>
      <c r="O37" s="25"/>
      <c r="P37" s="25"/>
      <c r="Q37" s="25"/>
    </row>
    <row r="38" spans="1:17" x14ac:dyDescent="0.45">
      <c r="B38" s="34" t="s">
        <v>279</v>
      </c>
      <c r="C38" s="25">
        <f>SUM('Sanofi Standardized'!C36)</f>
        <v>52254</v>
      </c>
      <c r="D38" s="25">
        <f>SUM('Sanofi Standardized'!D36)</f>
        <v>51166</v>
      </c>
      <c r="E38" s="25">
        <f>SUM('Sanofi Standardized'!E36)</f>
        <v>54043</v>
      </c>
      <c r="F38" s="25">
        <f>SUM('Sanofi Standardized'!F36)</f>
        <v>66588</v>
      </c>
      <c r="G38" s="25">
        <f>SUM('Sanofi Standardized'!G36)</f>
        <v>61549</v>
      </c>
      <c r="H38" s="25">
        <f>SUM('Sanofi Standardized'!H36)</f>
        <v>63242</v>
      </c>
      <c r="I38" s="25">
        <f>SUM('Sanofi Standardized'!I36)</f>
        <v>69948</v>
      </c>
      <c r="J38" s="25">
        <f>SUM('Sanofi Standardized'!J36)</f>
        <v>71984</v>
      </c>
      <c r="K38" s="25">
        <f>SUM('Sanofi Standardized'!K36)</f>
        <v>74314</v>
      </c>
      <c r="L38" s="25">
        <f>SUM('Sanofi Standardized'!L36)</f>
        <v>66515</v>
      </c>
      <c r="M38" s="25"/>
      <c r="N38" s="25"/>
      <c r="O38" s="25"/>
      <c r="P38" s="25"/>
      <c r="Q38" s="25"/>
    </row>
    <row r="39" spans="1:17" x14ac:dyDescent="0.45">
      <c r="B39" s="34" t="s">
        <v>280</v>
      </c>
      <c r="C39" s="25">
        <f>SUM('Sanofi Standardized'!C37)</f>
        <v>4561</v>
      </c>
      <c r="D39" s="25">
        <f>SUM('Sanofi Standardized'!D37)</f>
        <v>2892</v>
      </c>
      <c r="E39" s="25">
        <f>SUM('Sanofi Standardized'!E37)</f>
        <v>5379</v>
      </c>
      <c r="F39" s="25">
        <f>SUM('Sanofi Standardized'!F37)</f>
        <v>5531</v>
      </c>
      <c r="G39" s="25">
        <f>SUM('Sanofi Standardized'!G37)</f>
        <v>5266</v>
      </c>
      <c r="H39" s="25">
        <f>SUM('Sanofi Standardized'!H37)</f>
        <v>2105</v>
      </c>
      <c r="I39" s="25">
        <f>SUM('Sanofi Standardized'!I37)</f>
        <v>2422</v>
      </c>
      <c r="J39" s="25">
        <f>SUM('Sanofi Standardized'!J37)</f>
        <v>2765</v>
      </c>
      <c r="K39" s="25">
        <f>SUM('Sanofi Standardized'!K37)</f>
        <v>2666</v>
      </c>
      <c r="L39" s="25">
        <f>SUM('Sanofi Standardized'!L37)</f>
        <v>3259</v>
      </c>
      <c r="M39" s="25"/>
      <c r="N39" s="25"/>
      <c r="O39" s="25"/>
      <c r="P39" s="25"/>
      <c r="Q39" s="25"/>
    </row>
    <row r="40" spans="1:17" x14ac:dyDescent="0.45">
      <c r="B40" s="34" t="s">
        <v>281</v>
      </c>
      <c r="C40" s="25">
        <f>'Sanofi Standardized'!C38</f>
        <v>4714</v>
      </c>
      <c r="D40" s="25">
        <f>'Sanofi Standardized'!D38</f>
        <v>4670</v>
      </c>
      <c r="E40" s="25">
        <f>'Sanofi Standardized'!E38</f>
        <v>4291</v>
      </c>
      <c r="F40" s="25">
        <f>'Sanofi Standardized'!F38</f>
        <v>4613</v>
      </c>
      <c r="G40" s="25">
        <f>'Sanofi Standardized'!G38</f>
        <v>5391</v>
      </c>
      <c r="H40" s="25">
        <f>'Sanofi Standardized'!H38</f>
        <v>4176</v>
      </c>
      <c r="I40" s="25">
        <f>'Sanofi Standardized'!I38</f>
        <v>4598</v>
      </c>
      <c r="J40" s="25">
        <f>'Sanofi Standardized'!J38</f>
        <v>5381</v>
      </c>
      <c r="K40" s="25">
        <f>'Sanofi Standardized'!K38</f>
        <v>6427</v>
      </c>
      <c r="L40" s="25">
        <f>'Sanofi Standardized'!L38</f>
        <v>7967</v>
      </c>
      <c r="M40" s="25"/>
      <c r="N40" s="25"/>
      <c r="O40" s="25"/>
      <c r="P40" s="25"/>
      <c r="Q40" s="25"/>
    </row>
    <row r="41" spans="1:17" x14ac:dyDescent="0.45">
      <c r="B41" s="35" t="s">
        <v>282</v>
      </c>
      <c r="C41" s="36">
        <f t="shared" ref="C41:L41" si="6">SUM(C37:C40)</f>
        <v>71641</v>
      </c>
      <c r="D41" s="36">
        <f t="shared" si="6"/>
        <v>71567</v>
      </c>
      <c r="E41" s="36">
        <f t="shared" si="6"/>
        <v>73425</v>
      </c>
      <c r="F41" s="36">
        <f t="shared" si="6"/>
        <v>86761</v>
      </c>
      <c r="G41" s="36">
        <f t="shared" si="6"/>
        <v>83694</v>
      </c>
      <c r="H41" s="36">
        <f t="shared" si="6"/>
        <v>80627</v>
      </c>
      <c r="I41" s="36">
        <f t="shared" si="6"/>
        <v>89589</v>
      </c>
      <c r="J41" s="36">
        <f t="shared" si="6"/>
        <v>92611</v>
      </c>
      <c r="K41" s="36">
        <f t="shared" si="6"/>
        <v>95794</v>
      </c>
      <c r="L41" s="36">
        <f t="shared" si="6"/>
        <v>90210</v>
      </c>
      <c r="M41" s="36"/>
      <c r="N41" s="36"/>
      <c r="O41" s="36"/>
      <c r="P41" s="36"/>
      <c r="Q41" s="36"/>
    </row>
    <row r="43" spans="1:17" x14ac:dyDescent="0.45">
      <c r="B43" s="34" t="s">
        <v>136</v>
      </c>
      <c r="C43" s="25">
        <f>'Sanofi Standardized'!C33</f>
        <v>6516</v>
      </c>
      <c r="D43" s="25">
        <f>'Sanofi Standardized'!D33</f>
        <v>6896</v>
      </c>
      <c r="E43" s="25">
        <f>'Sanofi Standardized'!E33</f>
        <v>6818</v>
      </c>
      <c r="F43" s="25">
        <f>'Sanofi Standardized'!F33</f>
        <v>7477</v>
      </c>
      <c r="G43" s="25">
        <f>'Sanofi Standardized'!G33</f>
        <v>7994</v>
      </c>
      <c r="H43" s="25">
        <f>'Sanofi Standardized'!H33</f>
        <v>8352</v>
      </c>
      <c r="I43" s="25">
        <f>'Sanofi Standardized'!I33</f>
        <v>8715</v>
      </c>
      <c r="J43" s="25">
        <f>'Sanofi Standardized'!J33</f>
        <v>8960</v>
      </c>
      <c r="K43" s="25">
        <f>'Sanofi Standardized'!K33</f>
        <v>9666</v>
      </c>
      <c r="L43" s="25">
        <f>'Sanofi Standardized'!L33</f>
        <v>9431</v>
      </c>
      <c r="M43" s="25"/>
      <c r="N43" s="25"/>
      <c r="O43" s="25"/>
      <c r="P43" s="25"/>
      <c r="Q43" s="25"/>
    </row>
    <row r="44" spans="1:17" x14ac:dyDescent="0.45">
      <c r="B44" s="34" t="s">
        <v>283</v>
      </c>
      <c r="C44" s="25">
        <f>'Sanofi Standardized'!C32</f>
        <v>7386</v>
      </c>
      <c r="D44" s="25">
        <f>'Sanofi Standardized'!D32</f>
        <v>7311</v>
      </c>
      <c r="E44" s="25">
        <f>'Sanofi Standardized'!E32</f>
        <v>7216</v>
      </c>
      <c r="F44" s="25">
        <f>'Sanofi Standardized'!F32</f>
        <v>7260</v>
      </c>
      <c r="G44" s="25">
        <f>'Sanofi Standardized'!G32</f>
        <v>7937</v>
      </c>
      <c r="H44" s="25">
        <f>'Sanofi Standardized'!H32</f>
        <v>7491</v>
      </c>
      <c r="I44" s="25">
        <f>'Sanofi Standardized'!I32</f>
        <v>7568</v>
      </c>
      <c r="J44" s="25">
        <f>'Sanofi Standardized'!J32</f>
        <v>8424</v>
      </c>
      <c r="K44" s="25">
        <f>'Sanofi Standardized'!K32</f>
        <v>8433</v>
      </c>
      <c r="L44" s="25">
        <f>'Sanofi Standardized'!L32</f>
        <v>7677</v>
      </c>
      <c r="M44" s="25"/>
      <c r="N44" s="25"/>
      <c r="O44" s="25"/>
      <c r="P44" s="25"/>
      <c r="Q44" s="25"/>
    </row>
    <row r="45" spans="1:17" x14ac:dyDescent="0.45">
      <c r="B45" s="34" t="s">
        <v>284</v>
      </c>
      <c r="C45" s="25">
        <f>'Sanofi Standardized'!C34</f>
        <v>7630</v>
      </c>
      <c r="D45" s="25">
        <f>'Sanofi Standardized'!D34</f>
        <v>8632</v>
      </c>
      <c r="E45" s="25">
        <f>'Sanofi Standardized'!E34</f>
        <v>2039</v>
      </c>
      <c r="F45" s="25">
        <f>'Sanofi Standardized'!F34</f>
        <v>2985</v>
      </c>
      <c r="G45" s="25">
        <f>'Sanofi Standardized'!G34</f>
        <v>3578</v>
      </c>
      <c r="H45" s="25">
        <f>'Sanofi Standardized'!H34</f>
        <v>4028</v>
      </c>
      <c r="I45" s="25">
        <f>'Sanofi Standardized'!I34</f>
        <v>4272</v>
      </c>
      <c r="J45" s="25">
        <f>'Sanofi Standardized'!J34</f>
        <v>3991</v>
      </c>
      <c r="K45" s="25">
        <f>'Sanofi Standardized'!K34</f>
        <v>3861</v>
      </c>
      <c r="L45" s="25">
        <f>'Sanofi Standardized'!L34</f>
        <v>18039</v>
      </c>
      <c r="M45" s="25"/>
      <c r="N45" s="25"/>
      <c r="O45" s="25"/>
      <c r="P45" s="25"/>
      <c r="Q45" s="25"/>
    </row>
    <row r="46" spans="1:17" x14ac:dyDescent="0.45">
      <c r="B46" s="34" t="s">
        <v>285</v>
      </c>
      <c r="C46" s="27">
        <f>'Sanofi Standardized'!C31</f>
        <v>9148</v>
      </c>
      <c r="D46" s="27">
        <f>'Sanofi Standardized'!D31</f>
        <v>10273</v>
      </c>
      <c r="E46" s="27">
        <f>'Sanofi Standardized'!E31</f>
        <v>10315</v>
      </c>
      <c r="F46" s="27">
        <f>'Sanofi Standardized'!F31</f>
        <v>6925</v>
      </c>
      <c r="G46" s="27">
        <f>'Sanofi Standardized'!G31</f>
        <v>9427</v>
      </c>
      <c r="H46" s="27">
        <f>'Sanofi Standardized'!H31</f>
        <v>13915</v>
      </c>
      <c r="I46" s="27">
        <f>'Sanofi Standardized'!I31</f>
        <v>10098</v>
      </c>
      <c r="J46" s="27">
        <f>'Sanofi Standardized'!J31</f>
        <v>12736</v>
      </c>
      <c r="K46" s="27">
        <f>'Sanofi Standardized'!K31</f>
        <v>8710</v>
      </c>
      <c r="L46" s="27">
        <f>'Sanofi Standardized'!L31</f>
        <v>7441</v>
      </c>
      <c r="M46" s="27"/>
      <c r="N46" s="27"/>
      <c r="O46" s="27"/>
      <c r="P46" s="27"/>
      <c r="Q46" s="27"/>
    </row>
    <row r="47" spans="1:17" x14ac:dyDescent="0.45">
      <c r="B47" s="42" t="s">
        <v>286</v>
      </c>
      <c r="C47" s="32">
        <f t="shared" ref="C47:L47" si="7">SUM(C43:C46)</f>
        <v>30680</v>
      </c>
      <c r="D47" s="32">
        <f t="shared" si="7"/>
        <v>33112</v>
      </c>
      <c r="E47" s="32">
        <f t="shared" si="7"/>
        <v>26388</v>
      </c>
      <c r="F47" s="32">
        <f t="shared" si="7"/>
        <v>24647</v>
      </c>
      <c r="G47" s="32">
        <f t="shared" si="7"/>
        <v>28936</v>
      </c>
      <c r="H47" s="32">
        <f t="shared" si="7"/>
        <v>33786</v>
      </c>
      <c r="I47" s="32">
        <f t="shared" si="7"/>
        <v>30653</v>
      </c>
      <c r="J47" s="32">
        <f t="shared" si="7"/>
        <v>34111</v>
      </c>
      <c r="K47" s="32">
        <f t="shared" si="7"/>
        <v>30670</v>
      </c>
      <c r="L47" s="32">
        <f t="shared" si="7"/>
        <v>42588</v>
      </c>
      <c r="M47" s="32"/>
      <c r="N47" s="32"/>
      <c r="O47" s="32"/>
      <c r="P47" s="32"/>
      <c r="Q47" s="32"/>
    </row>
    <row r="49" spans="2:17" ht="14.65" thickBot="1" x14ac:dyDescent="0.5">
      <c r="B49" s="34"/>
      <c r="C49" s="49"/>
      <c r="D49" s="49"/>
      <c r="E49" s="49"/>
      <c r="F49" s="49"/>
      <c r="G49" s="49"/>
      <c r="H49" s="49"/>
      <c r="I49" s="49"/>
      <c r="J49" s="49"/>
      <c r="K49" s="49"/>
      <c r="L49" s="49"/>
      <c r="M49" s="49"/>
      <c r="N49" s="49"/>
      <c r="O49" s="49"/>
      <c r="P49" s="49"/>
      <c r="Q49" s="49"/>
    </row>
    <row r="50" spans="2:17" ht="14.65" thickTop="1" x14ac:dyDescent="0.45">
      <c r="B50" s="42" t="s">
        <v>287</v>
      </c>
      <c r="C50" s="32">
        <f t="shared" ref="C50" si="8">SUM(C41,C47)</f>
        <v>102321</v>
      </c>
      <c r="D50" s="32">
        <f t="shared" ref="D50:L50" si="9">SUM(D41,D47)</f>
        <v>104679</v>
      </c>
      <c r="E50" s="32">
        <f t="shared" si="9"/>
        <v>99813</v>
      </c>
      <c r="F50" s="32">
        <f t="shared" si="9"/>
        <v>111408</v>
      </c>
      <c r="G50" s="32">
        <f t="shared" si="9"/>
        <v>112630</v>
      </c>
      <c r="H50" s="32">
        <f t="shared" si="9"/>
        <v>114413</v>
      </c>
      <c r="I50" s="32">
        <f t="shared" si="9"/>
        <v>120242</v>
      </c>
      <c r="J50" s="32">
        <f t="shared" si="9"/>
        <v>126722</v>
      </c>
      <c r="K50" s="32">
        <f t="shared" si="9"/>
        <v>126464</v>
      </c>
      <c r="L50" s="32">
        <f t="shared" si="9"/>
        <v>132798</v>
      </c>
      <c r="M50" s="32"/>
      <c r="N50" s="32"/>
      <c r="O50" s="32"/>
      <c r="P50" s="32"/>
      <c r="Q50" s="32"/>
    </row>
    <row r="52" spans="2:17" x14ac:dyDescent="0.45">
      <c r="B52" s="24" t="s">
        <v>288</v>
      </c>
    </row>
    <row r="53" spans="2:17" x14ac:dyDescent="0.45">
      <c r="B53" s="42" t="s">
        <v>289</v>
      </c>
      <c r="C53" s="23">
        <f>'Sanofi Standardized'!C50</f>
        <v>58049</v>
      </c>
      <c r="D53" s="23">
        <f>'Sanofi Standardized'!D50</f>
        <v>57552</v>
      </c>
      <c r="E53" s="23">
        <f>'Sanofi Standardized'!E50</f>
        <v>58070</v>
      </c>
      <c r="F53" s="23">
        <f>'Sanofi Standardized'!F50</f>
        <v>58876</v>
      </c>
      <c r="G53" s="23">
        <f>'Sanofi Standardized'!G50</f>
        <v>59056</v>
      </c>
      <c r="H53" s="23">
        <f>'Sanofi Standardized'!H50</f>
        <v>63106</v>
      </c>
      <c r="I53" s="23">
        <f>'Sanofi Standardized'!I50</f>
        <v>68681</v>
      </c>
      <c r="J53" s="23">
        <f>'Sanofi Standardized'!J50</f>
        <v>74784</v>
      </c>
      <c r="K53" s="23">
        <f>'Sanofi Standardized'!K50</f>
        <v>74040</v>
      </c>
      <c r="L53" s="23">
        <f>'Sanofi Standardized'!L50</f>
        <v>77507</v>
      </c>
      <c r="M53" s="23"/>
      <c r="N53" s="23"/>
      <c r="O53" s="23"/>
      <c r="P53" s="23"/>
      <c r="Q53" s="23"/>
    </row>
    <row r="54" spans="2:17" x14ac:dyDescent="0.45">
      <c r="B54" s="24" t="s">
        <v>290</v>
      </c>
      <c r="C54" s="24">
        <f>'Sanofi Standardized'!C51</f>
        <v>0</v>
      </c>
      <c r="D54" s="24">
        <f>'Sanofi Standardized'!D51</f>
        <v>0</v>
      </c>
      <c r="E54" s="24">
        <f>'Sanofi Standardized'!E51</f>
        <v>0</v>
      </c>
      <c r="F54" s="24">
        <f>'Sanofi Standardized'!F51</f>
        <v>0</v>
      </c>
      <c r="G54" s="24">
        <f>'Sanofi Standardized'!G51</f>
        <v>0</v>
      </c>
      <c r="H54" s="24">
        <f>'Sanofi Standardized'!H51</f>
        <v>0</v>
      </c>
      <c r="I54" s="24">
        <f>'Sanofi Standardized'!I51</f>
        <v>0</v>
      </c>
      <c r="J54" s="24">
        <f>'Sanofi Standardized'!J51</f>
        <v>0</v>
      </c>
      <c r="K54" s="24">
        <f>'Sanofi Standardized'!K51</f>
        <v>0</v>
      </c>
      <c r="L54" s="24">
        <f>'Sanofi Standardized'!L51</f>
        <v>0</v>
      </c>
    </row>
    <row r="55" spans="2:17" x14ac:dyDescent="0.45">
      <c r="B55" s="216" t="s">
        <v>291</v>
      </c>
      <c r="C55" s="25">
        <f>'Sanofi Standardized'!C49</f>
        <v>161</v>
      </c>
      <c r="D55" s="25">
        <f>'Sanofi Standardized'!D49</f>
        <v>170</v>
      </c>
      <c r="E55" s="25">
        <f>'Sanofi Standardized'!E49</f>
        <v>169</v>
      </c>
      <c r="F55" s="25">
        <f>'Sanofi Standardized'!F49</f>
        <v>159</v>
      </c>
      <c r="G55" s="25">
        <f>'Sanofi Standardized'!G49</f>
        <v>174</v>
      </c>
      <c r="H55" s="25">
        <f>'Sanofi Standardized'!H49</f>
        <v>146</v>
      </c>
      <c r="I55" s="25">
        <f>'Sanofi Standardized'!I49</f>
        <v>350</v>
      </c>
      <c r="J55" s="25">
        <f>'Sanofi Standardized'!J49</f>
        <v>368</v>
      </c>
      <c r="K55" s="25">
        <f>'Sanofi Standardized'!K49</f>
        <v>313</v>
      </c>
      <c r="L55" s="25">
        <f>'Sanofi Standardized'!L49</f>
        <v>350</v>
      </c>
      <c r="M55" s="23"/>
      <c r="N55" s="23"/>
      <c r="O55" s="23"/>
      <c r="P55" s="23"/>
      <c r="Q55" s="23"/>
    </row>
    <row r="58" spans="2:17" x14ac:dyDescent="0.45">
      <c r="B58" s="34" t="s">
        <v>292</v>
      </c>
      <c r="C58" s="25">
        <f>'Sanofi Standardized'!C46</f>
        <v>17426</v>
      </c>
      <c r="D58" s="25">
        <f>'Sanofi Standardized'!D46</f>
        <v>21192</v>
      </c>
      <c r="E58" s="25">
        <f>'Sanofi Standardized'!E46</f>
        <v>18285</v>
      </c>
      <c r="F58" s="25">
        <f>'Sanofi Standardized'!F46</f>
        <v>25529</v>
      </c>
      <c r="G58" s="25">
        <f>'Sanofi Standardized'!G46</f>
        <v>24717</v>
      </c>
      <c r="H58" s="25">
        <f>'Sanofi Standardized'!H46</f>
        <v>23952</v>
      </c>
      <c r="I58" s="25">
        <f>'Sanofi Standardized'!I46</f>
        <v>21909</v>
      </c>
      <c r="J58" s="25">
        <f>'Sanofi Standardized'!J46</f>
        <v>18800</v>
      </c>
      <c r="K58" s="25">
        <f>'Sanofi Standardized'!K46</f>
        <v>18316</v>
      </c>
      <c r="L58" s="25">
        <f>'Sanofi Standardized'!L46</f>
        <v>15428</v>
      </c>
      <c r="M58" s="25"/>
      <c r="N58" s="25"/>
      <c r="O58" s="25"/>
      <c r="P58" s="25"/>
      <c r="Q58" s="25"/>
    </row>
    <row r="59" spans="2:17" x14ac:dyDescent="0.45">
      <c r="B59" s="34" t="s">
        <v>293</v>
      </c>
      <c r="C59" s="25">
        <f>'Sanofi Standardized'!C47</f>
        <v>2895</v>
      </c>
      <c r="D59" s="25">
        <f>'Sanofi Standardized'!D47</f>
        <v>2292</v>
      </c>
      <c r="E59" s="25">
        <f>'Sanofi Standardized'!E47</f>
        <v>1605</v>
      </c>
      <c r="F59" s="25">
        <f>'Sanofi Standardized'!F47</f>
        <v>3414</v>
      </c>
      <c r="G59" s="25">
        <f>'Sanofi Standardized'!G47</f>
        <v>2294</v>
      </c>
      <c r="H59" s="25">
        <f>'Sanofi Standardized'!H47</f>
        <v>1770</v>
      </c>
      <c r="I59" s="25">
        <f>'Sanofi Standardized'!I47</f>
        <v>1617</v>
      </c>
      <c r="J59" s="25">
        <f>'Sanofi Standardized'!J47</f>
        <v>1841</v>
      </c>
      <c r="K59" s="25">
        <f>'Sanofi Standardized'!K47</f>
        <v>1857</v>
      </c>
      <c r="L59" s="25">
        <f>'Sanofi Standardized'!L47</f>
        <v>2166</v>
      </c>
      <c r="M59" s="25"/>
      <c r="N59" s="25"/>
      <c r="O59" s="25"/>
      <c r="P59" s="25"/>
      <c r="Q59" s="25"/>
    </row>
    <row r="60" spans="2:17" x14ac:dyDescent="0.45">
      <c r="B60" s="34" t="s">
        <v>294</v>
      </c>
      <c r="C60" s="25">
        <f>'Sanofi Standardized'!C48</f>
        <v>5982</v>
      </c>
      <c r="D60" s="25">
        <f>'Sanofi Standardized'!D48</f>
        <v>5835</v>
      </c>
      <c r="E60" s="25">
        <f>'Sanofi Standardized'!E48</f>
        <v>6221</v>
      </c>
      <c r="F60" s="25">
        <f>'Sanofi Standardized'!F48</f>
        <v>6054</v>
      </c>
      <c r="G60" s="25">
        <f>'Sanofi Standardized'!G48</f>
        <v>6002</v>
      </c>
      <c r="H60" s="25">
        <f>'Sanofi Standardized'!H48</f>
        <v>6159</v>
      </c>
      <c r="I60" s="25">
        <f>'Sanofi Standardized'!I48</f>
        <v>6390</v>
      </c>
      <c r="J60" s="25">
        <f>'Sanofi Standardized'!J48</f>
        <v>6955</v>
      </c>
      <c r="K60" s="25">
        <f>'Sanofi Standardized'!K48</f>
        <v>7731</v>
      </c>
      <c r="L60" s="25">
        <f>'Sanofi Standardized'!L48</f>
        <v>8185</v>
      </c>
      <c r="M60" s="27"/>
      <c r="N60" s="27"/>
      <c r="O60" s="27"/>
      <c r="P60" s="27"/>
      <c r="Q60" s="27"/>
    </row>
    <row r="61" spans="2:17" x14ac:dyDescent="0.45">
      <c r="B61" s="42" t="s">
        <v>295</v>
      </c>
      <c r="C61" s="36">
        <f t="shared" ref="C61:Q61" si="10">SUM(C58:C60)</f>
        <v>26303</v>
      </c>
      <c r="D61" s="36">
        <f t="shared" si="10"/>
        <v>29319</v>
      </c>
      <c r="E61" s="36">
        <f t="shared" si="10"/>
        <v>26111</v>
      </c>
      <c r="F61" s="36">
        <f t="shared" si="10"/>
        <v>34997</v>
      </c>
      <c r="G61" s="36">
        <f t="shared" si="10"/>
        <v>33013</v>
      </c>
      <c r="H61" s="36">
        <f t="shared" si="10"/>
        <v>31881</v>
      </c>
      <c r="I61" s="36">
        <f t="shared" si="10"/>
        <v>29916</v>
      </c>
      <c r="J61" s="36">
        <f t="shared" si="10"/>
        <v>27596</v>
      </c>
      <c r="K61" s="36">
        <f t="shared" si="10"/>
        <v>27904</v>
      </c>
      <c r="L61" s="36">
        <f t="shared" si="10"/>
        <v>25779</v>
      </c>
      <c r="M61" s="32">
        <f t="shared" si="10"/>
        <v>0</v>
      </c>
      <c r="N61" s="32">
        <f t="shared" si="10"/>
        <v>0</v>
      </c>
      <c r="O61" s="32">
        <f t="shared" si="10"/>
        <v>0</v>
      </c>
      <c r="P61" s="32">
        <f t="shared" si="10"/>
        <v>0</v>
      </c>
      <c r="Q61" s="32">
        <f t="shared" si="10"/>
        <v>0</v>
      </c>
    </row>
    <row r="63" spans="2:17" x14ac:dyDescent="0.45">
      <c r="B63" s="34" t="s">
        <v>296</v>
      </c>
      <c r="C63" s="25">
        <f>'Sanofi Standardized'!C44</f>
        <v>3817</v>
      </c>
      <c r="D63" s="25">
        <f>'Sanofi Standardized'!D44</f>
        <v>4297</v>
      </c>
      <c r="E63" s="25">
        <f>'Sanofi Standardized'!E44</f>
        <v>4633</v>
      </c>
      <c r="F63" s="25">
        <f>'Sanofi Standardized'!F44</f>
        <v>5041</v>
      </c>
      <c r="G63" s="25">
        <f>'Sanofi Standardized'!G44</f>
        <v>5313</v>
      </c>
      <c r="H63" s="25">
        <f>'Sanofi Standardized'!H44</f>
        <v>5295</v>
      </c>
      <c r="I63" s="25">
        <f>'Sanofi Standardized'!I44</f>
        <v>6180</v>
      </c>
      <c r="J63" s="25">
        <f>'Sanofi Standardized'!J44</f>
        <v>6813</v>
      </c>
      <c r="K63" s="25">
        <f>'Sanofi Standardized'!K44</f>
        <v>7328</v>
      </c>
      <c r="L63" s="25">
        <f>'Sanofi Standardized'!L44</f>
        <v>7551</v>
      </c>
      <c r="M63" s="25"/>
      <c r="N63" s="25"/>
      <c r="O63" s="25"/>
      <c r="P63" s="25"/>
      <c r="Q63" s="25"/>
    </row>
    <row r="64" spans="2:17" x14ac:dyDescent="0.45">
      <c r="B64" s="34" t="s">
        <v>297</v>
      </c>
      <c r="C64" s="25">
        <f>'Sanofi Standardized'!C45</f>
        <v>10551</v>
      </c>
      <c r="D64" s="25">
        <f>'Sanofi Standardized'!D45</f>
        <v>11575</v>
      </c>
      <c r="E64" s="25">
        <f>'Sanofi Standardized'!E45</f>
        <v>9555</v>
      </c>
      <c r="F64" s="25">
        <f>'Sanofi Standardized'!F45</f>
        <v>9702</v>
      </c>
      <c r="G64" s="25">
        <f>'Sanofi Standardized'!G45</f>
        <v>10257</v>
      </c>
      <c r="H64" s="25">
        <f>'Sanofi Standardized'!H45</f>
        <v>10986</v>
      </c>
      <c r="I64" s="25">
        <f>'Sanofi Standardized'!I45</f>
        <v>11662</v>
      </c>
      <c r="J64" s="25">
        <f>'Sanofi Standardized'!J45</f>
        <v>12710</v>
      </c>
      <c r="K64" s="25">
        <f>'Sanofi Standardized'!K45</f>
        <v>14558</v>
      </c>
      <c r="L64" s="25">
        <f>'Sanofi Standardized'!L45</f>
        <v>17134</v>
      </c>
      <c r="M64" s="25"/>
      <c r="N64" s="25"/>
      <c r="O64" s="25"/>
      <c r="P64" s="25"/>
      <c r="Q64" s="25"/>
    </row>
    <row r="65" spans="1:20" x14ac:dyDescent="0.45">
      <c r="B65" s="34" t="s">
        <v>298</v>
      </c>
      <c r="C65" s="27">
        <f>'Sanofi Standardized'!C43</f>
        <v>3440</v>
      </c>
      <c r="D65" s="27">
        <f>'Sanofi Standardized'!D43</f>
        <v>1766</v>
      </c>
      <c r="E65" s="27">
        <f>'Sanofi Standardized'!E43</f>
        <v>1275</v>
      </c>
      <c r="F65" s="27">
        <f>'Sanofi Standardized'!F43</f>
        <v>2633</v>
      </c>
      <c r="G65" s="27">
        <f>'Sanofi Standardized'!G43</f>
        <v>4817</v>
      </c>
      <c r="H65" s="27">
        <f>'Sanofi Standardized'!H43</f>
        <v>2999</v>
      </c>
      <c r="I65" s="27">
        <f>'Sanofi Standardized'!I43</f>
        <v>3453</v>
      </c>
      <c r="J65" s="27">
        <f>'Sanofi Standardized'!J43</f>
        <v>4451</v>
      </c>
      <c r="K65" s="27">
        <f>'Sanofi Standardized'!K43</f>
        <v>2321</v>
      </c>
      <c r="L65" s="27">
        <f>'Sanofi Standardized'!L43</f>
        <v>4477</v>
      </c>
      <c r="M65" s="27"/>
      <c r="N65" s="27"/>
      <c r="O65" s="27"/>
      <c r="P65" s="27"/>
      <c r="Q65" s="27"/>
    </row>
    <row r="66" spans="1:20" x14ac:dyDescent="0.45">
      <c r="B66" s="42" t="s">
        <v>299</v>
      </c>
      <c r="C66" s="32">
        <f t="shared" ref="C66:Q66" si="11">SUM(C63:C65)</f>
        <v>17808</v>
      </c>
      <c r="D66" s="32">
        <f t="shared" si="11"/>
        <v>17638</v>
      </c>
      <c r="E66" s="32">
        <f t="shared" si="11"/>
        <v>15463</v>
      </c>
      <c r="F66" s="32">
        <f t="shared" si="11"/>
        <v>17376</v>
      </c>
      <c r="G66" s="32">
        <f t="shared" si="11"/>
        <v>20387</v>
      </c>
      <c r="H66" s="32">
        <f t="shared" si="11"/>
        <v>19280</v>
      </c>
      <c r="I66" s="32">
        <f t="shared" si="11"/>
        <v>21295</v>
      </c>
      <c r="J66" s="32">
        <f t="shared" si="11"/>
        <v>23974</v>
      </c>
      <c r="K66" s="32">
        <f t="shared" si="11"/>
        <v>24207</v>
      </c>
      <c r="L66" s="32">
        <f t="shared" si="11"/>
        <v>29162</v>
      </c>
      <c r="M66" s="32">
        <f t="shared" si="11"/>
        <v>0</v>
      </c>
      <c r="N66" s="32">
        <f t="shared" si="11"/>
        <v>0</v>
      </c>
      <c r="O66" s="32">
        <f t="shared" si="11"/>
        <v>0</v>
      </c>
      <c r="P66" s="32">
        <f t="shared" si="11"/>
        <v>0</v>
      </c>
      <c r="Q66" s="32">
        <f t="shared" si="11"/>
        <v>0</v>
      </c>
    </row>
    <row r="68" spans="1:20" ht="14.65" thickBot="1" x14ac:dyDescent="0.5">
      <c r="C68" s="49"/>
      <c r="D68" s="49"/>
      <c r="E68" s="49"/>
      <c r="F68" s="49"/>
      <c r="G68" s="49"/>
      <c r="H68" s="49"/>
      <c r="I68" s="49"/>
      <c r="J68" s="49"/>
      <c r="K68" s="49"/>
      <c r="L68" s="49"/>
      <c r="M68" s="49"/>
      <c r="N68" s="49"/>
      <c r="O68" s="49"/>
      <c r="P68" s="49"/>
      <c r="Q68" s="49"/>
    </row>
    <row r="69" spans="1:20" ht="15" thickTop="1" thickBot="1" x14ac:dyDescent="0.5">
      <c r="B69" s="44" t="s">
        <v>300</v>
      </c>
      <c r="C69" s="44">
        <f t="shared" ref="C69" si="12">SUM(C53:C55,C61,C66)</f>
        <v>102321</v>
      </c>
      <c r="D69" s="44">
        <f t="shared" ref="D69:L69" si="13">SUM(D53:D55,D61,D66)</f>
        <v>104679</v>
      </c>
      <c r="E69" s="44">
        <f>SUM(E53:E55,E61,E66)</f>
        <v>99813</v>
      </c>
      <c r="F69" s="44">
        <f t="shared" si="13"/>
        <v>111408</v>
      </c>
      <c r="G69" s="44">
        <f>SUM(G53:G55,G61,G66)</f>
        <v>112630</v>
      </c>
      <c r="H69" s="44">
        <f t="shared" si="13"/>
        <v>114413</v>
      </c>
      <c r="I69" s="44">
        <f>SUM(I53:I55,I61,I66)</f>
        <v>120242</v>
      </c>
      <c r="J69" s="44">
        <f t="shared" si="13"/>
        <v>126722</v>
      </c>
      <c r="K69" s="44">
        <f>SUM(K53:K55,K61,K66)</f>
        <v>126464</v>
      </c>
      <c r="L69" s="44">
        <f t="shared" si="13"/>
        <v>132798</v>
      </c>
      <c r="M69" s="44"/>
      <c r="N69" s="44"/>
      <c r="O69" s="44"/>
      <c r="P69" s="44"/>
      <c r="Q69" s="44"/>
    </row>
    <row r="70" spans="1:20" s="56" customFormat="1" ht="15" thickTop="1" thickBot="1" x14ac:dyDescent="0.5">
      <c r="B70" s="55" t="s">
        <v>301</v>
      </c>
      <c r="C70" s="55">
        <f t="shared" ref="C70:L70" si="14">C50-C69</f>
        <v>0</v>
      </c>
      <c r="D70" s="55">
        <f t="shared" si="14"/>
        <v>0</v>
      </c>
      <c r="E70" s="55">
        <f t="shared" si="14"/>
        <v>0</v>
      </c>
      <c r="F70" s="55">
        <f t="shared" si="14"/>
        <v>0</v>
      </c>
      <c r="G70" s="55">
        <f t="shared" si="14"/>
        <v>0</v>
      </c>
      <c r="H70" s="55">
        <f t="shared" si="14"/>
        <v>0</v>
      </c>
      <c r="I70" s="55">
        <f t="shared" si="14"/>
        <v>0</v>
      </c>
      <c r="J70" s="55">
        <f t="shared" si="14"/>
        <v>0</v>
      </c>
      <c r="K70" s="55">
        <f t="shared" si="14"/>
        <v>0</v>
      </c>
      <c r="L70" s="55">
        <f t="shared" si="14"/>
        <v>0</v>
      </c>
      <c r="M70" s="55">
        <f>M69-M50</f>
        <v>0</v>
      </c>
      <c r="N70" s="55">
        <f>N69-N50</f>
        <v>0</v>
      </c>
      <c r="O70" s="55">
        <f>O69-O50</f>
        <v>0</v>
      </c>
      <c r="P70" s="55">
        <f>P69-P50</f>
        <v>0</v>
      </c>
      <c r="Q70" s="55">
        <f>Q69-Q50</f>
        <v>0</v>
      </c>
    </row>
    <row r="71" spans="1:20" ht="14.65" thickTop="1" x14ac:dyDescent="0.45">
      <c r="A71" s="24" t="s">
        <v>14</v>
      </c>
      <c r="B71" s="32" t="s">
        <v>302</v>
      </c>
      <c r="C71" s="46"/>
      <c r="D71" s="46"/>
      <c r="E71" s="46"/>
      <c r="F71" s="46"/>
      <c r="G71" s="46"/>
      <c r="H71" s="46"/>
      <c r="I71" s="46"/>
      <c r="J71" s="46"/>
      <c r="K71" s="46"/>
      <c r="L71" s="46"/>
      <c r="M71" s="46"/>
      <c r="N71" s="46"/>
      <c r="O71" s="46"/>
      <c r="P71" s="46"/>
      <c r="Q71" s="46"/>
    </row>
    <row r="72" spans="1:20" x14ac:dyDescent="0.45">
      <c r="B72" s="34" t="s">
        <v>303</v>
      </c>
      <c r="C72" s="25">
        <f>'Sanofi Standardized'!C56</f>
        <v>5355</v>
      </c>
      <c r="D72" s="25">
        <f>'Sanofi Standardized'!D56</f>
        <v>6338</v>
      </c>
      <c r="E72" s="25">
        <f>'Sanofi Standardized'!E56</f>
        <v>10428</v>
      </c>
      <c r="F72" s="25">
        <f>'Sanofi Standardized'!F56</f>
        <v>5186</v>
      </c>
      <c r="G72" s="25">
        <f>'Sanofi Standardized'!G56</f>
        <v>3328</v>
      </c>
      <c r="H72" s="25">
        <f>'Sanofi Standardized'!H56</f>
        <v>14523</v>
      </c>
      <c r="I72" s="25">
        <f>'Sanofi Standardized'!I56</f>
        <v>8140</v>
      </c>
      <c r="J72" s="25">
        <f>'Sanofi Standardized'!J56</f>
        <v>10443</v>
      </c>
      <c r="K72" s="25">
        <f>'Sanofi Standardized'!K56</f>
        <v>6479</v>
      </c>
      <c r="L72" s="25">
        <f>'Sanofi Standardized'!L56</f>
        <v>6992</v>
      </c>
      <c r="M72" s="25"/>
      <c r="N72" s="25"/>
      <c r="O72" s="25"/>
      <c r="P72" s="25"/>
      <c r="Q72" s="25"/>
      <c r="T72" s="51"/>
    </row>
    <row r="73" spans="1:20" x14ac:dyDescent="0.45">
      <c r="B73" s="34" t="s">
        <v>304</v>
      </c>
      <c r="C73" s="25">
        <f>'Sanofi Standardized'!C60</f>
        <v>-709</v>
      </c>
      <c r="D73" s="25">
        <f>'Sanofi Standardized'!D60</f>
        <v>-1325</v>
      </c>
      <c r="E73" s="25">
        <f>'Sanofi Standardized'!E60</f>
        <v>-1722</v>
      </c>
      <c r="F73" s="25">
        <f>'Sanofi Standardized'!F60</f>
        <v>-481</v>
      </c>
      <c r="G73" s="25">
        <f>'Sanofi Standardized'!G60</f>
        <v>-121</v>
      </c>
      <c r="H73" s="25">
        <f>'Sanofi Standardized'!H60</f>
        <v>-1807</v>
      </c>
      <c r="I73" s="25">
        <f>'Sanofi Standardized'!I60</f>
        <v>-1558</v>
      </c>
      <c r="J73" s="25">
        <f>'Sanofi Standardized'!J60</f>
        <v>-1909</v>
      </c>
      <c r="K73" s="25">
        <f>'Sanofi Standardized'!K60</f>
        <v>-1017</v>
      </c>
      <c r="L73" s="25">
        <f>'Sanofi Standardized'!L60</f>
        <v>-1204</v>
      </c>
      <c r="M73" s="25"/>
      <c r="N73" s="25"/>
      <c r="O73" s="25"/>
      <c r="P73" s="25"/>
      <c r="Q73" s="25"/>
      <c r="T73" s="51"/>
    </row>
    <row r="74" spans="1:20" x14ac:dyDescent="0.45">
      <c r="B74" s="34" t="s">
        <v>305</v>
      </c>
      <c r="C74" s="25">
        <f>'Sanofi Standardized'!C58</f>
        <v>616</v>
      </c>
      <c r="D74" s="25">
        <f>'Sanofi Standardized'!D58</f>
        <v>-721</v>
      </c>
      <c r="E74" s="25">
        <f>'Sanofi Standardized'!E58</f>
        <v>-4711</v>
      </c>
      <c r="F74" s="25">
        <f>'Sanofi Standardized'!F58</f>
        <v>-1164</v>
      </c>
      <c r="G74" s="25">
        <f>'Sanofi Standardized'!G58</f>
        <v>-655</v>
      </c>
      <c r="H74" s="25">
        <f>'Sanofi Standardized'!H58</f>
        <v>-8195</v>
      </c>
      <c r="I74" s="25">
        <f>'Sanofi Standardized'!I58</f>
        <v>-316</v>
      </c>
      <c r="J74" s="25">
        <f>'Sanofi Standardized'!J58</f>
        <v>486</v>
      </c>
      <c r="K74" s="25">
        <f>'Sanofi Standardized'!K58</f>
        <v>1213</v>
      </c>
      <c r="L74" s="25">
        <f>'Sanofi Standardized'!L58</f>
        <v>316</v>
      </c>
      <c r="M74" s="25"/>
      <c r="N74" s="25"/>
      <c r="O74" s="25"/>
      <c r="P74" s="25"/>
      <c r="Q74" s="25"/>
      <c r="T74" s="51"/>
    </row>
    <row r="75" spans="1:20" x14ac:dyDescent="0.45">
      <c r="B75" s="34" t="s">
        <v>306</v>
      </c>
      <c r="C75" s="27">
        <f>'Sanofi Standardized'!C59</f>
        <v>2962</v>
      </c>
      <c r="D75" s="27">
        <f>'Sanofi Standardized'!D59</f>
        <v>3020</v>
      </c>
      <c r="E75" s="27">
        <f>'Sanofi Standardized'!E59</f>
        <v>3527</v>
      </c>
      <c r="F75" s="27">
        <f>'Sanofi Standardized'!F59</f>
        <v>3685</v>
      </c>
      <c r="G75" s="27">
        <f>'Sanofi Standardized'!G59</f>
        <v>6035</v>
      </c>
      <c r="H75" s="27">
        <f>'Sanofi Standardized'!H59</f>
        <v>3644</v>
      </c>
      <c r="I75" s="27">
        <f>'Sanofi Standardized'!I59</f>
        <v>3206</v>
      </c>
      <c r="J75" s="27">
        <f>'Sanofi Standardized'!J59</f>
        <v>2463</v>
      </c>
      <c r="K75" s="27">
        <f>'Sanofi Standardized'!K59</f>
        <v>3232</v>
      </c>
      <c r="L75" s="27">
        <f>'Sanofi Standardized'!L59</f>
        <v>3820</v>
      </c>
      <c r="M75" s="27"/>
      <c r="N75" s="27"/>
      <c r="O75" s="27"/>
      <c r="P75" s="27"/>
      <c r="Q75" s="27"/>
      <c r="T75" s="51"/>
    </row>
    <row r="76" spans="1:20" ht="28.5" x14ac:dyDescent="0.45">
      <c r="B76" s="42" t="s">
        <v>307</v>
      </c>
      <c r="C76" s="32">
        <f t="shared" ref="C76:Q76" si="15">SUM(C72:C75)</f>
        <v>8224</v>
      </c>
      <c r="D76" s="32">
        <f t="shared" si="15"/>
        <v>7312</v>
      </c>
      <c r="E76" s="32">
        <f t="shared" si="15"/>
        <v>7522</v>
      </c>
      <c r="F76" s="32">
        <f t="shared" si="15"/>
        <v>7226</v>
      </c>
      <c r="G76" s="32">
        <f t="shared" si="15"/>
        <v>8587</v>
      </c>
      <c r="H76" s="32">
        <f t="shared" si="15"/>
        <v>8165</v>
      </c>
      <c r="I76" s="32">
        <f t="shared" si="15"/>
        <v>9472</v>
      </c>
      <c r="J76" s="32">
        <f t="shared" si="15"/>
        <v>11483</v>
      </c>
      <c r="K76" s="32">
        <f t="shared" si="15"/>
        <v>9907</v>
      </c>
      <c r="L76" s="32">
        <f t="shared" si="15"/>
        <v>9924</v>
      </c>
      <c r="M76" s="32">
        <f t="shared" si="15"/>
        <v>0</v>
      </c>
      <c r="N76" s="32">
        <f t="shared" si="15"/>
        <v>0</v>
      </c>
      <c r="O76" s="32">
        <f t="shared" si="15"/>
        <v>0</v>
      </c>
      <c r="P76" s="32">
        <f t="shared" si="15"/>
        <v>0</v>
      </c>
      <c r="Q76" s="32">
        <f t="shared" si="15"/>
        <v>0</v>
      </c>
      <c r="T76" s="51"/>
    </row>
    <row r="77" spans="1:20" x14ac:dyDescent="0.45">
      <c r="B77" s="34"/>
    </row>
    <row r="78" spans="1:20" ht="28.5" x14ac:dyDescent="0.45">
      <c r="B78" s="34" t="s">
        <v>308</v>
      </c>
      <c r="C78" s="27">
        <f>'Sanofi Standardized'!C63</f>
        <v>1055</v>
      </c>
      <c r="D78" s="27">
        <f>'Sanofi Standardized'!D63</f>
        <v>830</v>
      </c>
      <c r="E78" s="27">
        <f>'Sanofi Standardized'!E63</f>
        <v>147</v>
      </c>
      <c r="F78" s="27">
        <f>'Sanofi Standardized'!F63</f>
        <v>-1280</v>
      </c>
      <c r="G78" s="27">
        <f>'Sanofi Standardized'!G63</f>
        <v>-419</v>
      </c>
      <c r="H78" s="27">
        <f>'Sanofi Standardized'!H63</f>
        <v>-325</v>
      </c>
      <c r="I78" s="27">
        <f>'Sanofi Standardized'!I63</f>
        <v>1409</v>
      </c>
      <c r="J78" s="27">
        <f>'Sanofi Standardized'!J63</f>
        <v>-794</v>
      </c>
      <c r="K78" s="27">
        <f>'Sanofi Standardized'!K63</f>
        <v>413</v>
      </c>
      <c r="L78" s="27">
        <f>'Sanofi Standardized'!L63</f>
        <v>-615</v>
      </c>
      <c r="M78" s="27"/>
      <c r="N78" s="27"/>
      <c r="O78" s="27"/>
      <c r="P78" s="27"/>
      <c r="Q78" s="27"/>
      <c r="T78" s="51"/>
    </row>
    <row r="79" spans="1:20" ht="28.5" x14ac:dyDescent="0.45">
      <c r="B79" s="42" t="s">
        <v>309</v>
      </c>
      <c r="C79" s="32">
        <f t="shared" ref="C79:L79" si="16">SUM(C78,C76)</f>
        <v>9279</v>
      </c>
      <c r="D79" s="32">
        <f t="shared" si="16"/>
        <v>8142</v>
      </c>
      <c r="E79" s="32">
        <f t="shared" si="16"/>
        <v>7669</v>
      </c>
      <c r="F79" s="32">
        <f t="shared" si="16"/>
        <v>5946</v>
      </c>
      <c r="G79" s="32">
        <f t="shared" si="16"/>
        <v>8168</v>
      </c>
      <c r="H79" s="32">
        <f t="shared" si="16"/>
        <v>7840</v>
      </c>
      <c r="I79" s="32">
        <f t="shared" si="16"/>
        <v>10881</v>
      </c>
      <c r="J79" s="32">
        <f t="shared" si="16"/>
        <v>10689</v>
      </c>
      <c r="K79" s="32">
        <f t="shared" si="16"/>
        <v>10320</v>
      </c>
      <c r="L79" s="32">
        <f t="shared" si="16"/>
        <v>9309</v>
      </c>
      <c r="M79" s="32">
        <f>SUM(M76:M78)</f>
        <v>0</v>
      </c>
      <c r="N79" s="32">
        <f>SUM(N76:N78)</f>
        <v>0</v>
      </c>
      <c r="O79" s="32">
        <f>SUM(O76:O78)</f>
        <v>0</v>
      </c>
      <c r="P79" s="32">
        <f>SUM(P76:P78)</f>
        <v>0</v>
      </c>
      <c r="Q79" s="32">
        <f>SUM(Q76:Q78)</f>
        <v>0</v>
      </c>
      <c r="T79" s="51"/>
    </row>
    <row r="80" spans="1:20" x14ac:dyDescent="0.45">
      <c r="B80" s="34"/>
    </row>
    <row r="81" spans="1:18" x14ac:dyDescent="0.45">
      <c r="B81" s="34" t="s">
        <v>310</v>
      </c>
      <c r="C81" s="25">
        <f>'Sanofi Standardized'!C61</f>
        <v>57</v>
      </c>
      <c r="D81" s="25">
        <f>'Sanofi Standardized'!D61</f>
        <v>56</v>
      </c>
      <c r="E81" s="25">
        <f>'Sanofi Standardized'!E61</f>
        <v>56</v>
      </c>
      <c r="F81" s="25">
        <f>'Sanofi Standardized'!F61</f>
        <v>72</v>
      </c>
      <c r="G81" s="25">
        <f>'Sanofi Standardized'!G61</f>
        <v>91</v>
      </c>
      <c r="H81" s="25">
        <f>'Sanofi Standardized'!H61</f>
        <v>37</v>
      </c>
      <c r="I81" s="25">
        <f>'Sanofi Standardized'!I61</f>
        <v>3</v>
      </c>
      <c r="J81" s="25">
        <f>'Sanofi Standardized'!J61</f>
        <v>239</v>
      </c>
      <c r="K81" s="25">
        <f>'Sanofi Standardized'!K61</f>
        <v>527</v>
      </c>
      <c r="L81" s="25">
        <f>'Sanofi Standardized'!L61</f>
        <v>413</v>
      </c>
      <c r="M81" s="25"/>
      <c r="N81" s="25"/>
      <c r="O81" s="25"/>
      <c r="P81" s="25"/>
      <c r="Q81" s="25"/>
    </row>
    <row r="82" spans="1:18" x14ac:dyDescent="0.45">
      <c r="B82" s="34" t="s">
        <v>311</v>
      </c>
      <c r="C82" s="25">
        <f>'Sanofi Standardized'!C62</f>
        <v>0</v>
      </c>
      <c r="D82" s="25">
        <f>'Sanofi Standardized'!D62</f>
        <v>0</v>
      </c>
      <c r="E82" s="25">
        <f>'Sanofi Standardized'!E62</f>
        <v>0</v>
      </c>
      <c r="F82" s="25">
        <f>'Sanofi Standardized'!F62</f>
        <v>0</v>
      </c>
      <c r="G82" s="25">
        <f>'Sanofi Standardized'!G62</f>
        <v>0</v>
      </c>
      <c r="H82" s="25">
        <f>'Sanofi Standardized'!H62</f>
        <v>0</v>
      </c>
      <c r="I82" s="25">
        <f>'Sanofi Standardized'!I62</f>
        <v>0</v>
      </c>
      <c r="J82" s="25">
        <f>'Sanofi Standardized'!J62</f>
        <v>0</v>
      </c>
      <c r="K82" s="25">
        <f>'Sanofi Standardized'!K62</f>
        <v>0</v>
      </c>
      <c r="L82" s="25">
        <f>'Sanofi Standardized'!L62</f>
        <v>0</v>
      </c>
      <c r="M82" s="25"/>
      <c r="N82" s="25"/>
      <c r="O82" s="25"/>
      <c r="P82" s="25"/>
      <c r="Q82" s="25"/>
    </row>
    <row r="83" spans="1:18" ht="28.5" x14ac:dyDescent="0.45">
      <c r="B83" s="34" t="s">
        <v>312</v>
      </c>
      <c r="C83" s="27">
        <f>'Sanofi Standardized'!C64</f>
        <v>-3257</v>
      </c>
      <c r="D83" s="27">
        <f>'Sanofi Standardized'!D64</f>
        <v>-2511</v>
      </c>
      <c r="E83" s="27">
        <f>'Sanofi Standardized'!E64</f>
        <v>-2896</v>
      </c>
      <c r="F83" s="27">
        <f>'Sanofi Standardized'!F64</f>
        <v>-12866</v>
      </c>
      <c r="G83" s="27">
        <f>'Sanofi Standardized'!G64</f>
        <v>-1183</v>
      </c>
      <c r="H83" s="27">
        <f>'Sanofi Standardized'!H64</f>
        <v>3619</v>
      </c>
      <c r="I83" s="27">
        <f>'Sanofi Standardized'!I64</f>
        <v>-7298</v>
      </c>
      <c r="J83" s="27">
        <f>'Sanofi Standardized'!J64</f>
        <v>-2075</v>
      </c>
      <c r="K83" s="27">
        <f>'Sanofi Standardized'!K64</f>
        <v>-6200</v>
      </c>
      <c r="L83" s="27">
        <f>'Sanofi Standardized'!L64</f>
        <v>-4407</v>
      </c>
      <c r="M83" s="27"/>
      <c r="N83" s="27"/>
      <c r="O83" s="27"/>
      <c r="P83" s="27"/>
      <c r="Q83" s="27"/>
    </row>
    <row r="84" spans="1:18" x14ac:dyDescent="0.45">
      <c r="B84" s="42" t="s">
        <v>313</v>
      </c>
      <c r="C84" s="32">
        <f t="shared" ref="C84:L84" si="17">SUM(C81:C83,C79)</f>
        <v>6079</v>
      </c>
      <c r="D84" s="32">
        <f t="shared" si="17"/>
        <v>5687</v>
      </c>
      <c r="E84" s="32">
        <f t="shared" si="17"/>
        <v>4829</v>
      </c>
      <c r="F84" s="32">
        <f t="shared" si="17"/>
        <v>-6848</v>
      </c>
      <c r="G84" s="32">
        <f t="shared" si="17"/>
        <v>7076</v>
      </c>
      <c r="H84" s="32">
        <f t="shared" si="17"/>
        <v>11496</v>
      </c>
      <c r="I84" s="32">
        <f t="shared" si="17"/>
        <v>3586</v>
      </c>
      <c r="J84" s="32">
        <f t="shared" si="17"/>
        <v>8853</v>
      </c>
      <c r="K84" s="32">
        <f t="shared" si="17"/>
        <v>4647</v>
      </c>
      <c r="L84" s="32">
        <f t="shared" si="17"/>
        <v>5315</v>
      </c>
      <c r="M84" s="32">
        <f>SUM(M79:M83)</f>
        <v>0</v>
      </c>
      <c r="N84" s="32">
        <f>SUM(N79:N83)</f>
        <v>0</v>
      </c>
      <c r="O84" s="32">
        <f>SUM(O79:O83)</f>
        <v>0</v>
      </c>
      <c r="P84" s="32">
        <f>SUM(P79:P83)</f>
        <v>0</v>
      </c>
      <c r="Q84" s="32">
        <f>SUM(Q79:Q83)</f>
        <v>0</v>
      </c>
    </row>
    <row r="85" spans="1:18" x14ac:dyDescent="0.45">
      <c r="B85" s="42"/>
      <c r="C85" s="32"/>
      <c r="D85" s="32"/>
      <c r="E85" s="32"/>
      <c r="F85" s="32"/>
      <c r="G85" s="32"/>
      <c r="H85" s="32"/>
      <c r="I85" s="32"/>
      <c r="J85" s="32"/>
      <c r="K85" s="32"/>
      <c r="L85" s="32"/>
      <c r="M85" s="32"/>
      <c r="N85" s="32"/>
      <c r="O85" s="32"/>
      <c r="P85" s="32"/>
      <c r="Q85" s="32"/>
    </row>
    <row r="86" spans="1:18" x14ac:dyDescent="0.45">
      <c r="B86" s="34" t="s">
        <v>314</v>
      </c>
      <c r="C86" s="25">
        <f>'Sanofi Standardized'!C68</f>
        <v>-416</v>
      </c>
      <c r="D86" s="25">
        <f>'Sanofi Standardized'!D68</f>
        <v>-360</v>
      </c>
      <c r="E86" s="25">
        <f>'Sanofi Standardized'!E68</f>
        <v>-346</v>
      </c>
      <c r="F86" s="25">
        <f>'Sanofi Standardized'!F68</f>
        <v>-471</v>
      </c>
      <c r="G86" s="25">
        <f>'Sanofi Standardized'!G68</f>
        <v>-544</v>
      </c>
      <c r="H86" s="25">
        <f>'Sanofi Standardized'!H68</f>
        <v>-459</v>
      </c>
      <c r="I86" s="25">
        <f>'Sanofi Standardized'!I68</f>
        <v>-362</v>
      </c>
      <c r="J86" s="25">
        <f>'Sanofi Standardized'!J68</f>
        <v>-402</v>
      </c>
      <c r="K86" s="25">
        <f>'Sanofi Standardized'!K68</f>
        <v>-589</v>
      </c>
      <c r="L86" s="25">
        <f>'Sanofi Standardized'!L68</f>
        <v>-641</v>
      </c>
      <c r="M86" s="25"/>
      <c r="N86" s="25"/>
      <c r="O86" s="25"/>
      <c r="P86" s="25"/>
      <c r="Q86" s="25"/>
    </row>
    <row r="87" spans="1:18" x14ac:dyDescent="0.45">
      <c r="B87" s="34" t="s">
        <v>315</v>
      </c>
      <c r="C87" s="27">
        <f>'Sanofi Standardized'!C67</f>
        <v>1303</v>
      </c>
      <c r="D87" s="27">
        <f>'Sanofi Standardized'!D67</f>
        <v>2261</v>
      </c>
      <c r="E87" s="27">
        <f>'Sanofi Standardized'!E67</f>
        <v>1186</v>
      </c>
      <c r="F87" s="27">
        <f>'Sanofi Standardized'!F67</f>
        <v>8625</v>
      </c>
      <c r="G87" s="27">
        <f>'Sanofi Standardized'!G67</f>
        <v>-358</v>
      </c>
      <c r="H87" s="27">
        <f>'Sanofi Standardized'!H67</f>
        <v>-1929</v>
      </c>
      <c r="I87" s="27">
        <f>'Sanofi Standardized'!I67</f>
        <v>-2852</v>
      </c>
      <c r="J87" s="27">
        <f>'Sanofi Standardized'!J67</f>
        <v>-1344</v>
      </c>
      <c r="K87" s="27">
        <f>'Sanofi Standardized'!K67</f>
        <v>-3200</v>
      </c>
      <c r="L87" s="27">
        <f>'Sanofi Standardized'!L67</f>
        <v>-944</v>
      </c>
      <c r="M87" s="27"/>
      <c r="N87" s="27"/>
      <c r="O87" s="27"/>
      <c r="P87" s="27"/>
      <c r="Q87" s="27"/>
    </row>
    <row r="88" spans="1:18" x14ac:dyDescent="0.45">
      <c r="B88" s="42" t="s">
        <v>316</v>
      </c>
      <c r="C88" s="32">
        <f t="shared" ref="C88:L88" si="18">SUM(C86:C87,C84)</f>
        <v>6966</v>
      </c>
      <c r="D88" s="32">
        <f t="shared" si="18"/>
        <v>7588</v>
      </c>
      <c r="E88" s="32">
        <f t="shared" si="18"/>
        <v>5669</v>
      </c>
      <c r="F88" s="32">
        <f t="shared" si="18"/>
        <v>1306</v>
      </c>
      <c r="G88" s="32">
        <f t="shared" si="18"/>
        <v>6174</v>
      </c>
      <c r="H88" s="32">
        <f t="shared" si="18"/>
        <v>9108</v>
      </c>
      <c r="I88" s="32">
        <f t="shared" si="18"/>
        <v>372</v>
      </c>
      <c r="J88" s="32">
        <f t="shared" si="18"/>
        <v>7107</v>
      </c>
      <c r="K88" s="32">
        <f t="shared" si="18"/>
        <v>858</v>
      </c>
      <c r="L88" s="32">
        <f t="shared" si="18"/>
        <v>3730</v>
      </c>
      <c r="M88" s="32">
        <f>SUM(M84:M87)</f>
        <v>0</v>
      </c>
      <c r="N88" s="32">
        <f>SUM(N84:N87)</f>
        <v>0</v>
      </c>
      <c r="O88" s="32">
        <f>SUM(O84:O87)</f>
        <v>0</v>
      </c>
      <c r="P88" s="32">
        <f>SUM(P84:P87)</f>
        <v>0</v>
      </c>
      <c r="Q88" s="32">
        <f>SUM(Q84:Q87)</f>
        <v>0</v>
      </c>
    </row>
    <row r="89" spans="1:18" x14ac:dyDescent="0.45">
      <c r="B89" s="34"/>
    </row>
    <row r="90" spans="1:18" x14ac:dyDescent="0.45">
      <c r="B90" s="34" t="s">
        <v>317</v>
      </c>
      <c r="C90" s="25">
        <f>'Sanofi Standardized'!C69</f>
        <v>-3694</v>
      </c>
      <c r="D90" s="25">
        <f>'Sanofi Standardized'!D69</f>
        <v>-3759</v>
      </c>
      <c r="E90" s="25">
        <f>'Sanofi Standardized'!E69</f>
        <v>-3710</v>
      </c>
      <c r="F90" s="25">
        <f>'Sanofi Standardized'!F69</f>
        <v>-3773</v>
      </c>
      <c r="G90" s="25">
        <f>'Sanofi Standardized'!G69</f>
        <v>-3834</v>
      </c>
      <c r="H90" s="25">
        <f>'Sanofi Standardized'!H69</f>
        <v>-3937</v>
      </c>
      <c r="I90" s="25">
        <f>'Sanofi Standardized'!I69</f>
        <v>-4008</v>
      </c>
      <c r="J90" s="25">
        <f>'Sanofi Standardized'!J69</f>
        <v>-4168</v>
      </c>
      <c r="K90" s="25">
        <f>'Sanofi Standardized'!K69</f>
        <v>-4454</v>
      </c>
      <c r="L90" s="25">
        <f>'Sanofi Standardized'!L69</f>
        <v>-4704</v>
      </c>
      <c r="M90" s="25"/>
      <c r="N90" s="25"/>
      <c r="O90" s="25"/>
      <c r="P90" s="25"/>
      <c r="Q90" s="25"/>
    </row>
    <row r="91" spans="1:18" x14ac:dyDescent="0.45">
      <c r="B91" s="34" t="s">
        <v>318</v>
      </c>
      <c r="C91" s="25">
        <f>'Sanofi Standardized'!C70</f>
        <v>-1210</v>
      </c>
      <c r="D91" s="25">
        <f>'Sanofi Standardized'!D70</f>
        <v>-2603</v>
      </c>
      <c r="E91" s="25">
        <f>'Sanofi Standardized'!E70</f>
        <v>-1843</v>
      </c>
      <c r="F91" s="25">
        <f>'Sanofi Standardized'!F70</f>
        <v>-924</v>
      </c>
      <c r="G91" s="25">
        <f>'Sanofi Standardized'!G70</f>
        <v>153</v>
      </c>
      <c r="H91" s="25">
        <f>'Sanofi Standardized'!H70</f>
        <v>-619</v>
      </c>
      <c r="I91" s="25">
        <f>'Sanofi Standardized'!I70</f>
        <v>-196</v>
      </c>
      <c r="J91" s="25">
        <f>'Sanofi Standardized'!J70</f>
        <v>-309</v>
      </c>
      <c r="K91" s="25">
        <f>'Sanofi Standardized'!K70</f>
        <v>-398</v>
      </c>
      <c r="L91" s="25">
        <f>'Sanofi Standardized'!L70</f>
        <v>-115</v>
      </c>
      <c r="M91" s="25"/>
      <c r="N91" s="25"/>
      <c r="O91" s="25"/>
      <c r="P91" s="25"/>
      <c r="Q91" s="25"/>
    </row>
    <row r="92" spans="1:18" x14ac:dyDescent="0.45">
      <c r="B92" s="31" t="s">
        <v>319</v>
      </c>
      <c r="C92" s="25">
        <f>'Sanofi Standardized'!C71</f>
        <v>-255</v>
      </c>
      <c r="D92" s="25">
        <f>'Sanofi Standardized'!D71</f>
        <v>-101</v>
      </c>
      <c r="E92" s="25">
        <f>'Sanofi Standardized'!E71</f>
        <v>-74</v>
      </c>
      <c r="F92" s="25">
        <f>'Sanofi Standardized'!F71</f>
        <v>1</v>
      </c>
      <c r="G92" s="25">
        <f>'Sanofi Standardized'!G71</f>
        <v>9</v>
      </c>
      <c r="H92" s="25">
        <f>'Sanofi Standardized'!H71</f>
        <v>-64</v>
      </c>
      <c r="I92" s="25">
        <f>'Sanofi Standardized'!I71</f>
        <v>15</v>
      </c>
      <c r="J92" s="25">
        <f>'Sanofi Standardized'!J71</f>
        <v>8</v>
      </c>
      <c r="K92" s="25">
        <f>'Sanofi Standardized'!K71</f>
        <v>-32</v>
      </c>
      <c r="L92" s="25">
        <f>'Sanofi Standardized'!L71</f>
        <v>-180</v>
      </c>
      <c r="M92" s="25"/>
      <c r="N92" s="25"/>
      <c r="O92" s="25"/>
      <c r="P92" s="25"/>
      <c r="Q92" s="25"/>
    </row>
    <row r="93" spans="1:18" ht="14.65" thickBot="1" x14ac:dyDescent="0.5">
      <c r="B93" s="52" t="s">
        <v>320</v>
      </c>
      <c r="C93" s="72">
        <f t="shared" ref="C93:L93" si="19">SUM(C88,C92)</f>
        <v>6711</v>
      </c>
      <c r="D93" s="72">
        <f t="shared" si="19"/>
        <v>7487</v>
      </c>
      <c r="E93" s="72">
        <f t="shared" si="19"/>
        <v>5595</v>
      </c>
      <c r="F93" s="72">
        <f t="shared" si="19"/>
        <v>1307</v>
      </c>
      <c r="G93" s="72">
        <f t="shared" si="19"/>
        <v>6183</v>
      </c>
      <c r="H93" s="72">
        <f t="shared" si="19"/>
        <v>9044</v>
      </c>
      <c r="I93" s="72">
        <f t="shared" si="19"/>
        <v>387</v>
      </c>
      <c r="J93" s="72">
        <f t="shared" si="19"/>
        <v>7115</v>
      </c>
      <c r="K93" s="72">
        <f t="shared" si="19"/>
        <v>826</v>
      </c>
      <c r="L93" s="72">
        <f t="shared" si="19"/>
        <v>3550</v>
      </c>
      <c r="M93" s="72">
        <f>SUM(M88:M91)</f>
        <v>0</v>
      </c>
      <c r="N93" s="72">
        <f>SUM(N88:N91)</f>
        <v>0</v>
      </c>
      <c r="O93" s="72">
        <f>SUM(O88:O91)</f>
        <v>0</v>
      </c>
      <c r="P93" s="72">
        <f>SUM(P88:P91)</f>
        <v>0</v>
      </c>
      <c r="Q93" s="72">
        <f>SUM(Q88:Q91)</f>
        <v>0</v>
      </c>
    </row>
    <row r="94" spans="1:18" ht="15" thickTop="1" thickBot="1" x14ac:dyDescent="0.5">
      <c r="B94" s="34"/>
    </row>
    <row r="95" spans="1:18" ht="14.65" thickTop="1" x14ac:dyDescent="0.45">
      <c r="A95" s="24" t="s">
        <v>14</v>
      </c>
      <c r="B95" s="57" t="s">
        <v>321</v>
      </c>
      <c r="C95" s="58"/>
      <c r="D95" s="58"/>
      <c r="E95" s="58"/>
      <c r="F95" s="58"/>
      <c r="G95" s="58"/>
      <c r="H95" s="58"/>
      <c r="I95" s="58"/>
      <c r="J95" s="58"/>
      <c r="K95" s="58"/>
      <c r="L95" s="58"/>
      <c r="M95" s="58"/>
      <c r="N95" s="58"/>
      <c r="O95" s="58"/>
      <c r="P95" s="58"/>
      <c r="Q95" s="58"/>
    </row>
    <row r="96" spans="1:18" x14ac:dyDescent="0.45">
      <c r="B96" s="42" t="s">
        <v>96</v>
      </c>
      <c r="C96" s="32">
        <f t="shared" ref="C96:R96" si="20">C9</f>
        <v>34861</v>
      </c>
      <c r="D96" s="32">
        <f t="shared" si="20"/>
        <v>34696</v>
      </c>
      <c r="E96" s="32">
        <f t="shared" si="20"/>
        <v>36221</v>
      </c>
      <c r="F96" s="32">
        <f t="shared" si="20"/>
        <v>35677</v>
      </c>
      <c r="G96" s="32">
        <f t="shared" si="20"/>
        <v>37631</v>
      </c>
      <c r="H96" s="32">
        <f t="shared" si="20"/>
        <v>37369</v>
      </c>
      <c r="I96" s="32">
        <f t="shared" si="20"/>
        <v>39175</v>
      </c>
      <c r="J96" s="32">
        <f t="shared" si="20"/>
        <v>40304</v>
      </c>
      <c r="K96" s="32">
        <f t="shared" si="20"/>
        <v>41109</v>
      </c>
      <c r="L96" s="32">
        <f t="shared" si="20"/>
        <v>44286</v>
      </c>
      <c r="M96" s="32">
        <f t="shared" si="20"/>
        <v>0</v>
      </c>
      <c r="N96" s="32">
        <f t="shared" si="20"/>
        <v>0</v>
      </c>
      <c r="O96" s="32">
        <f t="shared" si="20"/>
        <v>0</v>
      </c>
      <c r="P96" s="32">
        <f t="shared" si="20"/>
        <v>0</v>
      </c>
      <c r="Q96" s="32">
        <f t="shared" si="20"/>
        <v>0</v>
      </c>
      <c r="R96" s="24">
        <f t="shared" si="20"/>
        <v>0</v>
      </c>
    </row>
    <row r="97" spans="2:18" x14ac:dyDescent="0.45">
      <c r="B97" s="42" t="s">
        <v>322</v>
      </c>
      <c r="C97" s="32">
        <f t="shared" ref="C97" si="21">C101</f>
        <v>4512</v>
      </c>
      <c r="D97" s="32">
        <f t="shared" ref="D97:R97" si="22">D101</f>
        <v>4486</v>
      </c>
      <c r="E97" s="32">
        <f t="shared" si="22"/>
        <v>3894</v>
      </c>
      <c r="F97" s="32">
        <f t="shared" si="22"/>
        <v>4423</v>
      </c>
      <c r="G97" s="32">
        <f t="shared" si="22"/>
        <v>2886</v>
      </c>
      <c r="H97" s="32">
        <f t="shared" si="22"/>
        <v>12330</v>
      </c>
      <c r="I97" s="32">
        <f t="shared" si="22"/>
        <v>6279</v>
      </c>
      <c r="J97" s="32">
        <f t="shared" si="22"/>
        <v>8083</v>
      </c>
      <c r="K97" s="32">
        <f t="shared" si="22"/>
        <v>5098</v>
      </c>
      <c r="L97" s="32">
        <f t="shared" si="22"/>
        <v>5554</v>
      </c>
      <c r="M97" s="32">
        <f t="shared" si="22"/>
        <v>0</v>
      </c>
      <c r="N97" s="32">
        <f t="shared" si="22"/>
        <v>0</v>
      </c>
      <c r="O97" s="32">
        <f t="shared" si="22"/>
        <v>0</v>
      </c>
      <c r="P97" s="32">
        <f t="shared" si="22"/>
        <v>0</v>
      </c>
      <c r="Q97" s="32">
        <f t="shared" si="22"/>
        <v>0</v>
      </c>
      <c r="R97" s="24">
        <f t="shared" si="22"/>
        <v>0</v>
      </c>
    </row>
    <row r="98" spans="2:18" x14ac:dyDescent="0.45">
      <c r="B98" s="47" t="s">
        <v>323</v>
      </c>
      <c r="C98" s="24">
        <f t="shared" ref="C98:R98" si="23">C18</f>
        <v>4512</v>
      </c>
      <c r="D98" s="24">
        <f t="shared" si="23"/>
        <v>4486</v>
      </c>
      <c r="E98" s="24">
        <f t="shared" si="23"/>
        <v>3894</v>
      </c>
      <c r="F98" s="24">
        <f t="shared" si="23"/>
        <v>4423</v>
      </c>
      <c r="G98" s="24">
        <f t="shared" si="23"/>
        <v>2886</v>
      </c>
      <c r="H98" s="24">
        <f t="shared" si="23"/>
        <v>12330</v>
      </c>
      <c r="I98" s="24">
        <f t="shared" si="23"/>
        <v>6279</v>
      </c>
      <c r="J98" s="24">
        <f t="shared" si="23"/>
        <v>8083</v>
      </c>
      <c r="K98" s="24">
        <f t="shared" si="23"/>
        <v>5098</v>
      </c>
      <c r="L98" s="24">
        <f t="shared" si="23"/>
        <v>5554</v>
      </c>
      <c r="M98" s="24">
        <f t="shared" si="23"/>
        <v>0</v>
      </c>
      <c r="N98" s="24">
        <f t="shared" si="23"/>
        <v>0</v>
      </c>
      <c r="O98" s="24">
        <f t="shared" si="23"/>
        <v>0</v>
      </c>
      <c r="P98" s="24">
        <f t="shared" si="23"/>
        <v>0</v>
      </c>
      <c r="Q98" s="24">
        <f t="shared" si="23"/>
        <v>0</v>
      </c>
      <c r="R98" s="24">
        <f t="shared" si="23"/>
        <v>0</v>
      </c>
    </row>
    <row r="99" spans="2:18" x14ac:dyDescent="0.45">
      <c r="B99" s="59" t="s">
        <v>324</v>
      </c>
      <c r="C99" s="24">
        <f t="shared" ref="C99" si="24">-C106</f>
        <v>0</v>
      </c>
      <c r="D99" s="24">
        <f t="shared" ref="D99:R99" si="25">-D106</f>
        <v>0</v>
      </c>
      <c r="E99" s="24">
        <f t="shared" si="25"/>
        <v>0</v>
      </c>
      <c r="F99" s="24">
        <f t="shared" si="25"/>
        <v>0</v>
      </c>
      <c r="G99" s="24">
        <f t="shared" si="25"/>
        <v>0</v>
      </c>
      <c r="H99" s="24">
        <f t="shared" si="25"/>
        <v>0</v>
      </c>
      <c r="I99" s="24">
        <f t="shared" si="25"/>
        <v>0</v>
      </c>
      <c r="J99" s="24">
        <f t="shared" si="25"/>
        <v>0</v>
      </c>
      <c r="K99" s="24">
        <f t="shared" si="25"/>
        <v>0</v>
      </c>
      <c r="L99" s="24">
        <f t="shared" si="25"/>
        <v>0</v>
      </c>
      <c r="M99" s="24">
        <f t="shared" si="25"/>
        <v>0</v>
      </c>
      <c r="N99" s="24">
        <f t="shared" si="25"/>
        <v>0</v>
      </c>
      <c r="O99" s="24">
        <f t="shared" si="25"/>
        <v>0</v>
      </c>
      <c r="P99" s="24">
        <f t="shared" si="25"/>
        <v>0</v>
      </c>
      <c r="Q99" s="24">
        <f t="shared" si="25"/>
        <v>0</v>
      </c>
      <c r="R99" s="24">
        <f t="shared" si="25"/>
        <v>0</v>
      </c>
    </row>
    <row r="100" spans="2:18" x14ac:dyDescent="0.45">
      <c r="B100" s="59" t="s">
        <v>325</v>
      </c>
      <c r="C100" s="27">
        <f t="shared" ref="C100" si="26">C110</f>
        <v>0</v>
      </c>
      <c r="D100" s="27">
        <f t="shared" ref="D100:R100" si="27">D110</f>
        <v>0</v>
      </c>
      <c r="E100" s="27">
        <f t="shared" si="27"/>
        <v>0</v>
      </c>
      <c r="F100" s="27">
        <f t="shared" si="27"/>
        <v>0</v>
      </c>
      <c r="G100" s="27">
        <f t="shared" si="27"/>
        <v>0</v>
      </c>
      <c r="H100" s="27">
        <f t="shared" si="27"/>
        <v>0</v>
      </c>
      <c r="I100" s="27">
        <f t="shared" si="27"/>
        <v>0</v>
      </c>
      <c r="J100" s="27">
        <f t="shared" si="27"/>
        <v>0</v>
      </c>
      <c r="K100" s="27">
        <f t="shared" si="27"/>
        <v>0</v>
      </c>
      <c r="L100" s="27">
        <f t="shared" si="27"/>
        <v>0</v>
      </c>
      <c r="M100" s="27">
        <f t="shared" si="27"/>
        <v>0</v>
      </c>
      <c r="N100" s="27">
        <f t="shared" si="27"/>
        <v>0</v>
      </c>
      <c r="O100" s="27">
        <f t="shared" si="27"/>
        <v>0</v>
      </c>
      <c r="P100" s="27">
        <f t="shared" si="27"/>
        <v>0</v>
      </c>
      <c r="Q100" s="27">
        <f t="shared" si="27"/>
        <v>0</v>
      </c>
      <c r="R100" s="24">
        <f t="shared" si="27"/>
        <v>0</v>
      </c>
    </row>
    <row r="101" spans="2:18" x14ac:dyDescent="0.45">
      <c r="B101" s="60" t="s">
        <v>326</v>
      </c>
      <c r="C101" s="32">
        <f t="shared" ref="C101:R101" si="28">SUM(C98:C100)</f>
        <v>4512</v>
      </c>
      <c r="D101" s="32">
        <f t="shared" si="28"/>
        <v>4486</v>
      </c>
      <c r="E101" s="32">
        <f t="shared" si="28"/>
        <v>3894</v>
      </c>
      <c r="F101" s="32">
        <f t="shared" si="28"/>
        <v>4423</v>
      </c>
      <c r="G101" s="32">
        <f t="shared" si="28"/>
        <v>2886</v>
      </c>
      <c r="H101" s="32">
        <f t="shared" si="28"/>
        <v>12330</v>
      </c>
      <c r="I101" s="32">
        <f t="shared" si="28"/>
        <v>6279</v>
      </c>
      <c r="J101" s="32">
        <f t="shared" si="28"/>
        <v>8083</v>
      </c>
      <c r="K101" s="32">
        <f t="shared" si="28"/>
        <v>5098</v>
      </c>
      <c r="L101" s="32">
        <f t="shared" si="28"/>
        <v>5554</v>
      </c>
      <c r="M101" s="32">
        <f t="shared" si="28"/>
        <v>0</v>
      </c>
      <c r="N101" s="32">
        <f t="shared" si="28"/>
        <v>0</v>
      </c>
      <c r="O101" s="32">
        <f t="shared" si="28"/>
        <v>0</v>
      </c>
      <c r="P101" s="32">
        <f t="shared" si="28"/>
        <v>0</v>
      </c>
      <c r="Q101" s="32">
        <f t="shared" si="28"/>
        <v>0</v>
      </c>
      <c r="R101" s="24">
        <f t="shared" si="28"/>
        <v>0</v>
      </c>
    </row>
    <row r="102" spans="2:18" x14ac:dyDescent="0.45">
      <c r="B102" s="42" t="s">
        <v>327</v>
      </c>
      <c r="C102" s="28">
        <f t="shared" ref="C102" si="29">C105</f>
        <v>0</v>
      </c>
      <c r="D102" s="28">
        <f t="shared" ref="D102:R102" si="30">D105</f>
        <v>0</v>
      </c>
      <c r="E102" s="28">
        <f t="shared" si="30"/>
        <v>0</v>
      </c>
      <c r="F102" s="28">
        <f t="shared" si="30"/>
        <v>0</v>
      </c>
      <c r="G102" s="28">
        <f t="shared" si="30"/>
        <v>0</v>
      </c>
      <c r="H102" s="28">
        <f t="shared" si="30"/>
        <v>0</v>
      </c>
      <c r="I102" s="28">
        <f t="shared" si="30"/>
        <v>0</v>
      </c>
      <c r="J102" s="28">
        <f t="shared" si="30"/>
        <v>0</v>
      </c>
      <c r="K102" s="28">
        <f t="shared" si="30"/>
        <v>0</v>
      </c>
      <c r="L102" s="28">
        <f t="shared" si="30"/>
        <v>0</v>
      </c>
      <c r="M102" s="28">
        <f t="shared" si="30"/>
        <v>0</v>
      </c>
      <c r="N102" s="28">
        <f t="shared" si="30"/>
        <v>0</v>
      </c>
      <c r="O102" s="28">
        <f t="shared" si="30"/>
        <v>0</v>
      </c>
      <c r="P102" s="28">
        <f t="shared" si="30"/>
        <v>0</v>
      </c>
      <c r="Q102" s="28">
        <f t="shared" si="30"/>
        <v>0</v>
      </c>
      <c r="R102" s="24">
        <f t="shared" si="30"/>
        <v>0</v>
      </c>
    </row>
    <row r="103" spans="2:18" x14ac:dyDescent="0.45">
      <c r="B103" s="47" t="s">
        <v>328</v>
      </c>
      <c r="C103" s="24">
        <f t="shared" ref="C103:R103" si="31">-C13</f>
        <v>1369</v>
      </c>
      <c r="D103" s="24">
        <f t="shared" si="31"/>
        <v>1293</v>
      </c>
      <c r="E103" s="24">
        <f t="shared" si="31"/>
        <v>1452</v>
      </c>
      <c r="F103" s="24">
        <f t="shared" si="31"/>
        <v>1283</v>
      </c>
      <c r="G103" s="24">
        <f t="shared" si="31"/>
        <v>3597</v>
      </c>
      <c r="H103" s="24">
        <f t="shared" si="31"/>
        <v>767</v>
      </c>
      <c r="I103" s="24">
        <f t="shared" si="31"/>
        <v>411</v>
      </c>
      <c r="J103" s="24">
        <f t="shared" si="31"/>
        <v>282</v>
      </c>
      <c r="K103" s="24">
        <f t="shared" si="31"/>
        <v>1807</v>
      </c>
      <c r="L103" s="24">
        <f t="shared" si="31"/>
        <v>1943</v>
      </c>
      <c r="M103" s="24">
        <f t="shared" si="31"/>
        <v>0</v>
      </c>
      <c r="N103" s="24">
        <f t="shared" si="31"/>
        <v>0</v>
      </c>
      <c r="O103" s="24">
        <f t="shared" si="31"/>
        <v>0</v>
      </c>
      <c r="P103" s="24">
        <f t="shared" si="31"/>
        <v>0</v>
      </c>
      <c r="Q103" s="24">
        <f t="shared" si="31"/>
        <v>0</v>
      </c>
      <c r="R103" s="24">
        <f t="shared" si="31"/>
        <v>0</v>
      </c>
    </row>
    <row r="104" spans="2:18" x14ac:dyDescent="0.45">
      <c r="B104" s="47" t="s">
        <v>329</v>
      </c>
      <c r="C104" s="68">
        <f t="shared" ref="C104:L104" si="32">$C$4</f>
        <v>0</v>
      </c>
      <c r="D104" s="68">
        <f t="shared" si="32"/>
        <v>0</v>
      </c>
      <c r="E104" s="68">
        <f t="shared" si="32"/>
        <v>0</v>
      </c>
      <c r="F104" s="68">
        <f t="shared" si="32"/>
        <v>0</v>
      </c>
      <c r="G104" s="68">
        <f t="shared" si="32"/>
        <v>0</v>
      </c>
      <c r="H104" s="68">
        <f t="shared" si="32"/>
        <v>0</v>
      </c>
      <c r="I104" s="68">
        <f t="shared" si="32"/>
        <v>0</v>
      </c>
      <c r="J104" s="68">
        <f t="shared" si="32"/>
        <v>0</v>
      </c>
      <c r="K104" s="68">
        <f t="shared" si="32"/>
        <v>0</v>
      </c>
      <c r="L104" s="68">
        <f t="shared" si="32"/>
        <v>0</v>
      </c>
      <c r="M104" s="27"/>
      <c r="N104" s="27"/>
      <c r="O104" s="27"/>
      <c r="P104" s="27"/>
      <c r="Q104" s="27"/>
    </row>
    <row r="105" spans="2:18" x14ac:dyDescent="0.45">
      <c r="B105" s="60" t="s">
        <v>330</v>
      </c>
      <c r="C105" s="32">
        <f t="shared" ref="C105:R105" si="33">C104*C103</f>
        <v>0</v>
      </c>
      <c r="D105" s="32">
        <f t="shared" si="33"/>
        <v>0</v>
      </c>
      <c r="E105" s="32">
        <f t="shared" si="33"/>
        <v>0</v>
      </c>
      <c r="F105" s="32">
        <f t="shared" si="33"/>
        <v>0</v>
      </c>
      <c r="G105" s="32">
        <f t="shared" si="33"/>
        <v>0</v>
      </c>
      <c r="H105" s="32">
        <f t="shared" si="33"/>
        <v>0</v>
      </c>
      <c r="I105" s="32">
        <f t="shared" si="33"/>
        <v>0</v>
      </c>
      <c r="J105" s="32">
        <f t="shared" si="33"/>
        <v>0</v>
      </c>
      <c r="K105" s="32">
        <f t="shared" si="33"/>
        <v>0</v>
      </c>
      <c r="L105" s="32">
        <f t="shared" si="33"/>
        <v>0</v>
      </c>
      <c r="M105" s="32">
        <f t="shared" si="33"/>
        <v>0</v>
      </c>
      <c r="N105" s="32">
        <f t="shared" si="33"/>
        <v>0</v>
      </c>
      <c r="O105" s="32">
        <f t="shared" si="33"/>
        <v>0</v>
      </c>
      <c r="P105" s="32">
        <f t="shared" si="33"/>
        <v>0</v>
      </c>
      <c r="Q105" s="32">
        <f t="shared" si="33"/>
        <v>0</v>
      </c>
      <c r="R105" s="24">
        <f t="shared" si="33"/>
        <v>0</v>
      </c>
    </row>
    <row r="106" spans="2:18" x14ac:dyDescent="0.45">
      <c r="B106" s="61" t="s">
        <v>331</v>
      </c>
      <c r="C106" s="28">
        <f t="shared" ref="C106" si="34">C109</f>
        <v>0</v>
      </c>
      <c r="D106" s="28">
        <f t="shared" ref="D106:R106" si="35">D109</f>
        <v>0</v>
      </c>
      <c r="E106" s="28">
        <f t="shared" si="35"/>
        <v>0</v>
      </c>
      <c r="F106" s="28">
        <f t="shared" si="35"/>
        <v>0</v>
      </c>
      <c r="G106" s="28">
        <f t="shared" si="35"/>
        <v>0</v>
      </c>
      <c r="H106" s="28">
        <f t="shared" si="35"/>
        <v>0</v>
      </c>
      <c r="I106" s="28">
        <f t="shared" si="35"/>
        <v>0</v>
      </c>
      <c r="J106" s="28">
        <f t="shared" si="35"/>
        <v>0</v>
      </c>
      <c r="K106" s="28">
        <f t="shared" si="35"/>
        <v>0</v>
      </c>
      <c r="L106" s="28">
        <f t="shared" si="35"/>
        <v>0</v>
      </c>
      <c r="M106" s="28">
        <f t="shared" si="35"/>
        <v>0</v>
      </c>
      <c r="N106" s="28">
        <f t="shared" si="35"/>
        <v>0</v>
      </c>
      <c r="O106" s="28">
        <f t="shared" si="35"/>
        <v>0</v>
      </c>
      <c r="P106" s="28">
        <f t="shared" si="35"/>
        <v>0</v>
      </c>
      <c r="Q106" s="28">
        <f t="shared" si="35"/>
        <v>0</v>
      </c>
      <c r="R106" s="24">
        <f t="shared" si="35"/>
        <v>0</v>
      </c>
    </row>
    <row r="107" spans="2:18" x14ac:dyDescent="0.45">
      <c r="B107" s="47" t="s">
        <v>332</v>
      </c>
      <c r="C107" s="24">
        <f t="shared" ref="C107:R107" si="36">C12+C14</f>
        <v>35</v>
      </c>
      <c r="D107" s="24">
        <f t="shared" si="36"/>
        <v>-54</v>
      </c>
      <c r="E107" s="24">
        <f t="shared" si="36"/>
        <v>141</v>
      </c>
      <c r="F107" s="24">
        <f t="shared" si="36"/>
        <v>634</v>
      </c>
      <c r="G107" s="24">
        <f t="shared" si="36"/>
        <v>346</v>
      </c>
      <c r="H107" s="24">
        <f t="shared" si="36"/>
        <v>7784</v>
      </c>
      <c r="I107" s="24">
        <f t="shared" si="36"/>
        <v>45</v>
      </c>
      <c r="J107" s="24">
        <f t="shared" si="36"/>
        <v>295</v>
      </c>
      <c r="K107" s="24">
        <f t="shared" si="36"/>
        <v>390</v>
      </c>
      <c r="L107" s="24">
        <f t="shared" si="36"/>
        <v>473</v>
      </c>
      <c r="M107" s="24">
        <f t="shared" si="36"/>
        <v>0</v>
      </c>
      <c r="N107" s="24">
        <f t="shared" si="36"/>
        <v>0</v>
      </c>
      <c r="O107" s="24">
        <f t="shared" si="36"/>
        <v>0</v>
      </c>
      <c r="P107" s="24">
        <f t="shared" si="36"/>
        <v>0</v>
      </c>
      <c r="Q107" s="24">
        <f t="shared" si="36"/>
        <v>0</v>
      </c>
      <c r="R107" s="24">
        <f t="shared" si="36"/>
        <v>0</v>
      </c>
    </row>
    <row r="108" spans="2:18" x14ac:dyDescent="0.45">
      <c r="B108" s="47" t="s">
        <v>329</v>
      </c>
      <c r="C108" s="68">
        <f t="shared" ref="C108:L108" si="37">$C$4</f>
        <v>0</v>
      </c>
      <c r="D108" s="68">
        <f t="shared" si="37"/>
        <v>0</v>
      </c>
      <c r="E108" s="68">
        <f t="shared" si="37"/>
        <v>0</v>
      </c>
      <c r="F108" s="68">
        <f t="shared" si="37"/>
        <v>0</v>
      </c>
      <c r="G108" s="68">
        <f t="shared" si="37"/>
        <v>0</v>
      </c>
      <c r="H108" s="68">
        <f t="shared" si="37"/>
        <v>0</v>
      </c>
      <c r="I108" s="68">
        <f t="shared" si="37"/>
        <v>0</v>
      </c>
      <c r="J108" s="68">
        <f t="shared" si="37"/>
        <v>0</v>
      </c>
      <c r="K108" s="68">
        <f t="shared" si="37"/>
        <v>0</v>
      </c>
      <c r="L108" s="68">
        <f t="shared" si="37"/>
        <v>0</v>
      </c>
      <c r="M108" s="27"/>
      <c r="N108" s="27"/>
      <c r="O108" s="27"/>
      <c r="P108" s="27"/>
      <c r="Q108" s="27"/>
    </row>
    <row r="109" spans="2:18" x14ac:dyDescent="0.45">
      <c r="B109" s="60" t="s">
        <v>333</v>
      </c>
      <c r="C109" s="32">
        <f t="shared" ref="C109:R109" si="38">C108*C107</f>
        <v>0</v>
      </c>
      <c r="D109" s="32">
        <f t="shared" si="38"/>
        <v>0</v>
      </c>
      <c r="E109" s="32">
        <f t="shared" si="38"/>
        <v>0</v>
      </c>
      <c r="F109" s="32">
        <f t="shared" si="38"/>
        <v>0</v>
      </c>
      <c r="G109" s="32">
        <f t="shared" si="38"/>
        <v>0</v>
      </c>
      <c r="H109" s="32">
        <f t="shared" si="38"/>
        <v>0</v>
      </c>
      <c r="I109" s="32">
        <f t="shared" si="38"/>
        <v>0</v>
      </c>
      <c r="J109" s="32">
        <f t="shared" si="38"/>
        <v>0</v>
      </c>
      <c r="K109" s="32">
        <f t="shared" si="38"/>
        <v>0</v>
      </c>
      <c r="L109" s="32">
        <f t="shared" si="38"/>
        <v>0</v>
      </c>
      <c r="M109" s="32">
        <f t="shared" si="38"/>
        <v>0</v>
      </c>
      <c r="N109" s="32">
        <f t="shared" si="38"/>
        <v>0</v>
      </c>
      <c r="O109" s="32">
        <f t="shared" si="38"/>
        <v>0</v>
      </c>
      <c r="P109" s="32">
        <f t="shared" si="38"/>
        <v>0</v>
      </c>
      <c r="Q109" s="32">
        <f t="shared" si="38"/>
        <v>0</v>
      </c>
      <c r="R109" s="24">
        <f t="shared" si="38"/>
        <v>0</v>
      </c>
    </row>
    <row r="110" spans="2:18" x14ac:dyDescent="0.45">
      <c r="B110" s="42" t="s">
        <v>334</v>
      </c>
      <c r="C110" s="28">
        <f t="shared" ref="C110" si="39">C113</f>
        <v>0</v>
      </c>
      <c r="D110" s="28">
        <f t="shared" ref="D110:R110" si="40">D113</f>
        <v>0</v>
      </c>
      <c r="E110" s="28">
        <f t="shared" si="40"/>
        <v>0</v>
      </c>
      <c r="F110" s="28">
        <f t="shared" si="40"/>
        <v>0</v>
      </c>
      <c r="G110" s="28">
        <f t="shared" si="40"/>
        <v>0</v>
      </c>
      <c r="H110" s="28">
        <f t="shared" si="40"/>
        <v>0</v>
      </c>
      <c r="I110" s="28">
        <f t="shared" si="40"/>
        <v>0</v>
      </c>
      <c r="J110" s="28">
        <f t="shared" si="40"/>
        <v>0</v>
      </c>
      <c r="K110" s="28">
        <f t="shared" si="40"/>
        <v>0</v>
      </c>
      <c r="L110" s="28">
        <f t="shared" si="40"/>
        <v>0</v>
      </c>
      <c r="M110" s="28">
        <f t="shared" si="40"/>
        <v>0</v>
      </c>
      <c r="N110" s="28">
        <f t="shared" si="40"/>
        <v>0</v>
      </c>
      <c r="O110" s="28">
        <f t="shared" si="40"/>
        <v>0</v>
      </c>
      <c r="P110" s="28">
        <f t="shared" si="40"/>
        <v>0</v>
      </c>
      <c r="Q110" s="28">
        <f t="shared" si="40"/>
        <v>0</v>
      </c>
      <c r="R110" s="24">
        <f t="shared" si="40"/>
        <v>0</v>
      </c>
    </row>
    <row r="111" spans="2:18" x14ac:dyDescent="0.45">
      <c r="B111" s="47" t="s">
        <v>335</v>
      </c>
      <c r="C111" s="24">
        <f t="shared" ref="C111:R111" si="41">-(C15)</f>
        <v>416</v>
      </c>
      <c r="D111" s="24">
        <f t="shared" si="41"/>
        <v>360</v>
      </c>
      <c r="E111" s="24">
        <f t="shared" si="41"/>
        <v>346</v>
      </c>
      <c r="F111" s="24">
        <f t="shared" si="41"/>
        <v>471</v>
      </c>
      <c r="G111" s="24">
        <f t="shared" si="41"/>
        <v>544</v>
      </c>
      <c r="H111" s="24">
        <f t="shared" si="41"/>
        <v>459</v>
      </c>
      <c r="I111" s="24">
        <f t="shared" si="41"/>
        <v>362</v>
      </c>
      <c r="J111" s="24">
        <f t="shared" si="41"/>
        <v>402</v>
      </c>
      <c r="K111" s="24">
        <f t="shared" si="41"/>
        <v>589</v>
      </c>
      <c r="L111" s="24">
        <f t="shared" si="41"/>
        <v>641</v>
      </c>
      <c r="M111" s="24">
        <f t="shared" si="41"/>
        <v>0</v>
      </c>
      <c r="N111" s="24">
        <f t="shared" si="41"/>
        <v>0</v>
      </c>
      <c r="O111" s="24">
        <f t="shared" si="41"/>
        <v>0</v>
      </c>
      <c r="P111" s="24">
        <f t="shared" si="41"/>
        <v>0</v>
      </c>
      <c r="Q111" s="24">
        <f t="shared" si="41"/>
        <v>0</v>
      </c>
      <c r="R111" s="24">
        <f t="shared" si="41"/>
        <v>0</v>
      </c>
    </row>
    <row r="112" spans="2:18" x14ac:dyDescent="0.45">
      <c r="B112" s="47" t="s">
        <v>329</v>
      </c>
      <c r="C112" s="68">
        <f t="shared" ref="C112:L112" si="42">$C$4</f>
        <v>0</v>
      </c>
      <c r="D112" s="68">
        <f t="shared" si="42"/>
        <v>0</v>
      </c>
      <c r="E112" s="68">
        <f t="shared" si="42"/>
        <v>0</v>
      </c>
      <c r="F112" s="68">
        <f t="shared" si="42"/>
        <v>0</v>
      </c>
      <c r="G112" s="68">
        <f t="shared" si="42"/>
        <v>0</v>
      </c>
      <c r="H112" s="68">
        <f t="shared" si="42"/>
        <v>0</v>
      </c>
      <c r="I112" s="68">
        <f t="shared" si="42"/>
        <v>0</v>
      </c>
      <c r="J112" s="68">
        <f t="shared" si="42"/>
        <v>0</v>
      </c>
      <c r="K112" s="68">
        <f t="shared" si="42"/>
        <v>0</v>
      </c>
      <c r="L112" s="68">
        <f t="shared" si="42"/>
        <v>0</v>
      </c>
      <c r="M112" s="27"/>
      <c r="N112" s="27"/>
      <c r="O112" s="27"/>
      <c r="P112" s="27"/>
      <c r="Q112" s="27"/>
    </row>
    <row r="113" spans="1:18" x14ac:dyDescent="0.45">
      <c r="B113" s="60" t="s">
        <v>336</v>
      </c>
      <c r="C113" s="32">
        <f t="shared" ref="C113:R113" si="43">C112*C111</f>
        <v>0</v>
      </c>
      <c r="D113" s="32">
        <f t="shared" si="43"/>
        <v>0</v>
      </c>
      <c r="E113" s="32">
        <f t="shared" si="43"/>
        <v>0</v>
      </c>
      <c r="F113" s="32">
        <f t="shared" si="43"/>
        <v>0</v>
      </c>
      <c r="G113" s="32">
        <f t="shared" si="43"/>
        <v>0</v>
      </c>
      <c r="H113" s="32">
        <f t="shared" si="43"/>
        <v>0</v>
      </c>
      <c r="I113" s="32">
        <f t="shared" si="43"/>
        <v>0</v>
      </c>
      <c r="J113" s="32">
        <f t="shared" si="43"/>
        <v>0</v>
      </c>
      <c r="K113" s="32">
        <f t="shared" si="43"/>
        <v>0</v>
      </c>
      <c r="L113" s="32">
        <f t="shared" si="43"/>
        <v>0</v>
      </c>
      <c r="M113" s="32">
        <f t="shared" si="43"/>
        <v>0</v>
      </c>
      <c r="N113" s="32">
        <f t="shared" si="43"/>
        <v>0</v>
      </c>
      <c r="O113" s="32">
        <f t="shared" si="43"/>
        <v>0</v>
      </c>
      <c r="P113" s="32">
        <f t="shared" si="43"/>
        <v>0</v>
      </c>
      <c r="Q113" s="32">
        <f t="shared" si="43"/>
        <v>0</v>
      </c>
      <c r="R113" s="24">
        <f t="shared" si="43"/>
        <v>0</v>
      </c>
    </row>
    <row r="114" spans="1:18" ht="14.65" thickBot="1" x14ac:dyDescent="0.5">
      <c r="B114" s="52" t="s">
        <v>337</v>
      </c>
      <c r="C114" s="44">
        <f t="shared" ref="C114" si="44">C101+C106-C110</f>
        <v>4512</v>
      </c>
      <c r="D114" s="44">
        <f t="shared" ref="D114:R114" si="45">D101+D106-D110</f>
        <v>4486</v>
      </c>
      <c r="E114" s="44">
        <f t="shared" si="45"/>
        <v>3894</v>
      </c>
      <c r="F114" s="44">
        <f t="shared" si="45"/>
        <v>4423</v>
      </c>
      <c r="G114" s="44">
        <f t="shared" si="45"/>
        <v>2886</v>
      </c>
      <c r="H114" s="44">
        <f t="shared" si="45"/>
        <v>12330</v>
      </c>
      <c r="I114" s="44">
        <f t="shared" si="45"/>
        <v>6279</v>
      </c>
      <c r="J114" s="44">
        <f t="shared" si="45"/>
        <v>8083</v>
      </c>
      <c r="K114" s="44">
        <f t="shared" si="45"/>
        <v>5098</v>
      </c>
      <c r="L114" s="44">
        <f t="shared" si="45"/>
        <v>5554</v>
      </c>
      <c r="M114" s="44">
        <f t="shared" si="45"/>
        <v>0</v>
      </c>
      <c r="N114" s="44">
        <f t="shared" si="45"/>
        <v>0</v>
      </c>
      <c r="O114" s="44">
        <f t="shared" si="45"/>
        <v>0</v>
      </c>
      <c r="P114" s="44">
        <f t="shared" si="45"/>
        <v>0</v>
      </c>
      <c r="Q114" s="44">
        <f t="shared" si="45"/>
        <v>0</v>
      </c>
      <c r="R114" s="24">
        <f t="shared" si="45"/>
        <v>0</v>
      </c>
    </row>
    <row r="115" spans="1:18" ht="15" thickTop="1" thickBot="1" x14ac:dyDescent="0.5">
      <c r="B115" s="34"/>
    </row>
    <row r="116" spans="1:18" ht="14.65" thickTop="1" x14ac:dyDescent="0.45">
      <c r="A116" s="24" t="s">
        <v>14</v>
      </c>
      <c r="B116" s="57" t="s">
        <v>338</v>
      </c>
      <c r="C116" s="58"/>
      <c r="D116" s="58"/>
      <c r="E116" s="58"/>
      <c r="F116" s="58"/>
      <c r="G116" s="58"/>
      <c r="H116" s="58"/>
      <c r="I116" s="58"/>
      <c r="J116" s="58"/>
      <c r="K116" s="58"/>
      <c r="L116" s="58"/>
      <c r="M116" s="58"/>
      <c r="N116" s="58"/>
      <c r="O116" s="58"/>
      <c r="P116" s="58"/>
      <c r="Q116" s="58"/>
    </row>
    <row r="117" spans="1:18" x14ac:dyDescent="0.45">
      <c r="B117" s="42" t="s">
        <v>339</v>
      </c>
    </row>
    <row r="118" spans="1:18" x14ac:dyDescent="0.45">
      <c r="B118" s="47" t="s">
        <v>340</v>
      </c>
      <c r="C118" s="24">
        <f t="shared" ref="C118:R118" si="46">MIN(C3*C9,C46)</f>
        <v>0</v>
      </c>
      <c r="D118" s="24">
        <f t="shared" si="46"/>
        <v>0</v>
      </c>
      <c r="E118" s="24">
        <f t="shared" si="46"/>
        <v>1811.0500000000002</v>
      </c>
      <c r="F118" s="24">
        <f t="shared" si="46"/>
        <v>1783.8500000000001</v>
      </c>
      <c r="G118" s="24">
        <f t="shared" si="46"/>
        <v>1881.5500000000002</v>
      </c>
      <c r="H118" s="24">
        <f t="shared" si="46"/>
        <v>1868.45</v>
      </c>
      <c r="I118" s="24">
        <f t="shared" si="46"/>
        <v>1958.75</v>
      </c>
      <c r="J118" s="24">
        <f t="shared" si="46"/>
        <v>2015.2</v>
      </c>
      <c r="K118" s="24">
        <f t="shared" si="46"/>
        <v>2055.4500000000003</v>
      </c>
      <c r="L118" s="24">
        <f t="shared" si="46"/>
        <v>2214.3000000000002</v>
      </c>
      <c r="M118" s="24">
        <f t="shared" si="46"/>
        <v>0</v>
      </c>
      <c r="N118" s="24">
        <f t="shared" si="46"/>
        <v>0</v>
      </c>
      <c r="O118" s="24">
        <f t="shared" si="46"/>
        <v>0</v>
      </c>
      <c r="P118" s="24">
        <f t="shared" si="46"/>
        <v>0</v>
      </c>
      <c r="Q118" s="24">
        <f t="shared" si="46"/>
        <v>0</v>
      </c>
      <c r="R118" s="24">
        <f t="shared" si="46"/>
        <v>0</v>
      </c>
    </row>
    <row r="119" spans="1:18" x14ac:dyDescent="0.45">
      <c r="B119" s="59" t="s">
        <v>341</v>
      </c>
      <c r="C119" s="24">
        <f t="shared" ref="C119" si="47">C44</f>
        <v>7386</v>
      </c>
      <c r="D119" s="24">
        <f t="shared" ref="D119:R119" si="48">D44</f>
        <v>7311</v>
      </c>
      <c r="E119" s="24">
        <f t="shared" si="48"/>
        <v>7216</v>
      </c>
      <c r="F119" s="24">
        <f t="shared" si="48"/>
        <v>7260</v>
      </c>
      <c r="G119" s="24">
        <f t="shared" si="48"/>
        <v>7937</v>
      </c>
      <c r="H119" s="24">
        <f t="shared" si="48"/>
        <v>7491</v>
      </c>
      <c r="I119" s="24">
        <f t="shared" si="48"/>
        <v>7568</v>
      </c>
      <c r="J119" s="24">
        <f t="shared" si="48"/>
        <v>8424</v>
      </c>
      <c r="K119" s="24">
        <f t="shared" si="48"/>
        <v>8433</v>
      </c>
      <c r="L119" s="24">
        <f t="shared" si="48"/>
        <v>7677</v>
      </c>
      <c r="M119" s="24">
        <f t="shared" si="48"/>
        <v>0</v>
      </c>
      <c r="N119" s="24">
        <f t="shared" si="48"/>
        <v>0</v>
      </c>
      <c r="O119" s="24">
        <f t="shared" si="48"/>
        <v>0</v>
      </c>
      <c r="P119" s="24">
        <f t="shared" si="48"/>
        <v>0</v>
      </c>
      <c r="Q119" s="24">
        <f t="shared" si="48"/>
        <v>0</v>
      </c>
      <c r="R119" s="24">
        <f t="shared" si="48"/>
        <v>0</v>
      </c>
    </row>
    <row r="120" spans="1:18" x14ac:dyDescent="0.45">
      <c r="B120" s="47" t="s">
        <v>342</v>
      </c>
      <c r="C120" s="24">
        <f t="shared" ref="C120" si="49">C43</f>
        <v>6516</v>
      </c>
      <c r="D120" s="24">
        <f t="shared" ref="D120:R120" si="50">D43</f>
        <v>6896</v>
      </c>
      <c r="E120" s="24">
        <f t="shared" si="50"/>
        <v>6818</v>
      </c>
      <c r="F120" s="24">
        <f t="shared" si="50"/>
        <v>7477</v>
      </c>
      <c r="G120" s="24">
        <f t="shared" si="50"/>
        <v>7994</v>
      </c>
      <c r="H120" s="24">
        <f t="shared" si="50"/>
        <v>8352</v>
      </c>
      <c r="I120" s="24">
        <f t="shared" si="50"/>
        <v>8715</v>
      </c>
      <c r="J120" s="24">
        <f t="shared" si="50"/>
        <v>8960</v>
      </c>
      <c r="K120" s="24">
        <f t="shared" si="50"/>
        <v>9666</v>
      </c>
      <c r="L120" s="24">
        <f t="shared" si="50"/>
        <v>9431</v>
      </c>
      <c r="M120" s="24">
        <f t="shared" si="50"/>
        <v>0</v>
      </c>
      <c r="N120" s="24">
        <f t="shared" si="50"/>
        <v>0</v>
      </c>
      <c r="O120" s="24">
        <f t="shared" si="50"/>
        <v>0</v>
      </c>
      <c r="P120" s="24">
        <f t="shared" si="50"/>
        <v>0</v>
      </c>
      <c r="Q120" s="24">
        <f t="shared" si="50"/>
        <v>0</v>
      </c>
      <c r="R120" s="24">
        <f t="shared" si="50"/>
        <v>0</v>
      </c>
    </row>
    <row r="121" spans="1:18" x14ac:dyDescent="0.45">
      <c r="B121" s="47" t="s">
        <v>343</v>
      </c>
      <c r="C121" s="24">
        <f t="shared" ref="C121" si="51">C45</f>
        <v>7630</v>
      </c>
      <c r="D121" s="24">
        <f t="shared" ref="D121:R121" si="52">D45</f>
        <v>8632</v>
      </c>
      <c r="E121" s="24">
        <f t="shared" si="52"/>
        <v>2039</v>
      </c>
      <c r="F121" s="24">
        <f t="shared" si="52"/>
        <v>2985</v>
      </c>
      <c r="G121" s="24">
        <f t="shared" si="52"/>
        <v>3578</v>
      </c>
      <c r="H121" s="24">
        <f t="shared" si="52"/>
        <v>4028</v>
      </c>
      <c r="I121" s="24">
        <f t="shared" si="52"/>
        <v>4272</v>
      </c>
      <c r="J121" s="24">
        <f t="shared" si="52"/>
        <v>3991</v>
      </c>
      <c r="K121" s="24">
        <f t="shared" si="52"/>
        <v>3861</v>
      </c>
      <c r="L121" s="24">
        <f t="shared" si="52"/>
        <v>18039</v>
      </c>
      <c r="M121" s="24">
        <f t="shared" si="52"/>
        <v>0</v>
      </c>
      <c r="N121" s="24">
        <f t="shared" si="52"/>
        <v>0</v>
      </c>
      <c r="O121" s="24">
        <f t="shared" si="52"/>
        <v>0</v>
      </c>
      <c r="P121" s="24">
        <f t="shared" si="52"/>
        <v>0</v>
      </c>
      <c r="Q121" s="24">
        <f t="shared" si="52"/>
        <v>0</v>
      </c>
      <c r="R121" s="24">
        <f t="shared" si="52"/>
        <v>0</v>
      </c>
    </row>
    <row r="122" spans="1:18" x14ac:dyDescent="0.45">
      <c r="B122" s="47" t="s">
        <v>344</v>
      </c>
      <c r="C122" s="24">
        <f t="shared" ref="C122" si="53">C63</f>
        <v>3817</v>
      </c>
      <c r="D122" s="24">
        <f t="shared" ref="D122:R123" si="54">D63</f>
        <v>4297</v>
      </c>
      <c r="E122" s="24">
        <f t="shared" si="54"/>
        <v>4633</v>
      </c>
      <c r="F122" s="24">
        <f t="shared" si="54"/>
        <v>5041</v>
      </c>
      <c r="G122" s="24">
        <f t="shared" si="54"/>
        <v>5313</v>
      </c>
      <c r="H122" s="24">
        <f t="shared" si="54"/>
        <v>5295</v>
      </c>
      <c r="I122" s="24">
        <f t="shared" si="54"/>
        <v>6180</v>
      </c>
      <c r="J122" s="24">
        <f t="shared" si="54"/>
        <v>6813</v>
      </c>
      <c r="K122" s="24">
        <f t="shared" si="54"/>
        <v>7328</v>
      </c>
      <c r="L122" s="24">
        <f t="shared" si="54"/>
        <v>7551</v>
      </c>
      <c r="M122" s="24">
        <f t="shared" si="54"/>
        <v>0</v>
      </c>
      <c r="N122" s="24">
        <f t="shared" si="54"/>
        <v>0</v>
      </c>
      <c r="O122" s="24">
        <f t="shared" si="54"/>
        <v>0</v>
      </c>
      <c r="P122" s="24">
        <f t="shared" si="54"/>
        <v>0</v>
      </c>
      <c r="Q122" s="24">
        <f t="shared" si="54"/>
        <v>0</v>
      </c>
      <c r="R122" s="24">
        <f t="shared" si="54"/>
        <v>0</v>
      </c>
    </row>
    <row r="123" spans="1:18" x14ac:dyDescent="0.45">
      <c r="B123" s="47" t="s">
        <v>345</v>
      </c>
      <c r="C123" s="27">
        <f t="shared" ref="C123" si="55">C64</f>
        <v>10551</v>
      </c>
      <c r="D123" s="27">
        <f t="shared" si="54"/>
        <v>11575</v>
      </c>
      <c r="E123" s="27">
        <f t="shared" si="54"/>
        <v>9555</v>
      </c>
      <c r="F123" s="27">
        <f t="shared" si="54"/>
        <v>9702</v>
      </c>
      <c r="G123" s="27">
        <f t="shared" si="54"/>
        <v>10257</v>
      </c>
      <c r="H123" s="27">
        <f t="shared" si="54"/>
        <v>10986</v>
      </c>
      <c r="I123" s="27">
        <f t="shared" si="54"/>
        <v>11662</v>
      </c>
      <c r="J123" s="27">
        <f t="shared" si="54"/>
        <v>12710</v>
      </c>
      <c r="K123" s="27">
        <f t="shared" si="54"/>
        <v>14558</v>
      </c>
      <c r="L123" s="27">
        <f t="shared" si="54"/>
        <v>17134</v>
      </c>
      <c r="M123" s="27">
        <f t="shared" si="54"/>
        <v>0</v>
      </c>
      <c r="N123" s="27">
        <f t="shared" si="54"/>
        <v>0</v>
      </c>
      <c r="O123" s="27">
        <f t="shared" si="54"/>
        <v>0</v>
      </c>
      <c r="P123" s="27">
        <f t="shared" si="54"/>
        <v>0</v>
      </c>
      <c r="Q123" s="27">
        <f t="shared" si="54"/>
        <v>0</v>
      </c>
      <c r="R123" s="24">
        <f t="shared" si="54"/>
        <v>0</v>
      </c>
    </row>
    <row r="124" spans="1:18" x14ac:dyDescent="0.45">
      <c r="B124" s="60" t="s">
        <v>138</v>
      </c>
      <c r="C124" s="32">
        <f t="shared" ref="C124:R124" si="56">SUM(C118:C121)-SUM(C122:C123)</f>
        <v>7164</v>
      </c>
      <c r="D124" s="32">
        <f t="shared" si="56"/>
        <v>6967</v>
      </c>
      <c r="E124" s="32">
        <f t="shared" si="56"/>
        <v>3696.0499999999993</v>
      </c>
      <c r="F124" s="32">
        <f t="shared" si="56"/>
        <v>4762.8499999999985</v>
      </c>
      <c r="G124" s="32">
        <f t="shared" si="56"/>
        <v>5820.5499999999993</v>
      </c>
      <c r="H124" s="32">
        <f t="shared" si="56"/>
        <v>5458.4500000000007</v>
      </c>
      <c r="I124" s="32">
        <f t="shared" si="56"/>
        <v>4671.75</v>
      </c>
      <c r="J124" s="32">
        <f t="shared" si="56"/>
        <v>3867.2000000000007</v>
      </c>
      <c r="K124" s="32">
        <f t="shared" si="56"/>
        <v>2129.4500000000007</v>
      </c>
      <c r="L124" s="32">
        <f t="shared" si="56"/>
        <v>12676.300000000003</v>
      </c>
      <c r="M124" s="32">
        <f t="shared" si="56"/>
        <v>0</v>
      </c>
      <c r="N124" s="32">
        <f t="shared" si="56"/>
        <v>0</v>
      </c>
      <c r="O124" s="32">
        <f t="shared" si="56"/>
        <v>0</v>
      </c>
      <c r="P124" s="32">
        <f t="shared" si="56"/>
        <v>0</v>
      </c>
      <c r="Q124" s="32">
        <f t="shared" si="56"/>
        <v>0</v>
      </c>
      <c r="R124" s="24">
        <f t="shared" si="56"/>
        <v>0</v>
      </c>
    </row>
    <row r="125" spans="1:18" x14ac:dyDescent="0.45">
      <c r="B125" s="62" t="s">
        <v>346</v>
      </c>
    </row>
    <row r="126" spans="1:18" x14ac:dyDescent="0.45">
      <c r="B126" s="47" t="s">
        <v>347</v>
      </c>
      <c r="C126" s="24">
        <f t="shared" ref="C126:R126" si="57">C37</f>
        <v>10112</v>
      </c>
      <c r="D126" s="24">
        <f t="shared" si="57"/>
        <v>12839</v>
      </c>
      <c r="E126" s="24">
        <f t="shared" si="57"/>
        <v>9712</v>
      </c>
      <c r="F126" s="24">
        <f t="shared" si="57"/>
        <v>10029</v>
      </c>
      <c r="G126" s="24">
        <f t="shared" si="57"/>
        <v>11488</v>
      </c>
      <c r="H126" s="24">
        <f t="shared" si="57"/>
        <v>11104</v>
      </c>
      <c r="I126" s="24">
        <f t="shared" si="57"/>
        <v>12621</v>
      </c>
      <c r="J126" s="24">
        <f t="shared" si="57"/>
        <v>12481</v>
      </c>
      <c r="K126" s="24">
        <f t="shared" si="57"/>
        <v>12387</v>
      </c>
      <c r="L126" s="24">
        <f t="shared" si="57"/>
        <v>12469</v>
      </c>
      <c r="M126" s="24">
        <f t="shared" si="57"/>
        <v>0</v>
      </c>
      <c r="N126" s="24">
        <f t="shared" si="57"/>
        <v>0</v>
      </c>
      <c r="O126" s="24">
        <f t="shared" si="57"/>
        <v>0</v>
      </c>
      <c r="P126" s="24">
        <f t="shared" si="57"/>
        <v>0</v>
      </c>
      <c r="Q126" s="24">
        <f t="shared" si="57"/>
        <v>0</v>
      </c>
      <c r="R126" s="24">
        <f t="shared" si="57"/>
        <v>0</v>
      </c>
    </row>
    <row r="127" spans="1:18" x14ac:dyDescent="0.45">
      <c r="B127" s="47" t="s">
        <v>348</v>
      </c>
      <c r="C127" s="24">
        <f t="shared" ref="C127:R127" si="58">C38</f>
        <v>52254</v>
      </c>
      <c r="D127" s="24">
        <f t="shared" si="58"/>
        <v>51166</v>
      </c>
      <c r="E127" s="24">
        <f t="shared" si="58"/>
        <v>54043</v>
      </c>
      <c r="F127" s="24">
        <f t="shared" si="58"/>
        <v>66588</v>
      </c>
      <c r="G127" s="24">
        <f t="shared" si="58"/>
        <v>61549</v>
      </c>
      <c r="H127" s="24">
        <f t="shared" si="58"/>
        <v>63242</v>
      </c>
      <c r="I127" s="24">
        <f t="shared" si="58"/>
        <v>69948</v>
      </c>
      <c r="J127" s="24">
        <f t="shared" si="58"/>
        <v>71984</v>
      </c>
      <c r="K127" s="24">
        <f t="shared" si="58"/>
        <v>74314</v>
      </c>
      <c r="L127" s="24">
        <f t="shared" si="58"/>
        <v>66515</v>
      </c>
      <c r="M127" s="24">
        <f t="shared" si="58"/>
        <v>0</v>
      </c>
      <c r="N127" s="24">
        <f t="shared" si="58"/>
        <v>0</v>
      </c>
      <c r="O127" s="24">
        <f t="shared" si="58"/>
        <v>0</v>
      </c>
      <c r="P127" s="24">
        <f t="shared" si="58"/>
        <v>0</v>
      </c>
      <c r="Q127" s="24">
        <f t="shared" si="58"/>
        <v>0</v>
      </c>
      <c r="R127" s="24">
        <f t="shared" si="58"/>
        <v>0</v>
      </c>
    </row>
    <row r="128" spans="1:18" x14ac:dyDescent="0.45">
      <c r="B128" s="47" t="s">
        <v>349</v>
      </c>
      <c r="C128" s="24">
        <f t="shared" ref="C128" si="59">C59-C40</f>
        <v>-1819</v>
      </c>
      <c r="D128" s="24">
        <f t="shared" ref="D128:R128" si="60">D59-D40</f>
        <v>-2378</v>
      </c>
      <c r="E128" s="24">
        <f t="shared" si="60"/>
        <v>-2686</v>
      </c>
      <c r="F128" s="24">
        <f t="shared" si="60"/>
        <v>-1199</v>
      </c>
      <c r="G128" s="24">
        <f t="shared" si="60"/>
        <v>-3097</v>
      </c>
      <c r="H128" s="24">
        <f t="shared" si="60"/>
        <v>-2406</v>
      </c>
      <c r="I128" s="24">
        <f t="shared" si="60"/>
        <v>-2981</v>
      </c>
      <c r="J128" s="24">
        <f t="shared" si="60"/>
        <v>-3540</v>
      </c>
      <c r="K128" s="24">
        <f t="shared" si="60"/>
        <v>-4570</v>
      </c>
      <c r="L128" s="24">
        <f t="shared" si="60"/>
        <v>-5801</v>
      </c>
      <c r="M128" s="24">
        <f t="shared" si="60"/>
        <v>0</v>
      </c>
      <c r="N128" s="24">
        <f t="shared" si="60"/>
        <v>0</v>
      </c>
      <c r="O128" s="24">
        <f t="shared" si="60"/>
        <v>0</v>
      </c>
      <c r="P128" s="24">
        <f t="shared" si="60"/>
        <v>0</v>
      </c>
      <c r="Q128" s="24">
        <f t="shared" si="60"/>
        <v>0</v>
      </c>
      <c r="R128" s="24">
        <f t="shared" si="60"/>
        <v>0</v>
      </c>
    </row>
    <row r="129" spans="2:18" ht="28.5" x14ac:dyDescent="0.45">
      <c r="B129" s="47" t="s">
        <v>350</v>
      </c>
      <c r="C129" s="25">
        <f t="shared" ref="C129" si="61">C60</f>
        <v>5982</v>
      </c>
      <c r="D129" s="25">
        <f t="shared" ref="D129:R129" si="62">D60</f>
        <v>5835</v>
      </c>
      <c r="E129" s="25">
        <f t="shared" si="62"/>
        <v>6221</v>
      </c>
      <c r="F129" s="25">
        <f t="shared" si="62"/>
        <v>6054</v>
      </c>
      <c r="G129" s="25">
        <f t="shared" si="62"/>
        <v>6002</v>
      </c>
      <c r="H129" s="25">
        <f t="shared" si="62"/>
        <v>6159</v>
      </c>
      <c r="I129" s="25">
        <f t="shared" si="62"/>
        <v>6390</v>
      </c>
      <c r="J129" s="25">
        <f t="shared" si="62"/>
        <v>6955</v>
      </c>
      <c r="K129" s="25">
        <f t="shared" si="62"/>
        <v>7731</v>
      </c>
      <c r="L129" s="25">
        <f t="shared" si="62"/>
        <v>8185</v>
      </c>
      <c r="M129" s="25">
        <f t="shared" si="62"/>
        <v>0</v>
      </c>
      <c r="N129" s="27">
        <f t="shared" si="62"/>
        <v>0</v>
      </c>
      <c r="O129" s="27">
        <f t="shared" si="62"/>
        <v>0</v>
      </c>
      <c r="P129" s="27">
        <f t="shared" si="62"/>
        <v>0</v>
      </c>
      <c r="Q129" s="27">
        <f t="shared" si="62"/>
        <v>0</v>
      </c>
      <c r="R129" s="24">
        <f t="shared" si="62"/>
        <v>0</v>
      </c>
    </row>
    <row r="130" spans="2:18" x14ac:dyDescent="0.45">
      <c r="B130" s="60" t="s">
        <v>351</v>
      </c>
      <c r="C130" s="36">
        <f t="shared" ref="C130:R130" si="63">SUM(C126:C127)-SUM(C128:C129)</f>
        <v>58203</v>
      </c>
      <c r="D130" s="36">
        <f t="shared" si="63"/>
        <v>60548</v>
      </c>
      <c r="E130" s="36">
        <f t="shared" si="63"/>
        <v>60220</v>
      </c>
      <c r="F130" s="36">
        <f t="shared" si="63"/>
        <v>71762</v>
      </c>
      <c r="G130" s="36">
        <f t="shared" si="63"/>
        <v>70132</v>
      </c>
      <c r="H130" s="36">
        <f t="shared" si="63"/>
        <v>70593</v>
      </c>
      <c r="I130" s="36">
        <f t="shared" si="63"/>
        <v>79160</v>
      </c>
      <c r="J130" s="36">
        <f t="shared" si="63"/>
        <v>81050</v>
      </c>
      <c r="K130" s="36">
        <f t="shared" si="63"/>
        <v>83540</v>
      </c>
      <c r="L130" s="36">
        <f t="shared" si="63"/>
        <v>76600</v>
      </c>
      <c r="M130" s="36">
        <f t="shared" si="63"/>
        <v>0</v>
      </c>
      <c r="N130" s="36">
        <f t="shared" si="63"/>
        <v>0</v>
      </c>
      <c r="O130" s="36">
        <f t="shared" si="63"/>
        <v>0</v>
      </c>
      <c r="P130" s="36">
        <f t="shared" si="63"/>
        <v>0</v>
      </c>
      <c r="Q130" s="36">
        <f t="shared" si="63"/>
        <v>0</v>
      </c>
      <c r="R130" s="24">
        <f t="shared" si="63"/>
        <v>0</v>
      </c>
    </row>
    <row r="131" spans="2:18" x14ac:dyDescent="0.45">
      <c r="B131" s="62" t="s">
        <v>352</v>
      </c>
      <c r="C131" s="32"/>
      <c r="D131" s="32"/>
      <c r="E131" s="32"/>
      <c r="F131" s="32"/>
      <c r="G131" s="32"/>
      <c r="H131" s="32"/>
      <c r="I131" s="32"/>
      <c r="J131" s="32"/>
      <c r="K131" s="32"/>
      <c r="L131" s="32"/>
      <c r="M131" s="32"/>
      <c r="N131" s="32"/>
      <c r="O131" s="32"/>
      <c r="P131" s="32"/>
      <c r="Q131" s="32"/>
    </row>
    <row r="132" spans="2:18" x14ac:dyDescent="0.45">
      <c r="B132" s="47" t="s">
        <v>353</v>
      </c>
      <c r="C132" s="216">
        <f t="shared" ref="C132" si="64">MAX(0,C46-C118)</f>
        <v>9148</v>
      </c>
      <c r="D132" s="216">
        <f t="shared" ref="D132:R132" si="65">MAX(0,D46-D118)</f>
        <v>10273</v>
      </c>
      <c r="E132" s="216">
        <f t="shared" si="65"/>
        <v>8503.9500000000007</v>
      </c>
      <c r="F132" s="216">
        <f t="shared" si="65"/>
        <v>5141.1499999999996</v>
      </c>
      <c r="G132" s="216">
        <f t="shared" si="65"/>
        <v>7545.45</v>
      </c>
      <c r="H132" s="216">
        <f t="shared" si="65"/>
        <v>12046.55</v>
      </c>
      <c r="I132" s="216">
        <f t="shared" si="65"/>
        <v>8139.25</v>
      </c>
      <c r="J132" s="216">
        <f t="shared" si="65"/>
        <v>10720.8</v>
      </c>
      <c r="K132" s="216">
        <f t="shared" si="65"/>
        <v>6654.5499999999993</v>
      </c>
      <c r="L132" s="216">
        <f t="shared" si="65"/>
        <v>5226.7</v>
      </c>
      <c r="M132" s="216">
        <f t="shared" si="65"/>
        <v>0</v>
      </c>
      <c r="N132" s="216">
        <f t="shared" si="65"/>
        <v>0</v>
      </c>
      <c r="O132" s="216">
        <f t="shared" si="65"/>
        <v>0</v>
      </c>
      <c r="P132" s="216">
        <f t="shared" si="65"/>
        <v>0</v>
      </c>
      <c r="Q132" s="216">
        <f t="shared" si="65"/>
        <v>0</v>
      </c>
      <c r="R132" s="24">
        <f t="shared" si="65"/>
        <v>0</v>
      </c>
    </row>
    <row r="133" spans="2:18" x14ac:dyDescent="0.45">
      <c r="B133" s="47" t="s">
        <v>354</v>
      </c>
      <c r="C133" s="24">
        <f>C39</f>
        <v>4561</v>
      </c>
      <c r="D133" s="24">
        <f t="shared" ref="D133:R133" si="66">D39</f>
        <v>2892</v>
      </c>
      <c r="E133" s="24">
        <f t="shared" si="66"/>
        <v>5379</v>
      </c>
      <c r="F133" s="24">
        <f t="shared" si="66"/>
        <v>5531</v>
      </c>
      <c r="G133" s="24">
        <f t="shared" si="66"/>
        <v>5266</v>
      </c>
      <c r="H133" s="24">
        <f t="shared" si="66"/>
        <v>2105</v>
      </c>
      <c r="I133" s="24">
        <f t="shared" si="66"/>
        <v>2422</v>
      </c>
      <c r="J133" s="24">
        <f t="shared" si="66"/>
        <v>2765</v>
      </c>
      <c r="K133" s="24">
        <f t="shared" si="66"/>
        <v>2666</v>
      </c>
      <c r="L133" s="24">
        <f t="shared" si="66"/>
        <v>3259</v>
      </c>
      <c r="M133" s="24">
        <f t="shared" si="66"/>
        <v>0</v>
      </c>
      <c r="N133" s="24">
        <f t="shared" si="66"/>
        <v>0</v>
      </c>
      <c r="O133" s="24">
        <f t="shared" si="66"/>
        <v>0</v>
      </c>
      <c r="P133" s="24">
        <f t="shared" si="66"/>
        <v>0</v>
      </c>
      <c r="Q133" s="24">
        <f t="shared" si="66"/>
        <v>0</v>
      </c>
      <c r="R133" s="24">
        <f t="shared" si="66"/>
        <v>0</v>
      </c>
    </row>
    <row r="134" spans="2:18" ht="14.65" thickBot="1" x14ac:dyDescent="0.5">
      <c r="B134" s="60" t="s">
        <v>355</v>
      </c>
      <c r="C134" s="64">
        <f t="shared" ref="C134:R134" si="67">SUM(C132:C133)</f>
        <v>13709</v>
      </c>
      <c r="D134" s="64">
        <f t="shared" si="67"/>
        <v>13165</v>
      </c>
      <c r="E134" s="64">
        <f t="shared" si="67"/>
        <v>13882.95</v>
      </c>
      <c r="F134" s="64">
        <f t="shared" si="67"/>
        <v>10672.15</v>
      </c>
      <c r="G134" s="64">
        <f t="shared" si="67"/>
        <v>12811.45</v>
      </c>
      <c r="H134" s="64">
        <f t="shared" si="67"/>
        <v>14151.55</v>
      </c>
      <c r="I134" s="64">
        <f t="shared" si="67"/>
        <v>10561.25</v>
      </c>
      <c r="J134" s="64">
        <f t="shared" si="67"/>
        <v>13485.8</v>
      </c>
      <c r="K134" s="64">
        <f t="shared" si="67"/>
        <v>9320.5499999999993</v>
      </c>
      <c r="L134" s="64">
        <f t="shared" si="67"/>
        <v>8485.7000000000007</v>
      </c>
      <c r="M134" s="64">
        <f t="shared" si="67"/>
        <v>0</v>
      </c>
      <c r="N134" s="64">
        <f t="shared" si="67"/>
        <v>0</v>
      </c>
      <c r="O134" s="64">
        <f t="shared" si="67"/>
        <v>0</v>
      </c>
      <c r="P134" s="64">
        <f t="shared" si="67"/>
        <v>0</v>
      </c>
      <c r="Q134" s="64">
        <f t="shared" si="67"/>
        <v>0</v>
      </c>
      <c r="R134" s="24">
        <f t="shared" si="67"/>
        <v>0</v>
      </c>
    </row>
    <row r="135" spans="2:18" ht="14.65" thickTop="1" x14ac:dyDescent="0.45">
      <c r="B135" s="42" t="s">
        <v>356</v>
      </c>
      <c r="C135" s="32">
        <f t="shared" ref="C135:R135" si="68">SUM(C124,C130,C134)</f>
        <v>79076</v>
      </c>
      <c r="D135" s="32">
        <f t="shared" si="68"/>
        <v>80680</v>
      </c>
      <c r="E135" s="32">
        <f t="shared" si="68"/>
        <v>77799</v>
      </c>
      <c r="F135" s="32">
        <f t="shared" si="68"/>
        <v>87197</v>
      </c>
      <c r="G135" s="32">
        <f t="shared" si="68"/>
        <v>88764</v>
      </c>
      <c r="H135" s="32">
        <f t="shared" si="68"/>
        <v>90203</v>
      </c>
      <c r="I135" s="32">
        <f t="shared" si="68"/>
        <v>94393</v>
      </c>
      <c r="J135" s="32">
        <f t="shared" si="68"/>
        <v>98403</v>
      </c>
      <c r="K135" s="32">
        <f t="shared" si="68"/>
        <v>94990</v>
      </c>
      <c r="L135" s="32">
        <f t="shared" si="68"/>
        <v>97762</v>
      </c>
      <c r="M135" s="32">
        <f t="shared" si="68"/>
        <v>0</v>
      </c>
      <c r="N135" s="32">
        <f t="shared" si="68"/>
        <v>0</v>
      </c>
      <c r="O135" s="32">
        <f t="shared" si="68"/>
        <v>0</v>
      </c>
      <c r="P135" s="32">
        <f t="shared" si="68"/>
        <v>0</v>
      </c>
      <c r="Q135" s="32">
        <f t="shared" si="68"/>
        <v>0</v>
      </c>
      <c r="R135" s="24">
        <f t="shared" si="68"/>
        <v>0</v>
      </c>
    </row>
    <row r="136" spans="2:18" x14ac:dyDescent="0.45">
      <c r="B136" s="42"/>
      <c r="C136" s="71"/>
      <c r="D136" s="71"/>
      <c r="E136" s="71"/>
      <c r="F136" s="71"/>
      <c r="G136" s="71"/>
      <c r="H136" s="71"/>
      <c r="I136" s="71"/>
      <c r="J136" s="71"/>
      <c r="K136" s="71"/>
      <c r="L136" s="71"/>
      <c r="M136" s="32"/>
      <c r="N136" s="32"/>
      <c r="O136" s="32"/>
      <c r="P136" s="32"/>
      <c r="Q136" s="32"/>
    </row>
    <row r="137" spans="2:18" x14ac:dyDescent="0.45">
      <c r="B137" s="42" t="s">
        <v>357</v>
      </c>
      <c r="C137" s="71"/>
      <c r="D137" s="71"/>
      <c r="E137" s="71"/>
      <c r="F137" s="71"/>
      <c r="G137" s="71"/>
      <c r="H137" s="71"/>
      <c r="I137" s="71"/>
      <c r="J137" s="71"/>
      <c r="K137" s="71"/>
      <c r="L137" s="71"/>
    </row>
    <row r="138" spans="2:18" x14ac:dyDescent="0.45">
      <c r="B138" s="47" t="s">
        <v>358</v>
      </c>
      <c r="C138" s="24">
        <f t="shared" ref="C138:R138" si="69">C65</f>
        <v>3440</v>
      </c>
      <c r="D138" s="24">
        <f t="shared" si="69"/>
        <v>1766</v>
      </c>
      <c r="E138" s="24">
        <f t="shared" si="69"/>
        <v>1275</v>
      </c>
      <c r="F138" s="24">
        <f t="shared" si="69"/>
        <v>2633</v>
      </c>
      <c r="G138" s="24">
        <f t="shared" si="69"/>
        <v>4817</v>
      </c>
      <c r="H138" s="24">
        <f t="shared" si="69"/>
        <v>2999</v>
      </c>
      <c r="I138" s="24">
        <f t="shared" si="69"/>
        <v>3453</v>
      </c>
      <c r="J138" s="24">
        <f t="shared" si="69"/>
        <v>4451</v>
      </c>
      <c r="K138" s="24">
        <f t="shared" si="69"/>
        <v>2321</v>
      </c>
      <c r="L138" s="24">
        <f t="shared" si="69"/>
        <v>4477</v>
      </c>
      <c r="M138" s="24">
        <f t="shared" si="69"/>
        <v>0</v>
      </c>
      <c r="N138" s="24">
        <f t="shared" si="69"/>
        <v>0</v>
      </c>
      <c r="O138" s="24">
        <f t="shared" si="69"/>
        <v>0</v>
      </c>
      <c r="P138" s="24">
        <f t="shared" si="69"/>
        <v>0</v>
      </c>
      <c r="Q138" s="24">
        <f t="shared" si="69"/>
        <v>0</v>
      </c>
      <c r="R138" s="24">
        <f t="shared" si="69"/>
        <v>0</v>
      </c>
    </row>
    <row r="139" spans="2:18" x14ac:dyDescent="0.45">
      <c r="B139" s="47" t="s">
        <v>359</v>
      </c>
      <c r="C139" s="24">
        <f t="shared" ref="C139:R139" si="70">C58</f>
        <v>17426</v>
      </c>
      <c r="D139" s="24">
        <f t="shared" si="70"/>
        <v>21192</v>
      </c>
      <c r="E139" s="24">
        <f t="shared" si="70"/>
        <v>18285</v>
      </c>
      <c r="F139" s="24">
        <f t="shared" si="70"/>
        <v>25529</v>
      </c>
      <c r="G139" s="24">
        <f t="shared" si="70"/>
        <v>24717</v>
      </c>
      <c r="H139" s="24">
        <f t="shared" si="70"/>
        <v>23952</v>
      </c>
      <c r="I139" s="24">
        <f t="shared" si="70"/>
        <v>21909</v>
      </c>
      <c r="J139" s="24">
        <f t="shared" si="70"/>
        <v>18800</v>
      </c>
      <c r="K139" s="24">
        <f t="shared" si="70"/>
        <v>18316</v>
      </c>
      <c r="L139" s="24">
        <f t="shared" si="70"/>
        <v>15428</v>
      </c>
      <c r="M139" s="24">
        <f t="shared" si="70"/>
        <v>0</v>
      </c>
      <c r="N139" s="24">
        <f t="shared" si="70"/>
        <v>0</v>
      </c>
      <c r="O139" s="24">
        <f t="shared" si="70"/>
        <v>0</v>
      </c>
      <c r="P139" s="24">
        <f t="shared" si="70"/>
        <v>0</v>
      </c>
      <c r="Q139" s="24">
        <f t="shared" si="70"/>
        <v>0</v>
      </c>
      <c r="R139" s="24">
        <f t="shared" si="70"/>
        <v>0</v>
      </c>
    </row>
    <row r="140" spans="2:18" x14ac:dyDescent="0.45">
      <c r="B140" s="60" t="s">
        <v>360</v>
      </c>
      <c r="C140" s="32">
        <f t="shared" ref="C140:R140" si="71">SUM(C138:C139)</f>
        <v>20866</v>
      </c>
      <c r="D140" s="32">
        <f t="shared" si="71"/>
        <v>22958</v>
      </c>
      <c r="E140" s="32">
        <f t="shared" si="71"/>
        <v>19560</v>
      </c>
      <c r="F140" s="32">
        <f t="shared" si="71"/>
        <v>28162</v>
      </c>
      <c r="G140" s="32">
        <f t="shared" si="71"/>
        <v>29534</v>
      </c>
      <c r="H140" s="32">
        <f t="shared" si="71"/>
        <v>26951</v>
      </c>
      <c r="I140" s="32">
        <f t="shared" si="71"/>
        <v>25362</v>
      </c>
      <c r="J140" s="32">
        <f t="shared" si="71"/>
        <v>23251</v>
      </c>
      <c r="K140" s="32">
        <f t="shared" si="71"/>
        <v>20637</v>
      </c>
      <c r="L140" s="32">
        <f t="shared" si="71"/>
        <v>19905</v>
      </c>
      <c r="M140" s="32">
        <f t="shared" si="71"/>
        <v>0</v>
      </c>
      <c r="N140" s="32">
        <f t="shared" si="71"/>
        <v>0</v>
      </c>
      <c r="O140" s="32">
        <f t="shared" si="71"/>
        <v>0</v>
      </c>
      <c r="P140" s="32">
        <f t="shared" si="71"/>
        <v>0</v>
      </c>
      <c r="Q140" s="32">
        <f t="shared" si="71"/>
        <v>0</v>
      </c>
      <c r="R140" s="24">
        <f t="shared" si="71"/>
        <v>0</v>
      </c>
    </row>
    <row r="141" spans="2:18" x14ac:dyDescent="0.45">
      <c r="B141" s="62" t="s">
        <v>361</v>
      </c>
    </row>
    <row r="142" spans="2:18" x14ac:dyDescent="0.45">
      <c r="B142" s="47" t="s">
        <v>362</v>
      </c>
      <c r="C142" s="24">
        <f t="shared" ref="C142:R142" si="72">C53</f>
        <v>58049</v>
      </c>
      <c r="D142" s="24">
        <f t="shared" si="72"/>
        <v>57552</v>
      </c>
      <c r="E142" s="24">
        <f t="shared" si="72"/>
        <v>58070</v>
      </c>
      <c r="F142" s="24">
        <f t="shared" si="72"/>
        <v>58876</v>
      </c>
      <c r="G142" s="24">
        <f t="shared" si="72"/>
        <v>59056</v>
      </c>
      <c r="H142" s="24">
        <f t="shared" si="72"/>
        <v>63106</v>
      </c>
      <c r="I142" s="24">
        <f t="shared" si="72"/>
        <v>68681</v>
      </c>
      <c r="J142" s="24">
        <f t="shared" si="72"/>
        <v>74784</v>
      </c>
      <c r="K142" s="24">
        <f t="shared" si="72"/>
        <v>74040</v>
      </c>
      <c r="L142" s="24">
        <f t="shared" si="72"/>
        <v>77507</v>
      </c>
      <c r="M142" s="24">
        <f t="shared" si="72"/>
        <v>0</v>
      </c>
      <c r="N142" s="24">
        <f t="shared" si="72"/>
        <v>0</v>
      </c>
      <c r="O142" s="24">
        <f t="shared" si="72"/>
        <v>0</v>
      </c>
      <c r="P142" s="24">
        <f t="shared" si="72"/>
        <v>0</v>
      </c>
      <c r="Q142" s="24">
        <f t="shared" si="72"/>
        <v>0</v>
      </c>
      <c r="R142" s="24">
        <f t="shared" si="72"/>
        <v>0</v>
      </c>
    </row>
    <row r="143" spans="2:18" x14ac:dyDescent="0.45">
      <c r="B143" s="59" t="s">
        <v>363</v>
      </c>
      <c r="C143" s="24">
        <f t="shared" ref="C143:R143" si="73">C55</f>
        <v>161</v>
      </c>
      <c r="D143" s="24">
        <f t="shared" si="73"/>
        <v>170</v>
      </c>
      <c r="E143" s="24">
        <f t="shared" si="73"/>
        <v>169</v>
      </c>
      <c r="F143" s="24">
        <f t="shared" si="73"/>
        <v>159</v>
      </c>
      <c r="G143" s="24">
        <f t="shared" si="73"/>
        <v>174</v>
      </c>
      <c r="H143" s="24">
        <f t="shared" si="73"/>
        <v>146</v>
      </c>
      <c r="I143" s="24">
        <f t="shared" si="73"/>
        <v>350</v>
      </c>
      <c r="J143" s="24">
        <f t="shared" si="73"/>
        <v>368</v>
      </c>
      <c r="K143" s="24">
        <f t="shared" si="73"/>
        <v>313</v>
      </c>
      <c r="L143" s="24">
        <f t="shared" si="73"/>
        <v>350</v>
      </c>
      <c r="M143" s="24">
        <f t="shared" si="73"/>
        <v>0</v>
      </c>
      <c r="N143" s="24">
        <f t="shared" si="73"/>
        <v>0</v>
      </c>
      <c r="O143" s="24">
        <f t="shared" si="73"/>
        <v>0</v>
      </c>
      <c r="P143" s="24">
        <f t="shared" si="73"/>
        <v>0</v>
      </c>
      <c r="Q143" s="24">
        <f t="shared" si="73"/>
        <v>0</v>
      </c>
      <c r="R143" s="24">
        <f t="shared" si="73"/>
        <v>0</v>
      </c>
    </row>
    <row r="144" spans="2:18" ht="14.65" thickBot="1" x14ac:dyDescent="0.5">
      <c r="B144" s="66" t="s">
        <v>364</v>
      </c>
      <c r="C144" s="64">
        <f t="shared" ref="C144:R144" si="74">SUM(C142:C143)</f>
        <v>58210</v>
      </c>
      <c r="D144" s="64">
        <f t="shared" si="74"/>
        <v>57722</v>
      </c>
      <c r="E144" s="64">
        <f t="shared" si="74"/>
        <v>58239</v>
      </c>
      <c r="F144" s="64">
        <f t="shared" si="74"/>
        <v>59035</v>
      </c>
      <c r="G144" s="64">
        <f t="shared" si="74"/>
        <v>59230</v>
      </c>
      <c r="H144" s="64">
        <f t="shared" si="74"/>
        <v>63252</v>
      </c>
      <c r="I144" s="64">
        <f t="shared" si="74"/>
        <v>69031</v>
      </c>
      <c r="J144" s="64">
        <f t="shared" si="74"/>
        <v>75152</v>
      </c>
      <c r="K144" s="64">
        <f t="shared" si="74"/>
        <v>74353</v>
      </c>
      <c r="L144" s="64">
        <f t="shared" si="74"/>
        <v>77857</v>
      </c>
      <c r="M144" s="64">
        <f t="shared" si="74"/>
        <v>0</v>
      </c>
      <c r="N144" s="64">
        <f t="shared" si="74"/>
        <v>0</v>
      </c>
      <c r="O144" s="64">
        <f t="shared" si="74"/>
        <v>0</v>
      </c>
      <c r="P144" s="64">
        <f t="shared" si="74"/>
        <v>0</v>
      </c>
      <c r="Q144" s="64">
        <f t="shared" si="74"/>
        <v>0</v>
      </c>
      <c r="R144" s="24">
        <f t="shared" si="74"/>
        <v>0</v>
      </c>
    </row>
    <row r="145" spans="1:18" ht="15" thickTop="1" thickBot="1" x14ac:dyDescent="0.5">
      <c r="B145" s="52" t="s">
        <v>365</v>
      </c>
      <c r="C145" s="44">
        <f t="shared" ref="C145:R145" si="75">SUM(C140,C144)</f>
        <v>79076</v>
      </c>
      <c r="D145" s="44">
        <f t="shared" si="75"/>
        <v>80680</v>
      </c>
      <c r="E145" s="44">
        <f t="shared" si="75"/>
        <v>77799</v>
      </c>
      <c r="F145" s="44">
        <f t="shared" si="75"/>
        <v>87197</v>
      </c>
      <c r="G145" s="44">
        <f t="shared" si="75"/>
        <v>88764</v>
      </c>
      <c r="H145" s="44">
        <f t="shared" si="75"/>
        <v>90203</v>
      </c>
      <c r="I145" s="44">
        <f t="shared" si="75"/>
        <v>94393</v>
      </c>
      <c r="J145" s="44">
        <f t="shared" si="75"/>
        <v>98403</v>
      </c>
      <c r="K145" s="44">
        <f t="shared" si="75"/>
        <v>94990</v>
      </c>
      <c r="L145" s="44">
        <f t="shared" si="75"/>
        <v>97762</v>
      </c>
      <c r="M145" s="44">
        <f t="shared" si="75"/>
        <v>0</v>
      </c>
      <c r="N145" s="44">
        <f t="shared" si="75"/>
        <v>0</v>
      </c>
      <c r="O145" s="44">
        <f t="shared" si="75"/>
        <v>0</v>
      </c>
      <c r="P145" s="44">
        <f t="shared" si="75"/>
        <v>0</v>
      </c>
      <c r="Q145" s="44">
        <f t="shared" si="75"/>
        <v>0</v>
      </c>
      <c r="R145" s="24">
        <f t="shared" si="75"/>
        <v>0</v>
      </c>
    </row>
    <row r="146" spans="1:18" ht="14.65" thickTop="1" x14ac:dyDescent="0.45">
      <c r="A146" s="24" t="s">
        <v>14</v>
      </c>
      <c r="B146" s="34"/>
    </row>
    <row r="147" spans="1:18" x14ac:dyDescent="0.45">
      <c r="B147" s="34"/>
    </row>
  </sheetData>
  <dataValidations disablePrompts="1" count="1">
    <dataValidation type="list" allowBlank="1" showInputMessage="1" showErrorMessage="1" sqref="B27" xr:uid="{84DA5714-86E3-4A59-BDA5-16F13A27C501}">
      <formula1>B$237:B$254</formula1>
    </dataValidation>
  </dataValidation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A02B1-8FDD-45E3-AA5F-959CB5700054}">
  <dimension ref="A2:T147"/>
  <sheetViews>
    <sheetView showGridLines="0" topLeftCell="A85" zoomScale="50" workbookViewId="0">
      <selection activeCell="S85" sqref="S1:AS1048576"/>
    </sheetView>
  </sheetViews>
  <sheetFormatPr defaultColWidth="9.1328125" defaultRowHeight="14.25" x14ac:dyDescent="0.45"/>
  <cols>
    <col min="1" max="1" width="3.33203125" style="24" customWidth="1"/>
    <col min="2" max="2" width="45.33203125" style="24" customWidth="1"/>
    <col min="3" max="10" width="10" style="24" bestFit="1" customWidth="1"/>
    <col min="11" max="17" width="9.33203125" style="24" bestFit="1" customWidth="1"/>
    <col min="18" max="16384" width="9.1328125" style="24"/>
  </cols>
  <sheetData>
    <row r="2" spans="1:17" x14ac:dyDescent="0.45">
      <c r="B2" s="26" t="s">
        <v>366</v>
      </c>
      <c r="C2" s="21">
        <v>2015</v>
      </c>
      <c r="D2" s="21">
        <f t="shared" ref="D2:Q2" si="0">C2+1</f>
        <v>2016</v>
      </c>
      <c r="E2" s="21">
        <f t="shared" si="0"/>
        <v>2017</v>
      </c>
      <c r="F2" s="21">
        <f t="shared" si="0"/>
        <v>2018</v>
      </c>
      <c r="G2" s="21">
        <f t="shared" si="0"/>
        <v>2019</v>
      </c>
      <c r="H2" s="21">
        <f t="shared" si="0"/>
        <v>2020</v>
      </c>
      <c r="I2" s="21">
        <f t="shared" si="0"/>
        <v>2021</v>
      </c>
      <c r="J2" s="21">
        <f t="shared" si="0"/>
        <v>2022</v>
      </c>
      <c r="K2" s="21">
        <f t="shared" si="0"/>
        <v>2023</v>
      </c>
      <c r="L2" s="21">
        <f t="shared" si="0"/>
        <v>2024</v>
      </c>
      <c r="M2" s="22">
        <f t="shared" si="0"/>
        <v>2025</v>
      </c>
      <c r="N2" s="22">
        <f t="shared" si="0"/>
        <v>2026</v>
      </c>
      <c r="O2" s="22">
        <f t="shared" si="0"/>
        <v>2027</v>
      </c>
      <c r="P2" s="22">
        <f t="shared" si="0"/>
        <v>2028</v>
      </c>
      <c r="Q2" s="22">
        <f t="shared" si="0"/>
        <v>2029</v>
      </c>
    </row>
    <row r="3" spans="1:17" x14ac:dyDescent="0.45">
      <c r="B3" s="24" t="s">
        <v>251</v>
      </c>
      <c r="C3" s="14"/>
      <c r="D3" s="14"/>
      <c r="E3" s="14">
        <v>0.05</v>
      </c>
      <c r="F3" s="14">
        <v>0.05</v>
      </c>
      <c r="G3" s="14">
        <v>0.05</v>
      </c>
      <c r="H3" s="14">
        <v>0.05</v>
      </c>
      <c r="I3" s="14">
        <v>0.05</v>
      </c>
      <c r="J3" s="14">
        <v>0.05</v>
      </c>
      <c r="K3" s="14">
        <v>0.05</v>
      </c>
      <c r="L3" s="14">
        <v>0.05</v>
      </c>
      <c r="M3" s="14">
        <v>0.05</v>
      </c>
      <c r="N3" s="14">
        <v>0.05</v>
      </c>
      <c r="O3" s="14">
        <v>0.05</v>
      </c>
      <c r="P3" s="14">
        <v>0.05</v>
      </c>
      <c r="Q3" s="14">
        <v>0.05</v>
      </c>
    </row>
    <row r="4" spans="1:17" x14ac:dyDescent="0.45">
      <c r="B4" s="24" t="s">
        <v>86</v>
      </c>
      <c r="C4" s="14">
        <v>0.03</v>
      </c>
      <c r="D4" s="14"/>
      <c r="E4" s="14">
        <f t="shared" ref="E4:K4" si="1">-E17/E11</f>
        <v>0.2017557076792334</v>
      </c>
      <c r="F4" s="14">
        <f t="shared" si="1"/>
        <v>0.10060038634623562</v>
      </c>
      <c r="G4" s="14">
        <f t="shared" si="1"/>
        <v>0.11620536106225021</v>
      </c>
      <c r="H4" s="14">
        <f t="shared" si="1"/>
        <v>1.107430839190137E-2</v>
      </c>
      <c r="I4" s="14">
        <f t="shared" si="1"/>
        <v>1.4731954675180415E-2</v>
      </c>
      <c r="J4" s="14">
        <f t="shared" si="1"/>
        <v>9.6558365816059866E-2</v>
      </c>
      <c r="K4" s="14">
        <f t="shared" si="1"/>
        <v>8.9967895701443354E-2</v>
      </c>
    </row>
    <row r="5" spans="1:17" x14ac:dyDescent="0.45">
      <c r="B5" s="40" t="s">
        <v>367</v>
      </c>
      <c r="C5" s="217"/>
      <c r="D5" s="40"/>
      <c r="E5" s="40"/>
      <c r="F5" s="40"/>
      <c r="G5" s="40"/>
      <c r="H5" s="40"/>
      <c r="I5" s="40"/>
      <c r="J5" s="40"/>
      <c r="K5" s="40"/>
      <c r="L5" s="40"/>
      <c r="M5" s="40"/>
      <c r="N5" s="40"/>
      <c r="O5" s="40"/>
      <c r="P5" s="40"/>
      <c r="Q5" s="40"/>
    </row>
    <row r="7" spans="1:17" ht="14.65" thickBot="1" x14ac:dyDescent="0.5">
      <c r="B7" s="41"/>
      <c r="C7" s="41"/>
      <c r="D7" s="41"/>
      <c r="E7" s="41"/>
      <c r="F7" s="41"/>
      <c r="G7" s="41"/>
      <c r="H7" s="41"/>
      <c r="I7" s="41"/>
      <c r="J7" s="41"/>
      <c r="K7" s="41"/>
      <c r="L7" s="41"/>
      <c r="M7" s="41"/>
      <c r="N7" s="41"/>
      <c r="O7" s="41"/>
      <c r="P7" s="41"/>
      <c r="Q7" s="41"/>
    </row>
    <row r="8" spans="1:17" ht="14.65" thickTop="1" x14ac:dyDescent="0.45">
      <c r="A8" s="24" t="s">
        <v>14</v>
      </c>
      <c r="B8" s="42" t="s">
        <v>252</v>
      </c>
      <c r="C8" s="54"/>
      <c r="D8" s="54"/>
      <c r="E8" s="54"/>
      <c r="F8" s="54"/>
      <c r="G8" s="54"/>
      <c r="H8" s="54"/>
      <c r="I8" s="54"/>
      <c r="J8" s="54"/>
      <c r="K8" s="54"/>
      <c r="L8" s="54"/>
      <c r="M8" s="54"/>
      <c r="N8" s="54"/>
      <c r="O8" s="54"/>
      <c r="P8" s="54"/>
      <c r="Q8" s="54"/>
    </row>
    <row r="9" spans="1:17" x14ac:dyDescent="0.45">
      <c r="B9" s="42" t="s">
        <v>96</v>
      </c>
      <c r="C9" s="23">
        <f>'GSK Standardized'!C5</f>
        <v>32954.658000000003</v>
      </c>
      <c r="D9" s="23">
        <f>'GSK Standardized'!D5</f>
        <v>34142.589999999997</v>
      </c>
      <c r="E9" s="23">
        <f>'GSK Standardized'!E5</f>
        <v>34457.760999999999</v>
      </c>
      <c r="F9" s="23">
        <f>'GSK Standardized'!F5</f>
        <v>34841.553</v>
      </c>
      <c r="G9" s="23">
        <f>'GSK Standardized'!G5</f>
        <v>38488.834000000003</v>
      </c>
      <c r="H9" s="23">
        <f>'GSK Standardized'!H5</f>
        <v>27403.152999999998</v>
      </c>
      <c r="I9" s="23">
        <f>'GSK Standardized'!I5</f>
        <v>28731.919999999998</v>
      </c>
      <c r="J9" s="23">
        <f>'GSK Standardized'!J5</f>
        <v>34399.976999999999</v>
      </c>
      <c r="K9" s="23">
        <f>'GSK Standardized'!K5</f>
        <v>34874.021000000001</v>
      </c>
      <c r="L9" s="23">
        <f>'GSK Standardized'!L5</f>
        <v>37066.156000000003</v>
      </c>
      <c r="M9" s="23"/>
      <c r="N9" s="23"/>
      <c r="O9" s="23"/>
      <c r="P9" s="23"/>
      <c r="Q9" s="23"/>
    </row>
    <row r="10" spans="1:17" x14ac:dyDescent="0.45">
      <c r="B10" s="24" t="s">
        <v>253</v>
      </c>
      <c r="C10" s="27">
        <f>SUM('GSK Standardized'!C6:C10)</f>
        <v>-29446.088</v>
      </c>
      <c r="D10" s="27">
        <f>SUM('GSK Standardized'!D6:D10)</f>
        <v>-27668.855</v>
      </c>
      <c r="E10" s="27">
        <f>SUM('GSK Standardized'!E6:E10)</f>
        <v>-26785.641</v>
      </c>
      <c r="F10" s="27">
        <f>SUM('GSK Standardized'!F6:F10)</f>
        <v>-26368.842000000004</v>
      </c>
      <c r="G10" s="27">
        <f>SUM('GSK Standardized'!G6:G10)</f>
        <v>-29137.440999999995</v>
      </c>
      <c r="H10" s="27">
        <f>SUM('GSK Standardized'!H6:H10)</f>
        <v>-20595.685000000001</v>
      </c>
      <c r="I10" s="27">
        <f>SUM('GSK Standardized'!I6:I10)</f>
        <v>-22177.188999999998</v>
      </c>
      <c r="J10" s="27">
        <f>SUM('GSK Standardized'!J6:J10)</f>
        <v>-25810.539999999997</v>
      </c>
      <c r="K10" s="27">
        <f>SUM('GSK Standardized'!K6:K10)</f>
        <v>-25211.451999999997</v>
      </c>
      <c r="L10" s="27">
        <f>SUM('GSK Standardized'!L6:L10)</f>
        <v>-29305.843000000001</v>
      </c>
      <c r="M10" s="27"/>
      <c r="N10" s="27"/>
      <c r="O10" s="27"/>
      <c r="P10" s="27"/>
      <c r="Q10" s="27"/>
    </row>
    <row r="11" spans="1:17" s="26" customFormat="1" x14ac:dyDescent="0.45">
      <c r="B11" s="32" t="s">
        <v>254</v>
      </c>
      <c r="C11" s="26">
        <f t="shared" ref="C11:L11" si="2">SUM(C9:C10)</f>
        <v>3508.5700000000033</v>
      </c>
      <c r="D11" s="26">
        <f t="shared" si="2"/>
        <v>6473.7349999999969</v>
      </c>
      <c r="E11" s="26">
        <f t="shared" si="2"/>
        <v>7672.119999999999</v>
      </c>
      <c r="F11" s="26">
        <f t="shared" si="2"/>
        <v>8472.7109999999957</v>
      </c>
      <c r="G11" s="26">
        <f t="shared" si="2"/>
        <v>9351.3930000000073</v>
      </c>
      <c r="H11" s="26">
        <f t="shared" si="2"/>
        <v>6807.4679999999971</v>
      </c>
      <c r="I11" s="26">
        <f t="shared" si="2"/>
        <v>6554.7309999999998</v>
      </c>
      <c r="J11" s="26">
        <f t="shared" si="2"/>
        <v>8589.4370000000017</v>
      </c>
      <c r="K11" s="26">
        <f t="shared" si="2"/>
        <v>9662.5690000000031</v>
      </c>
      <c r="L11" s="26">
        <f t="shared" si="2"/>
        <v>7760.3130000000019</v>
      </c>
    </row>
    <row r="12" spans="1:17" x14ac:dyDescent="0.45">
      <c r="B12" s="24" t="s">
        <v>255</v>
      </c>
      <c r="C12" s="25">
        <f>'GSK Standardized'!C13</f>
        <v>1289.3680000000002</v>
      </c>
      <c r="D12" s="25">
        <f>'GSK Standardized'!D13</f>
        <v>259.53699999999998</v>
      </c>
      <c r="E12" s="25">
        <f>'GSK Standardized'!E13</f>
        <v>-655.22899999999993</v>
      </c>
      <c r="F12" s="25">
        <f>'GSK Standardized'!F13</f>
        <v>-70.088000000000008</v>
      </c>
      <c r="G12" s="25">
        <f>'GSK Standardized'!G13</f>
        <v>-26.227000000000004</v>
      </c>
      <c r="H12" s="25">
        <f>'GSK Standardized'!H13</f>
        <v>-460.20699999999999</v>
      </c>
      <c r="I12" s="25">
        <f>'GSK Standardized'!I13</f>
        <v>-364.15200000000004</v>
      </c>
      <c r="J12" s="25">
        <f>'GSK Standardized'!J13</f>
        <v>-49.269999999999982</v>
      </c>
      <c r="K12" s="25">
        <f>'GSK Standardized'!K13</f>
        <v>-602.54399999999998</v>
      </c>
      <c r="L12" s="25">
        <f>'GSK Standardized'!L13</f>
        <v>-367.40100000000001</v>
      </c>
      <c r="M12" s="25"/>
      <c r="N12" s="25"/>
      <c r="O12" s="25"/>
      <c r="P12" s="25"/>
      <c r="Q12" s="25"/>
    </row>
    <row r="13" spans="1:17" x14ac:dyDescent="0.45">
      <c r="B13" s="24" t="s">
        <v>256</v>
      </c>
      <c r="C13" s="25">
        <f>'GSK Standardized'!C14</f>
        <v>10556.013999999999</v>
      </c>
      <c r="D13" s="25">
        <f>'GSK Standardized'!D14</f>
        <v>-3586.9970000000003</v>
      </c>
      <c r="E13" s="25">
        <f>'GSK Standardized'!E14</f>
        <v>-2241.9350000000004</v>
      </c>
      <c r="F13" s="25">
        <f>'GSK Standardized'!F14</f>
        <v>-2205.5050000000001</v>
      </c>
      <c r="G13" s="25">
        <f>'GSK Standardized'!G14</f>
        <v>-1321.578</v>
      </c>
      <c r="H13" s="25">
        <f>'GSK Standardized'!H14</f>
        <v>390.44499999999971</v>
      </c>
      <c r="I13" s="25">
        <f>'GSK Standardized'!I14</f>
        <v>-1132.0119999999999</v>
      </c>
      <c r="J13" s="25">
        <f>'GSK Standardized'!J14</f>
        <v>-1049.9250000000002</v>
      </c>
      <c r="K13" s="25">
        <f>'GSK Standardized'!K14</f>
        <v>-1394.8220000000001</v>
      </c>
      <c r="L13" s="25">
        <f>'GSK Standardized'!L14</f>
        <v>-2639.1440000000002</v>
      </c>
      <c r="M13" s="25"/>
      <c r="N13" s="25"/>
      <c r="O13" s="25"/>
      <c r="P13" s="25"/>
      <c r="Q13" s="25"/>
    </row>
    <row r="14" spans="1:17" x14ac:dyDescent="0.45">
      <c r="B14" s="43" t="s">
        <v>257</v>
      </c>
      <c r="C14" s="25">
        <f>'GSK Standardized'!C11</f>
        <v>136.376</v>
      </c>
      <c r="D14" s="25">
        <f>'GSK Standardized'!D11</f>
        <v>85.695999999999998</v>
      </c>
      <c r="E14" s="25">
        <f>'GSK Standardized'!E11</f>
        <v>71.915000000000006</v>
      </c>
      <c r="F14" s="25">
        <f>'GSK Standardized'!F11</f>
        <v>83.653000000000006</v>
      </c>
      <c r="G14" s="25">
        <f>'GSK Standardized'!G11</f>
        <v>90.081999999999994</v>
      </c>
      <c r="H14" s="25">
        <f>'GSK Standardized'!H11</f>
        <v>29.254999999999999</v>
      </c>
      <c r="I14" s="25">
        <f>'GSK Standardized'!I11</f>
        <v>15.125</v>
      </c>
      <c r="J14" s="25">
        <f>'GSK Standardized'!J11</f>
        <v>72.731999999999999</v>
      </c>
      <c r="K14" s="25">
        <f>'GSK Standardized'!K11</f>
        <v>124.18899999999999</v>
      </c>
      <c r="L14" s="25">
        <f>'GSK Standardized'!L11</f>
        <v>144.125</v>
      </c>
      <c r="M14" s="25"/>
      <c r="N14" s="25"/>
      <c r="O14" s="25"/>
      <c r="P14" s="25"/>
      <c r="Q14" s="25"/>
    </row>
    <row r="15" spans="1:17" x14ac:dyDescent="0.45">
      <c r="B15" s="43" t="s">
        <v>258</v>
      </c>
      <c r="C15" s="25">
        <f>'GSK Standardized'!C12</f>
        <v>-990.44399999999996</v>
      </c>
      <c r="D15" s="25">
        <f>'GSK Standardized'!D12</f>
        <v>-858.18600000000004</v>
      </c>
      <c r="E15" s="25">
        <f>'GSK Standardized'!E12</f>
        <v>-823.03200000000004</v>
      </c>
      <c r="F15" s="25">
        <f>'GSK Standardized'!F12</f>
        <v>-854.61900000000003</v>
      </c>
      <c r="G15" s="25">
        <f>'GSK Standardized'!G12</f>
        <v>-1000.021</v>
      </c>
      <c r="H15" s="25">
        <f>'GSK Standardized'!H12</f>
        <v>-949.67</v>
      </c>
      <c r="I15" s="25">
        <f>'GSK Standardized'!I12</f>
        <v>-886.529</v>
      </c>
      <c r="J15" s="25">
        <f>'GSK Standardized'!J12</f>
        <v>-960.76900000000001</v>
      </c>
      <c r="K15" s="25">
        <f>'GSK Standardized'!K12</f>
        <v>-816.42600000000004</v>
      </c>
      <c r="L15" s="25">
        <f>'GSK Standardized'!L12</f>
        <v>-790.32600000000002</v>
      </c>
      <c r="M15" s="25"/>
      <c r="N15" s="25"/>
      <c r="O15" s="27"/>
      <c r="P15" s="27"/>
      <c r="Q15" s="27"/>
    </row>
    <row r="16" spans="1:17" x14ac:dyDescent="0.45">
      <c r="B16" s="32" t="s">
        <v>259</v>
      </c>
      <c r="C16" s="36">
        <f t="shared" ref="C16:L16" si="3">SUM(C11:C15)</f>
        <v>14499.884000000004</v>
      </c>
      <c r="D16" s="36">
        <f t="shared" si="3"/>
        <v>2373.7849999999967</v>
      </c>
      <c r="E16" s="36">
        <f t="shared" si="3"/>
        <v>4023.8389999999981</v>
      </c>
      <c r="F16" s="36">
        <f t="shared" si="3"/>
        <v>5426.1519999999964</v>
      </c>
      <c r="G16" s="36">
        <f t="shared" si="3"/>
        <v>7093.6490000000076</v>
      </c>
      <c r="H16" s="36">
        <f t="shared" si="3"/>
        <v>5817.2909999999965</v>
      </c>
      <c r="I16" s="36">
        <f t="shared" si="3"/>
        <v>4187.1630000000005</v>
      </c>
      <c r="J16" s="36">
        <f t="shared" si="3"/>
        <v>6602.2050000000008</v>
      </c>
      <c r="K16" s="36">
        <f t="shared" si="3"/>
        <v>6972.9660000000031</v>
      </c>
      <c r="L16" s="36">
        <f t="shared" si="3"/>
        <v>4107.5670000000018</v>
      </c>
      <c r="M16" s="36"/>
      <c r="N16" s="36"/>
      <c r="O16" s="32"/>
      <c r="P16" s="32"/>
      <c r="Q16" s="32"/>
    </row>
    <row r="17" spans="1:17" x14ac:dyDescent="0.45">
      <c r="B17" s="24" t="s">
        <v>260</v>
      </c>
      <c r="C17" s="27">
        <f>'GSK Standardized'!C15</f>
        <v>-2967.2</v>
      </c>
      <c r="D17" s="27">
        <f>'GSK Standardized'!D15</f>
        <v>-1073.6510000000001</v>
      </c>
      <c r="E17" s="27">
        <f>'GSK Standardized'!E15</f>
        <v>-1547.894</v>
      </c>
      <c r="F17" s="27">
        <f>'GSK Standardized'!F15</f>
        <v>-852.35799999999995</v>
      </c>
      <c r="G17" s="27">
        <f>'GSK Standardized'!G15</f>
        <v>-1086.682</v>
      </c>
      <c r="H17" s="27">
        <f>'GSK Standardized'!H15</f>
        <v>-75.388000000000005</v>
      </c>
      <c r="I17" s="27">
        <f>'GSK Standardized'!I15</f>
        <v>-96.563999999999993</v>
      </c>
      <c r="J17" s="27">
        <f>'GSK Standardized'!J15</f>
        <v>-829.38199999999995</v>
      </c>
      <c r="K17" s="27">
        <f>'GSK Standardized'!K15</f>
        <v>-869.32100000000003</v>
      </c>
      <c r="L17" s="27">
        <f>'GSK Standardized'!L15</f>
        <v>-621.39200000000005</v>
      </c>
      <c r="M17" s="27"/>
      <c r="N17" s="27"/>
      <c r="O17" s="27"/>
      <c r="P17" s="27"/>
      <c r="Q17" s="27"/>
    </row>
    <row r="18" spans="1:17" x14ac:dyDescent="0.45">
      <c r="B18" s="32" t="s">
        <v>261</v>
      </c>
      <c r="C18" s="32">
        <f t="shared" ref="C18:L18" si="4">SUM(C16:C17)</f>
        <v>11532.684000000005</v>
      </c>
      <c r="D18" s="32">
        <f t="shared" si="4"/>
        <v>1300.1339999999966</v>
      </c>
      <c r="E18" s="32">
        <f t="shared" si="4"/>
        <v>2475.9449999999979</v>
      </c>
      <c r="F18" s="32">
        <f t="shared" si="4"/>
        <v>4573.7939999999962</v>
      </c>
      <c r="G18" s="32">
        <f t="shared" si="4"/>
        <v>6006.9670000000078</v>
      </c>
      <c r="H18" s="32">
        <f t="shared" si="4"/>
        <v>5741.9029999999966</v>
      </c>
      <c r="I18" s="32">
        <f t="shared" si="4"/>
        <v>4090.5990000000006</v>
      </c>
      <c r="J18" s="32">
        <f t="shared" si="4"/>
        <v>5772.8230000000012</v>
      </c>
      <c r="K18" s="32">
        <f t="shared" si="4"/>
        <v>6103.6450000000032</v>
      </c>
      <c r="L18" s="32">
        <f t="shared" si="4"/>
        <v>3486.175000000002</v>
      </c>
      <c r="M18" s="32"/>
      <c r="N18" s="32"/>
      <c r="O18" s="32"/>
      <c r="P18" s="32"/>
      <c r="Q18" s="32"/>
    </row>
    <row r="19" spans="1:17" x14ac:dyDescent="0.45">
      <c r="B19" s="24" t="s">
        <v>262</v>
      </c>
      <c r="C19" s="32">
        <f>'GSK Standardized'!C16</f>
        <v>68.876999999999995</v>
      </c>
      <c r="D19" s="32">
        <f>'GSK Standardized'!D16</f>
        <v>-183.63499999999999</v>
      </c>
      <c r="E19" s="32">
        <f>'GSK Standardized'!E16</f>
        <v>-727.14499999999998</v>
      </c>
      <c r="F19" s="32">
        <f>'GSK Standardized'!F16</f>
        <v>-478.18</v>
      </c>
      <c r="G19" s="32">
        <f>'GSK Standardized'!G16</f>
        <v>-710.39099999999996</v>
      </c>
      <c r="H19" s="32">
        <f>'GSK Standardized'!H16</f>
        <v>-258.79599999999999</v>
      </c>
      <c r="I19" s="32">
        <f>'GSK Standardized'!I16</f>
        <v>-232.685</v>
      </c>
      <c r="J19" s="32">
        <f>'GSK Standardized'!J16</f>
        <v>-539.62599999999998</v>
      </c>
      <c r="K19" s="32">
        <f>'GSK Standardized'!K16</f>
        <v>-436.96</v>
      </c>
      <c r="L19" s="32">
        <f>'GSK Standardized'!L16</f>
        <v>-444.18900000000002</v>
      </c>
      <c r="M19" s="32"/>
      <c r="N19" s="32"/>
      <c r="O19" s="32"/>
      <c r="P19" s="32"/>
      <c r="Q19" s="32"/>
    </row>
    <row r="20" spans="1:17" x14ac:dyDescent="0.45">
      <c r="B20" s="34" t="s">
        <v>263</v>
      </c>
      <c r="C20" s="27">
        <f>'GSK Standardized'!C17</f>
        <v>0</v>
      </c>
      <c r="D20" s="27">
        <f>'GSK Standardized'!D17</f>
        <v>0</v>
      </c>
      <c r="E20" s="27">
        <f>'GSK Standardized'!E17</f>
        <v>0</v>
      </c>
      <c r="F20" s="27">
        <f>'GSK Standardized'!F17</f>
        <v>0</v>
      </c>
      <c r="G20" s="27">
        <f>'GSK Standardized'!G17</f>
        <v>0</v>
      </c>
      <c r="H20" s="27">
        <f>'GSK Standardized'!H17</f>
        <v>985.67600000000004</v>
      </c>
      <c r="I20" s="27">
        <f>'GSK Standardized'!I17</f>
        <v>1243.7</v>
      </c>
      <c r="J20" s="27">
        <f>'GSK Standardized'!J17</f>
        <v>12311.682000000001</v>
      </c>
      <c r="K20" s="27">
        <f>'GSK Standardized'!K17</f>
        <v>0</v>
      </c>
      <c r="L20" s="27">
        <f>'GSK Standardized'!L17</f>
        <v>0</v>
      </c>
      <c r="M20" s="27"/>
      <c r="N20" s="27"/>
      <c r="O20" s="27"/>
      <c r="P20" s="27"/>
      <c r="Q20" s="27"/>
    </row>
    <row r="21" spans="1:17" s="26" customFormat="1" ht="14.65" thickBot="1" x14ac:dyDescent="0.5">
      <c r="B21" s="44" t="s">
        <v>264</v>
      </c>
      <c r="C21" s="53">
        <f t="shared" ref="C21:L21" si="5">SUM(C18:C20)</f>
        <v>11601.561000000005</v>
      </c>
      <c r="D21" s="53">
        <f t="shared" si="5"/>
        <v>1116.4989999999966</v>
      </c>
      <c r="E21" s="53">
        <f t="shared" si="5"/>
        <v>1748.7999999999979</v>
      </c>
      <c r="F21" s="53">
        <f t="shared" si="5"/>
        <v>4095.6139999999964</v>
      </c>
      <c r="G21" s="53">
        <f t="shared" si="5"/>
        <v>5296.5760000000082</v>
      </c>
      <c r="H21" s="53">
        <f t="shared" si="5"/>
        <v>6468.7829999999967</v>
      </c>
      <c r="I21" s="53">
        <f t="shared" si="5"/>
        <v>5101.6140000000005</v>
      </c>
      <c r="J21" s="53">
        <f t="shared" si="5"/>
        <v>17544.879000000001</v>
      </c>
      <c r="K21" s="53">
        <f t="shared" si="5"/>
        <v>5666.6850000000031</v>
      </c>
      <c r="L21" s="53">
        <f t="shared" si="5"/>
        <v>3041.9860000000022</v>
      </c>
      <c r="M21" s="53"/>
      <c r="N21" s="53"/>
      <c r="O21" s="53"/>
      <c r="P21" s="53"/>
      <c r="Q21" s="53"/>
    </row>
    <row r="22" spans="1:17" ht="15" thickTop="1" thickBot="1" x14ac:dyDescent="0.5">
      <c r="B22" s="45"/>
      <c r="C22" s="45"/>
      <c r="D22" s="45"/>
      <c r="E22" s="45"/>
      <c r="F22" s="45"/>
      <c r="G22" s="45"/>
      <c r="H22" s="45"/>
      <c r="I22" s="45"/>
      <c r="J22" s="45"/>
      <c r="K22" s="45"/>
      <c r="L22" s="45"/>
      <c r="M22" s="45"/>
      <c r="N22" s="45"/>
      <c r="O22" s="45"/>
      <c r="P22" s="45"/>
      <c r="Q22" s="45"/>
    </row>
    <row r="23" spans="1:17" ht="14.65" thickTop="1" x14ac:dyDescent="0.45">
      <c r="A23" s="24" t="s">
        <v>14</v>
      </c>
      <c r="B23" s="32" t="s">
        <v>265</v>
      </c>
      <c r="C23" s="54"/>
      <c r="D23" s="54"/>
      <c r="E23" s="54"/>
      <c r="F23" s="54"/>
      <c r="G23" s="54"/>
      <c r="H23" s="54"/>
      <c r="I23" s="54"/>
      <c r="J23" s="54"/>
      <c r="K23" s="54"/>
      <c r="L23" s="54"/>
      <c r="M23" s="54"/>
      <c r="N23" s="54"/>
      <c r="O23" s="54"/>
      <c r="P23" s="54"/>
      <c r="Q23" s="54"/>
    </row>
    <row r="24" spans="1:17" x14ac:dyDescent="0.45">
      <c r="B24" s="24" t="s">
        <v>266</v>
      </c>
      <c r="C24" s="46"/>
      <c r="D24" s="46"/>
      <c r="E24" s="46"/>
      <c r="F24" s="46"/>
      <c r="G24" s="46"/>
      <c r="H24" s="46"/>
      <c r="I24" s="46"/>
      <c r="J24" s="46"/>
      <c r="K24" s="46"/>
      <c r="L24" s="46"/>
      <c r="M24" s="46"/>
      <c r="N24" s="46"/>
      <c r="O24" s="46"/>
      <c r="P24" s="46"/>
      <c r="Q24" s="46"/>
    </row>
    <row r="25" spans="1:17" x14ac:dyDescent="0.45">
      <c r="B25" s="47" t="s">
        <v>267</v>
      </c>
      <c r="C25" s="25">
        <f>+'GSK Standardized'!C6</f>
        <v>-12195.276</v>
      </c>
      <c r="D25" s="25">
        <f>+'GSK Standardized'!D6</f>
        <v>-10904.228999999999</v>
      </c>
      <c r="E25" s="25">
        <f>+'GSK Standardized'!E6</f>
        <v>-10635.492</v>
      </c>
      <c r="F25" s="25">
        <f>+'GSK Standardized'!F6</f>
        <v>-10981.177</v>
      </c>
      <c r="G25" s="25">
        <f>+'GSK Standardized'!G6</f>
        <v>-12305.844999999999</v>
      </c>
      <c r="H25" s="25">
        <f>+'GSK Standardized'!H6</f>
        <v>-8237.5990000000002</v>
      </c>
      <c r="I25" s="25">
        <f>+'GSK Standardized'!I6</f>
        <v>-9345.7849999999999</v>
      </c>
      <c r="J25" s="25">
        <f>+'GSK Standardized'!J6</f>
        <v>-11035.349</v>
      </c>
      <c r="K25" s="25">
        <f>+'GSK Standardized'!K6</f>
        <v>-9645.3209999999999</v>
      </c>
      <c r="L25" s="25">
        <f>+'GSK Standardized'!L6</f>
        <v>-10449.074000000001</v>
      </c>
      <c r="M25" s="25"/>
      <c r="N25" s="25"/>
      <c r="O25" s="25"/>
      <c r="P25" s="25"/>
      <c r="Q25" s="25"/>
    </row>
    <row r="26" spans="1:17" x14ac:dyDescent="0.45">
      <c r="B26" s="47" t="s">
        <v>268</v>
      </c>
      <c r="C26" s="25">
        <f>+'GSK Standardized'!C8</f>
        <v>-12717.36</v>
      </c>
      <c r="D26" s="25">
        <f>+'GSK Standardized'!D8</f>
        <v>-10836.897000000001</v>
      </c>
      <c r="E26" s="25">
        <f>+'GSK Standardized'!E8</f>
        <v>-10757.634</v>
      </c>
      <c r="F26" s="25">
        <f>+'GSK Standardized'!F8</f>
        <v>-10739.261</v>
      </c>
      <c r="G26" s="25">
        <f>+'GSK Standardized'!G8</f>
        <v>-12499.691999999999</v>
      </c>
      <c r="H26" s="25">
        <f>+'GSK Standardized'!H8</f>
        <v>-7922.5429999999997</v>
      </c>
      <c r="I26" s="25">
        <f>+'GSK Standardized'!I8</f>
        <v>-7892.6689999999999</v>
      </c>
      <c r="J26" s="25">
        <f>+'GSK Standardized'!J8</f>
        <v>-9594.7829999999994</v>
      </c>
      <c r="K26" s="25">
        <f>+'GSK Standardized'!K8</f>
        <v>-10528.44</v>
      </c>
      <c r="L26" s="25">
        <f>+'GSK Standardized'!L8</f>
        <v>-12821.233</v>
      </c>
      <c r="M26" s="25"/>
      <c r="N26" s="25"/>
      <c r="O26" s="25"/>
      <c r="P26" s="25"/>
      <c r="Q26" s="25"/>
    </row>
    <row r="27" spans="1:17" x14ac:dyDescent="0.45">
      <c r="B27" s="2" t="s">
        <v>269</v>
      </c>
      <c r="C27" s="24">
        <f>+'GSK Standardized'!C9</f>
        <v>-4904.0079999999998</v>
      </c>
      <c r="D27" s="24">
        <f>+'GSK Standardized'!D9</f>
        <v>-4346.0219999999999</v>
      </c>
      <c r="E27" s="24">
        <f>+'GSK Standardized'!E9</f>
        <v>-4480.4449999999997</v>
      </c>
      <c r="F27" s="24">
        <f>+'GSK Standardized'!F9</f>
        <v>-4294.5739999999996</v>
      </c>
      <c r="G27" s="24">
        <f>+'GSK Standardized'!G9</f>
        <v>-5022.91</v>
      </c>
      <c r="H27" s="24">
        <f>+'GSK Standardized'!H9</f>
        <v>-4947.51</v>
      </c>
      <c r="I27" s="24">
        <f>+'GSK Standardized'!I9</f>
        <v>-5383.1629999999996</v>
      </c>
      <c r="J27" s="24">
        <f>+'GSK Standardized'!J9</f>
        <v>-6044.9830000000002</v>
      </c>
      <c r="K27" s="24">
        <f>+'GSK Standardized'!K9</f>
        <v>-6695.84</v>
      </c>
      <c r="L27" s="24">
        <f>+'GSK Standardized'!L9</f>
        <v>-7180.268</v>
      </c>
    </row>
    <row r="28" spans="1:17" ht="29" customHeight="1" x14ac:dyDescent="0.45">
      <c r="B28" s="47" t="s">
        <v>270</v>
      </c>
      <c r="C28" s="25">
        <f>+'GSK Standardized'!C10</f>
        <v>370.55599999999998</v>
      </c>
      <c r="D28" s="25">
        <f>+'GSK Standardized'!D10</f>
        <v>-1581.7070000000001</v>
      </c>
      <c r="E28" s="25">
        <f>+'GSK Standardized'!E10</f>
        <v>-912.07</v>
      </c>
      <c r="F28" s="25">
        <f>+'GSK Standardized'!F10</f>
        <v>-353.83</v>
      </c>
      <c r="G28" s="25">
        <f>+'GSK Standardized'!G10</f>
        <v>691.00599999999997</v>
      </c>
      <c r="H28" s="25">
        <f>+'GSK Standardized'!H10</f>
        <v>511.96699999999998</v>
      </c>
      <c r="I28" s="25">
        <f>+'GSK Standardized'!I10</f>
        <v>444.428</v>
      </c>
      <c r="J28" s="25">
        <f>+'GSK Standardized'!J10</f>
        <v>864.57500000000005</v>
      </c>
      <c r="K28" s="25">
        <f>+'GSK Standardized'!K10</f>
        <v>1658.1489999999999</v>
      </c>
      <c r="L28" s="25">
        <f>+'GSK Standardized'!L10</f>
        <v>1144.732</v>
      </c>
      <c r="M28" s="25"/>
      <c r="N28" s="25"/>
      <c r="O28" s="25"/>
      <c r="P28" s="25"/>
      <c r="Q28" s="25"/>
    </row>
    <row r="29" spans="1:17" x14ac:dyDescent="0.45">
      <c r="B29" s="24" t="s">
        <v>271</v>
      </c>
    </row>
    <row r="30" spans="1:17" x14ac:dyDescent="0.45">
      <c r="B30" s="47" t="s">
        <v>272</v>
      </c>
      <c r="C30" s="25"/>
      <c r="D30" s="25"/>
      <c r="E30" s="25"/>
      <c r="F30" s="25"/>
      <c r="G30" s="25"/>
      <c r="H30" s="25"/>
      <c r="I30" s="25"/>
      <c r="J30" s="25"/>
      <c r="K30" s="25"/>
      <c r="L30" s="25"/>
      <c r="M30" s="25"/>
      <c r="N30" s="25"/>
      <c r="O30" s="25"/>
      <c r="P30" s="25"/>
      <c r="Q30" s="25"/>
    </row>
    <row r="31" spans="1:17" x14ac:dyDescent="0.45">
      <c r="B31" s="47" t="s">
        <v>273</v>
      </c>
      <c r="C31" s="25"/>
      <c r="D31" s="25"/>
      <c r="E31" s="25"/>
      <c r="F31" s="25"/>
      <c r="G31" s="25"/>
      <c r="H31" s="25"/>
      <c r="I31" s="25"/>
      <c r="J31" s="25"/>
      <c r="K31" s="25"/>
      <c r="L31" s="25"/>
      <c r="M31" s="25"/>
      <c r="N31" s="25"/>
      <c r="O31" s="25"/>
      <c r="P31" s="25"/>
      <c r="Q31" s="25"/>
    </row>
    <row r="32" spans="1:17" ht="14.75" customHeight="1" x14ac:dyDescent="0.45">
      <c r="B32" s="47" t="s">
        <v>274</v>
      </c>
      <c r="C32" s="25"/>
      <c r="D32" s="25"/>
      <c r="E32" s="25"/>
      <c r="F32" s="25"/>
      <c r="G32" s="25"/>
      <c r="H32" s="25"/>
      <c r="I32" s="25"/>
      <c r="J32" s="25"/>
      <c r="K32" s="25"/>
      <c r="L32" s="25"/>
      <c r="M32" s="25"/>
      <c r="N32" s="25"/>
      <c r="O32" s="25"/>
      <c r="P32" s="25"/>
      <c r="Q32" s="25"/>
    </row>
    <row r="33" spans="1:17" ht="28.9" thickBot="1" x14ac:dyDescent="0.5">
      <c r="B33" s="215" t="s">
        <v>275</v>
      </c>
      <c r="C33" s="48"/>
      <c r="D33" s="48"/>
      <c r="E33" s="48"/>
      <c r="F33" s="48"/>
      <c r="G33" s="48"/>
      <c r="H33" s="48"/>
      <c r="I33" s="48"/>
      <c r="J33" s="48"/>
      <c r="K33" s="48"/>
      <c r="L33" s="48"/>
      <c r="M33" s="48"/>
      <c r="N33" s="48"/>
      <c r="O33" s="48"/>
      <c r="P33" s="48"/>
      <c r="Q33" s="48"/>
    </row>
    <row r="34" spans="1:17" ht="15" thickTop="1" thickBot="1" x14ac:dyDescent="0.5">
      <c r="B34" s="41"/>
      <c r="C34" s="41"/>
      <c r="D34" s="41"/>
      <c r="E34" s="41"/>
      <c r="F34" s="41"/>
      <c r="G34" s="41"/>
      <c r="H34" s="41"/>
      <c r="I34" s="41"/>
      <c r="J34" s="41"/>
      <c r="K34" s="41"/>
      <c r="L34" s="41"/>
      <c r="M34" s="41"/>
      <c r="N34" s="41"/>
      <c r="O34" s="41"/>
      <c r="P34" s="41"/>
      <c r="Q34" s="41"/>
    </row>
    <row r="35" spans="1:17" ht="14.65" thickTop="1" x14ac:dyDescent="0.45">
      <c r="A35" s="24" t="s">
        <v>14</v>
      </c>
      <c r="B35" s="32" t="s">
        <v>276</v>
      </c>
      <c r="C35" s="54"/>
      <c r="D35" s="54"/>
      <c r="E35" s="54"/>
      <c r="F35" s="54"/>
      <c r="G35" s="54"/>
      <c r="H35" s="54"/>
      <c r="I35" s="54"/>
      <c r="J35" s="54"/>
      <c r="K35" s="54"/>
      <c r="L35" s="54"/>
      <c r="M35" s="54"/>
      <c r="N35" s="54"/>
      <c r="O35" s="54"/>
      <c r="P35" s="54"/>
      <c r="Q35" s="54"/>
    </row>
    <row r="36" spans="1:17" x14ac:dyDescent="0.45">
      <c r="B36" s="24" t="s">
        <v>277</v>
      </c>
      <c r="C36" s="46"/>
      <c r="D36" s="46"/>
      <c r="E36" s="46"/>
      <c r="F36" s="46"/>
      <c r="G36" s="46"/>
      <c r="H36" s="46"/>
      <c r="I36" s="46"/>
      <c r="J36" s="46"/>
      <c r="K36" s="46"/>
      <c r="L36" s="46"/>
      <c r="M36" s="46"/>
      <c r="N36" s="46"/>
      <c r="O36" s="46"/>
      <c r="P36" s="46"/>
      <c r="Q36" s="46"/>
    </row>
    <row r="37" spans="1:17" x14ac:dyDescent="0.45">
      <c r="B37" s="34" t="s">
        <v>278</v>
      </c>
      <c r="C37" s="25">
        <f>SUM('GSK Standardized'!C35)</f>
        <v>14462.521000000001</v>
      </c>
      <c r="D37" s="25">
        <f>SUM('GSK Standardized'!D35)</f>
        <v>14062.546999999999</v>
      </c>
      <c r="E37" s="25">
        <f>SUM('GSK Standardized'!E35)</f>
        <v>13814.901</v>
      </c>
      <c r="F37" s="25">
        <f>SUM('GSK Standardized'!F35)</f>
        <v>14134.963</v>
      </c>
      <c r="G37" s="25">
        <f>SUM('GSK Standardized'!G35)</f>
        <v>14530.458999999999</v>
      </c>
      <c r="H37" s="25">
        <f>SUM('GSK Standardized'!H35)</f>
        <v>13371.266</v>
      </c>
      <c r="I37" s="25">
        <f>SUM('GSK Standardized'!I35)</f>
        <v>14649.444</v>
      </c>
      <c r="J37" s="25">
        <f>SUM('GSK Standardized'!J35)</f>
        <v>12153.558999999999</v>
      </c>
      <c r="K37" s="25">
        <f>SUM('GSK Standardized'!K35)</f>
        <v>13268.35</v>
      </c>
      <c r="L37" s="25">
        <f>SUM('GSK Standardized'!L35)</f>
        <v>14530.157999999999</v>
      </c>
      <c r="M37" s="25"/>
      <c r="N37" s="25"/>
      <c r="O37" s="25"/>
      <c r="P37" s="25"/>
      <c r="Q37" s="25"/>
    </row>
    <row r="38" spans="1:17" x14ac:dyDescent="0.45">
      <c r="B38" s="34" t="s">
        <v>279</v>
      </c>
      <c r="C38" s="25">
        <f>SUM('GSK Standardized'!C36)</f>
        <v>29627.95</v>
      </c>
      <c r="D38" s="25">
        <f>SUM('GSK Standardized'!D36)</f>
        <v>28976.552</v>
      </c>
      <c r="E38" s="25">
        <f>SUM('GSK Standardized'!E36)</f>
        <v>26222.760000000002</v>
      </c>
      <c r="F38" s="25">
        <f>SUM('GSK Standardized'!F36)</f>
        <v>25592.764999999999</v>
      </c>
      <c r="G38" s="25">
        <f>SUM('GSK Standardized'!G36)</f>
        <v>48997.812999999995</v>
      </c>
      <c r="H38" s="25">
        <f>SUM('GSK Standardized'!H36)</f>
        <v>45115.186999999998</v>
      </c>
      <c r="I38" s="25">
        <f>SUM('GSK Standardized'!I36)</f>
        <v>48376.264000000003</v>
      </c>
      <c r="J38" s="25">
        <f>SUM('GSK Standardized'!J36)</f>
        <v>24086.143</v>
      </c>
      <c r="K38" s="25">
        <f>SUM('GSK Standardized'!K36)</f>
        <v>24866.920000000002</v>
      </c>
      <c r="L38" s="25">
        <f>SUM('GSK Standardized'!L36)</f>
        <v>27204.142</v>
      </c>
      <c r="M38" s="25"/>
      <c r="N38" s="25"/>
      <c r="O38" s="25"/>
      <c r="P38" s="25"/>
      <c r="Q38" s="25"/>
    </row>
    <row r="39" spans="1:17" x14ac:dyDescent="0.45">
      <c r="B39" s="34" t="s">
        <v>280</v>
      </c>
      <c r="C39" s="25">
        <f>SUM('GSK Standardized'!C37)</f>
        <v>1983.8810000000001</v>
      </c>
      <c r="D39" s="25">
        <f>SUM('GSK Standardized'!D37)</f>
        <v>1461.652</v>
      </c>
      <c r="E39" s="25">
        <f>SUM('GSK Standardized'!E37)</f>
        <v>1248.328</v>
      </c>
      <c r="F39" s="25">
        <f>SUM('GSK Standardized'!F37)</f>
        <v>1739.876</v>
      </c>
      <c r="G39" s="25">
        <f>SUM('GSK Standardized'!G37)</f>
        <v>2686.105</v>
      </c>
      <c r="H39" s="25">
        <f>SUM('GSK Standardized'!H37)</f>
        <v>3901.9989999999998</v>
      </c>
      <c r="I39" s="25">
        <f>SUM('GSK Standardized'!I37)</f>
        <v>2709.8609999999999</v>
      </c>
      <c r="J39" s="25">
        <f>SUM('GSK Standardized'!J37)</f>
        <v>1775.682</v>
      </c>
      <c r="K39" s="25">
        <f>SUM('GSK Standardized'!K37)</f>
        <v>1404.7349999999999</v>
      </c>
      <c r="L39" s="25">
        <f>SUM('GSK Standardized'!L37)</f>
        <v>1446.2439999999999</v>
      </c>
      <c r="M39" s="25"/>
      <c r="N39" s="25"/>
      <c r="O39" s="25"/>
      <c r="P39" s="25"/>
      <c r="Q39" s="25"/>
    </row>
    <row r="40" spans="1:17" x14ac:dyDescent="0.45">
      <c r="B40" s="34" t="s">
        <v>281</v>
      </c>
      <c r="C40" s="25">
        <f>'GSK Standardized'!C38</f>
        <v>3941.98</v>
      </c>
      <c r="D40" s="25">
        <f>'GSK Standardized'!D38</f>
        <v>5122.8100000000004</v>
      </c>
      <c r="E40" s="25">
        <f>'GSK Standardized'!E38</f>
        <v>4272.9049999999997</v>
      </c>
      <c r="F40" s="25">
        <f>'GSK Standardized'!F38</f>
        <v>4326.87</v>
      </c>
      <c r="G40" s="25">
        <f>'GSK Standardized'!G38</f>
        <v>4834.0450000000001</v>
      </c>
      <c r="H40" s="25">
        <f>'GSK Standardized'!H38</f>
        <v>4784.8599999999997</v>
      </c>
      <c r="I40" s="25">
        <f>'GSK Standardized'!I38</f>
        <v>6212.6790000000001</v>
      </c>
      <c r="J40" s="25">
        <f>'GSK Standardized'!J38</f>
        <v>6378.9269999999997</v>
      </c>
      <c r="K40" s="25">
        <f>'GSK Standardized'!K38</f>
        <v>6970.6660000000002</v>
      </c>
      <c r="L40" s="25">
        <f>'GSK Standardized'!L38</f>
        <v>8170.7950000000001</v>
      </c>
      <c r="M40" s="25"/>
      <c r="N40" s="25"/>
      <c r="O40" s="25"/>
      <c r="P40" s="25"/>
      <c r="Q40" s="25"/>
    </row>
    <row r="41" spans="1:17" x14ac:dyDescent="0.45">
      <c r="B41" s="35" t="s">
        <v>282</v>
      </c>
      <c r="C41" s="36">
        <f t="shared" ref="C41:L41" si="6">SUM(C37:C40)</f>
        <v>50016.332000000009</v>
      </c>
      <c r="D41" s="36">
        <f t="shared" si="6"/>
        <v>49623.561000000002</v>
      </c>
      <c r="E41" s="36">
        <f t="shared" si="6"/>
        <v>45558.894</v>
      </c>
      <c r="F41" s="36">
        <f t="shared" si="6"/>
        <v>45794.474000000002</v>
      </c>
      <c r="G41" s="36">
        <f t="shared" si="6"/>
        <v>71048.421999999991</v>
      </c>
      <c r="H41" s="36">
        <f t="shared" si="6"/>
        <v>67173.311999999991</v>
      </c>
      <c r="I41" s="36">
        <f t="shared" si="6"/>
        <v>71948.248000000007</v>
      </c>
      <c r="J41" s="36">
        <f t="shared" si="6"/>
        <v>44394.311000000002</v>
      </c>
      <c r="K41" s="36">
        <f t="shared" si="6"/>
        <v>46510.671000000002</v>
      </c>
      <c r="L41" s="36">
        <f t="shared" si="6"/>
        <v>51351.339</v>
      </c>
      <c r="M41" s="36"/>
      <c r="N41" s="36"/>
      <c r="O41" s="36"/>
      <c r="P41" s="36"/>
      <c r="Q41" s="36"/>
    </row>
    <row r="43" spans="1:17" x14ac:dyDescent="0.45">
      <c r="B43" s="34" t="s">
        <v>136</v>
      </c>
      <c r="C43" s="25">
        <f>'GSK Standardized'!C33</f>
        <v>6399.442</v>
      </c>
      <c r="D43" s="25">
        <f>'GSK Standardized'!D33</f>
        <v>5975.44</v>
      </c>
      <c r="E43" s="25">
        <f>'GSK Standardized'!E33</f>
        <v>6255.1459999999997</v>
      </c>
      <c r="F43" s="25">
        <f>'GSK Standardized'!F33</f>
        <v>6095.6890000000003</v>
      </c>
      <c r="G43" s="25">
        <f>'GSK Standardized'!G33</f>
        <v>7018.5709999999999</v>
      </c>
      <c r="H43" s="25">
        <f>'GSK Standardized'!H33</f>
        <v>6692.33</v>
      </c>
      <c r="I43" s="25">
        <f>'GSK Standardized'!I33</f>
        <v>6885.3810000000003</v>
      </c>
      <c r="J43" s="25">
        <f>'GSK Standardized'!J33</f>
        <v>5801.6890000000003</v>
      </c>
      <c r="K43" s="25">
        <f>'GSK Standardized'!K33</f>
        <v>6335.7120000000004</v>
      </c>
      <c r="L43" s="25">
        <f>'GSK Standardized'!L33</f>
        <v>6855.1490000000003</v>
      </c>
      <c r="M43" s="25"/>
      <c r="N43" s="25"/>
      <c r="O43" s="25"/>
      <c r="P43" s="25"/>
      <c r="Q43" s="25"/>
    </row>
    <row r="44" spans="1:17" x14ac:dyDescent="0.45">
      <c r="B44" s="34" t="s">
        <v>283</v>
      </c>
      <c r="C44" s="25">
        <f>'GSK Standardized'!C32</f>
        <v>5237.8809999999994</v>
      </c>
      <c r="D44" s="25">
        <f>'GSK Standardized'!D32</f>
        <v>5424.9780000000001</v>
      </c>
      <c r="E44" s="25">
        <f>'GSK Standardized'!E32</f>
        <v>5280.3469999999998</v>
      </c>
      <c r="F44" s="25">
        <f>'GSK Standardized'!F32</f>
        <v>5777.3229999999994</v>
      </c>
      <c r="G44" s="25">
        <f>'GSK Standardized'!G32</f>
        <v>6491.027</v>
      </c>
      <c r="H44" s="25">
        <f>'GSK Standardized'!H32</f>
        <v>6205.6959999999999</v>
      </c>
      <c r="I44" s="25">
        <f>'GSK Standardized'!I32</f>
        <v>7458.0719999999992</v>
      </c>
      <c r="J44" s="25">
        <f>'GSK Standardized'!J32</f>
        <v>6159.0810000000001</v>
      </c>
      <c r="K44" s="25">
        <f>'GSK Standardized'!K32</f>
        <v>6815.0960000000005</v>
      </c>
      <c r="L44" s="25">
        <f>'GSK Standardized'!L32</f>
        <v>8266.3250000000007</v>
      </c>
      <c r="M44" s="25"/>
      <c r="N44" s="25"/>
      <c r="O44" s="25"/>
      <c r="P44" s="25"/>
      <c r="Q44" s="25"/>
    </row>
    <row r="45" spans="1:17" x14ac:dyDescent="0.45">
      <c r="B45" s="34" t="s">
        <v>284</v>
      </c>
      <c r="C45" s="25">
        <f>'GSK Standardized'!C34</f>
        <v>2857.7660000000001</v>
      </c>
      <c r="D45" s="25">
        <f>'GSK Standardized'!D34</f>
        <v>2331.8510000000001</v>
      </c>
      <c r="E45" s="25">
        <f>'GSK Standardized'!E34</f>
        <v>1967.6079999999999</v>
      </c>
      <c r="F45" s="25">
        <f>'GSK Standardized'!F34</f>
        <v>2190.7070000000003</v>
      </c>
      <c r="G45" s="25">
        <f>'GSK Standardized'!G34</f>
        <v>3010.6570000000002</v>
      </c>
      <c r="H45" s="25">
        <f>'GSK Standardized'!H34</f>
        <v>2141.8580000000002</v>
      </c>
      <c r="I45" s="25">
        <f>'GSK Standardized'!I34</f>
        <v>2070.4960000000001</v>
      </c>
      <c r="J45" s="25">
        <f>'GSK Standardized'!J34</f>
        <v>6411.6210000000001</v>
      </c>
      <c r="K45" s="25">
        <f>'GSK Standardized'!K34</f>
        <v>4432.0020000000004</v>
      </c>
      <c r="L45" s="25">
        <f>'GSK Standardized'!L34</f>
        <v>726.75</v>
      </c>
      <c r="M45" s="25"/>
      <c r="N45" s="25"/>
      <c r="O45" s="25"/>
      <c r="P45" s="25"/>
      <c r="Q45" s="25"/>
    </row>
    <row r="46" spans="1:17" x14ac:dyDescent="0.45">
      <c r="B46" s="34" t="s">
        <v>285</v>
      </c>
      <c r="C46" s="27">
        <f>'GSK Standardized'!C31</f>
        <v>8012.8710000000001</v>
      </c>
      <c r="D46" s="27">
        <f>'GSK Standardized'!D31</f>
        <v>5839.5810000000001</v>
      </c>
      <c r="E46" s="27">
        <f>'GSK Standardized'!E31</f>
        <v>4402.3519999999999</v>
      </c>
      <c r="F46" s="27">
        <f>'GSK Standardized'!F31</f>
        <v>4778.8150000000005</v>
      </c>
      <c r="G46" s="27">
        <f>'GSK Standardized'!G31</f>
        <v>6482.7659999999996</v>
      </c>
      <c r="H46" s="27">
        <f>'GSK Standardized'!H31</f>
        <v>7558.4489999999996</v>
      </c>
      <c r="I46" s="27">
        <f>'GSK Standardized'!I31</f>
        <v>5819.7719999999999</v>
      </c>
      <c r="J46" s="27">
        <f>'GSK Standardized'!J31</f>
        <v>5042.9380000000001</v>
      </c>
      <c r="K46" s="27">
        <f>'GSK Standardized'!K31</f>
        <v>3901.913</v>
      </c>
      <c r="L46" s="27">
        <f>'GSK Standardized'!L31</f>
        <v>4705.13</v>
      </c>
      <c r="M46" s="27"/>
      <c r="N46" s="27"/>
      <c r="O46" s="27"/>
      <c r="P46" s="27"/>
      <c r="Q46" s="27"/>
    </row>
    <row r="47" spans="1:17" x14ac:dyDescent="0.45">
      <c r="B47" s="42" t="s">
        <v>286</v>
      </c>
      <c r="C47" s="32">
        <f t="shared" ref="C47:L47" si="7">SUM(C43:C46)</f>
        <v>22507.96</v>
      </c>
      <c r="D47" s="32">
        <f t="shared" si="7"/>
        <v>19571.849999999999</v>
      </c>
      <c r="E47" s="32">
        <f t="shared" si="7"/>
        <v>17905.452999999998</v>
      </c>
      <c r="F47" s="32">
        <f t="shared" si="7"/>
        <v>18842.534</v>
      </c>
      <c r="G47" s="32">
        <f t="shared" si="7"/>
        <v>23003.021000000001</v>
      </c>
      <c r="H47" s="32">
        <f t="shared" si="7"/>
        <v>22598.332999999999</v>
      </c>
      <c r="I47" s="32">
        <f t="shared" si="7"/>
        <v>22233.721000000001</v>
      </c>
      <c r="J47" s="32">
        <f t="shared" si="7"/>
        <v>23415.328999999998</v>
      </c>
      <c r="K47" s="32">
        <f t="shared" si="7"/>
        <v>21484.723000000002</v>
      </c>
      <c r="L47" s="32">
        <f t="shared" si="7"/>
        <v>20553.354000000003</v>
      </c>
      <c r="M47" s="32"/>
      <c r="N47" s="32"/>
      <c r="O47" s="32"/>
      <c r="P47" s="32"/>
      <c r="Q47" s="32"/>
    </row>
    <row r="49" spans="2:17" ht="14.65" thickBot="1" x14ac:dyDescent="0.5">
      <c r="B49" s="34"/>
      <c r="C49" s="49"/>
      <c r="D49" s="49"/>
      <c r="E49" s="49"/>
      <c r="F49" s="49"/>
      <c r="G49" s="49"/>
      <c r="H49" s="49"/>
      <c r="I49" s="49"/>
      <c r="J49" s="49"/>
      <c r="K49" s="49"/>
      <c r="L49" s="49"/>
      <c r="M49" s="49"/>
      <c r="N49" s="49"/>
      <c r="O49" s="49"/>
      <c r="P49" s="49"/>
      <c r="Q49" s="49"/>
    </row>
    <row r="50" spans="2:17" ht="14.65" thickTop="1" x14ac:dyDescent="0.45">
      <c r="B50" s="42" t="s">
        <v>287</v>
      </c>
      <c r="C50" s="32">
        <f t="shared" ref="C50:L50" si="8">SUM(C41,C47)</f>
        <v>72524.292000000016</v>
      </c>
      <c r="D50" s="32">
        <f t="shared" si="8"/>
        <v>69195.410999999993</v>
      </c>
      <c r="E50" s="32">
        <f t="shared" si="8"/>
        <v>63464.346999999994</v>
      </c>
      <c r="F50" s="32">
        <f t="shared" si="8"/>
        <v>64637.008000000002</v>
      </c>
      <c r="G50" s="32">
        <f t="shared" si="8"/>
        <v>94051.442999999999</v>
      </c>
      <c r="H50" s="32">
        <f t="shared" si="8"/>
        <v>89771.64499999999</v>
      </c>
      <c r="I50" s="32">
        <f t="shared" si="8"/>
        <v>94181.969000000012</v>
      </c>
      <c r="J50" s="32">
        <f t="shared" si="8"/>
        <v>67809.64</v>
      </c>
      <c r="K50" s="32">
        <f t="shared" si="8"/>
        <v>67995.394</v>
      </c>
      <c r="L50" s="32">
        <f t="shared" si="8"/>
        <v>71904.692999999999</v>
      </c>
      <c r="M50" s="32"/>
      <c r="N50" s="32"/>
      <c r="O50" s="32"/>
      <c r="P50" s="32"/>
      <c r="Q50" s="32"/>
    </row>
    <row r="52" spans="2:17" x14ac:dyDescent="0.45">
      <c r="B52" s="24" t="s">
        <v>288</v>
      </c>
    </row>
    <row r="53" spans="2:17" x14ac:dyDescent="0.45">
      <c r="B53" s="42" t="s">
        <v>289</v>
      </c>
      <c r="C53" s="23">
        <f>'GSK Standardized'!C50</f>
        <v>5107.6120000000001</v>
      </c>
      <c r="D53" s="23">
        <f>'GSK Standardized'!D50</f>
        <v>4496.22</v>
      </c>
      <c r="E53" s="23">
        <f>'GSK Standardized'!E50</f>
        <v>4003.8789999999999</v>
      </c>
      <c r="F53" s="23">
        <f>'GSK Standardized'!F50</f>
        <v>-121.33499999999999</v>
      </c>
      <c r="G53" s="23">
        <f>'GSK Standardized'!G50</f>
        <v>8204.6579999999994</v>
      </c>
      <c r="H53" s="23">
        <f>'GSK Standardized'!H50</f>
        <v>6943.46</v>
      </c>
      <c r="I53" s="23">
        <f>'GSK Standardized'!I50</f>
        <v>7485.4560000000001</v>
      </c>
      <c r="J53" s="23">
        <f>'GSK Standardized'!J50</f>
        <v>-565.96299999999997</v>
      </c>
      <c r="K53" s="23">
        <f>'GSK Standardized'!K50</f>
        <v>-636.10599999999999</v>
      </c>
      <c r="L53" s="23">
        <f>'GSK Standardized'!L50</f>
        <v>-707.40200000000004</v>
      </c>
      <c r="M53" s="23"/>
      <c r="N53" s="23"/>
      <c r="O53" s="23"/>
      <c r="P53" s="23"/>
      <c r="Q53" s="23"/>
    </row>
    <row r="54" spans="2:17" x14ac:dyDescent="0.45">
      <c r="B54" s="24" t="s">
        <v>290</v>
      </c>
      <c r="C54" s="24">
        <f>'GSK Standardized'!C51</f>
        <v>0</v>
      </c>
      <c r="D54" s="24">
        <f>'GSK Standardized'!D51</f>
        <v>0</v>
      </c>
      <c r="E54" s="24">
        <f>'GSK Standardized'!E51</f>
        <v>0</v>
      </c>
      <c r="F54" s="24">
        <f>'GSK Standardized'!F51</f>
        <v>0</v>
      </c>
      <c r="G54" s="24">
        <f>'GSK Standardized'!G51</f>
        <v>0</v>
      </c>
      <c r="H54" s="24">
        <f>'GSK Standardized'!H51</f>
        <v>0</v>
      </c>
      <c r="I54" s="24">
        <f>'GSK Standardized'!I51</f>
        <v>0</v>
      </c>
      <c r="J54" s="24">
        <f>'GSK Standardized'!J51</f>
        <v>0</v>
      </c>
      <c r="K54" s="24">
        <f>'GSK Standardized'!K51</f>
        <v>0</v>
      </c>
      <c r="L54" s="24">
        <f>'GSK Standardized'!L51</f>
        <v>0</v>
      </c>
    </row>
    <row r="55" spans="2:17" x14ac:dyDescent="0.45">
      <c r="B55" s="216" t="s">
        <v>291</v>
      </c>
      <c r="C55" s="25">
        <f>'GSK Standardized'!C49</f>
        <v>6939.514000000001</v>
      </c>
      <c r="D55" s="25">
        <f>'GSK Standardized'!D49</f>
        <v>1316.4240000000004</v>
      </c>
      <c r="E55" s="25">
        <f>'GSK Standardized'!E49</f>
        <v>-76.541999999999916</v>
      </c>
      <c r="F55" s="25">
        <f>'GSK Standardized'!F49</f>
        <v>4208.875</v>
      </c>
      <c r="G55" s="25">
        <f>'GSK Standardized'!G49</f>
        <v>13460.03</v>
      </c>
      <c r="H55" s="25">
        <f>'GSK Standardized'!H49</f>
        <v>16281.023000000001</v>
      </c>
      <c r="I55" s="25">
        <f>'GSK Standardized'!I49</f>
        <v>17924.851000000002</v>
      </c>
      <c r="J55" s="25">
        <f>'GSK Standardized'!J49</f>
        <v>11948.368999999999</v>
      </c>
      <c r="K55" s="25">
        <f>'GSK Standardized'!K49</f>
        <v>15380.637000000001</v>
      </c>
      <c r="L55" s="25">
        <f>'GSK Standardized'!L49</f>
        <v>16531.440999999999</v>
      </c>
      <c r="M55" s="23"/>
      <c r="N55" s="23"/>
      <c r="O55" s="23"/>
      <c r="P55" s="23"/>
      <c r="Q55" s="23"/>
    </row>
    <row r="58" spans="2:17" x14ac:dyDescent="0.45">
      <c r="B58" s="34" t="s">
        <v>292</v>
      </c>
      <c r="C58" s="25">
        <f>'GSK Standardized'!C46</f>
        <v>25175.75</v>
      </c>
      <c r="D58" s="25">
        <f>'GSK Standardized'!D46</f>
        <v>21961.089</v>
      </c>
      <c r="E58" s="25">
        <f>'GSK Standardized'!E46</f>
        <v>20039.654000000002</v>
      </c>
      <c r="F58" s="25">
        <f>'GSK Standardized'!F46</f>
        <v>26043.595999999998</v>
      </c>
      <c r="G58" s="25">
        <f>'GSK Standardized'!G46</f>
        <v>31920.511999999999</v>
      </c>
      <c r="H58" s="25">
        <f>'GSK Standardized'!H46</f>
        <v>30219.284</v>
      </c>
      <c r="I58" s="25">
        <f>'GSK Standardized'!I46</f>
        <v>28201.132000000001</v>
      </c>
      <c r="J58" s="25">
        <f>'GSK Standardized'!J46</f>
        <v>22113.163</v>
      </c>
      <c r="K58" s="25">
        <f>'GSK Standardized'!K46</f>
        <v>20218.272000000001</v>
      </c>
      <c r="L58" s="25">
        <f>'GSK Standardized'!L46</f>
        <v>19953.574000000001</v>
      </c>
      <c r="M58" s="25"/>
      <c r="N58" s="25"/>
      <c r="O58" s="25"/>
      <c r="P58" s="25"/>
      <c r="Q58" s="25"/>
    </row>
    <row r="59" spans="2:17" x14ac:dyDescent="0.45">
      <c r="B59" s="34" t="s">
        <v>293</v>
      </c>
      <c r="C59" s="25">
        <f>'GSK Standardized'!C47</f>
        <v>2065.299</v>
      </c>
      <c r="D59" s="25">
        <f>'GSK Standardized'!D47</f>
        <v>2265.0920000000001</v>
      </c>
      <c r="E59" s="25">
        <f>'GSK Standardized'!E47</f>
        <v>1571.384</v>
      </c>
      <c r="F59" s="25">
        <f>'GSK Standardized'!F47</f>
        <v>1286.818</v>
      </c>
      <c r="G59" s="25">
        <f>'GSK Standardized'!G47</f>
        <v>4496.5110000000004</v>
      </c>
      <c r="H59" s="25">
        <f>'GSK Standardized'!H47</f>
        <v>4018.0770000000002</v>
      </c>
      <c r="I59" s="25">
        <f>'GSK Standardized'!I47</f>
        <v>4233.8609999999999</v>
      </c>
      <c r="J59" s="25">
        <f>'GSK Standardized'!J47</f>
        <v>325.82400000000001</v>
      </c>
      <c r="K59" s="25">
        <f>'GSK Standardized'!K47</f>
        <v>358.38600000000002</v>
      </c>
      <c r="L59" s="25">
        <f>'GSK Standardized'!L47</f>
        <v>461.92700000000002</v>
      </c>
      <c r="M59" s="25"/>
      <c r="N59" s="25"/>
      <c r="O59" s="25"/>
      <c r="P59" s="25"/>
      <c r="Q59" s="25"/>
    </row>
    <row r="60" spans="2:17" x14ac:dyDescent="0.45">
      <c r="B60" s="34" t="s">
        <v>294</v>
      </c>
      <c r="C60" s="25">
        <f>'GSK Standardized'!C48</f>
        <v>21731.777000000002</v>
      </c>
      <c r="D60" s="25">
        <f>'GSK Standardized'!D48</f>
        <v>23794.010999999999</v>
      </c>
      <c r="E60" s="25">
        <f>'GSK Standardized'!E48</f>
        <v>15113.882000000001</v>
      </c>
      <c r="F60" s="25">
        <f>'GSK Standardized'!F48</f>
        <v>16895.610999999997</v>
      </c>
      <c r="G60" s="25">
        <f>'GSK Standardized'!G48</f>
        <v>17267.311999999998</v>
      </c>
      <c r="H60" s="25">
        <f>'GSK Standardized'!H48</f>
        <v>17259.870999999999</v>
      </c>
      <c r="I60" s="25">
        <f>'GSK Standardized'!I48</f>
        <v>13945.785</v>
      </c>
      <c r="J60" s="25">
        <f>'GSK Standardized'!J48</f>
        <v>12736.433999999999</v>
      </c>
      <c r="K60" s="25">
        <f>'GSK Standardized'!K48</f>
        <v>13102.407999999999</v>
      </c>
      <c r="L60" s="25">
        <f>'GSK Standardized'!L48</f>
        <v>9428.3989999999994</v>
      </c>
      <c r="M60" s="27"/>
      <c r="N60" s="27"/>
      <c r="O60" s="27"/>
      <c r="P60" s="27"/>
      <c r="Q60" s="27"/>
    </row>
    <row r="61" spans="2:17" x14ac:dyDescent="0.45">
      <c r="B61" s="42" t="s">
        <v>295</v>
      </c>
      <c r="C61" s="36">
        <f t="shared" ref="C61:Q61" si="9">SUM(C58:C60)</f>
        <v>48972.826000000001</v>
      </c>
      <c r="D61" s="36">
        <f t="shared" si="9"/>
        <v>48020.191999999995</v>
      </c>
      <c r="E61" s="36">
        <f t="shared" si="9"/>
        <v>36724.92</v>
      </c>
      <c r="F61" s="36">
        <f t="shared" si="9"/>
        <v>44226.024999999994</v>
      </c>
      <c r="G61" s="36">
        <f t="shared" si="9"/>
        <v>53684.334999999999</v>
      </c>
      <c r="H61" s="36">
        <f t="shared" si="9"/>
        <v>51497.231999999996</v>
      </c>
      <c r="I61" s="36">
        <f t="shared" si="9"/>
        <v>46380.778000000006</v>
      </c>
      <c r="J61" s="36">
        <f t="shared" si="9"/>
        <v>35175.421000000002</v>
      </c>
      <c r="K61" s="36">
        <f t="shared" si="9"/>
        <v>33679.065999999999</v>
      </c>
      <c r="L61" s="36">
        <f t="shared" si="9"/>
        <v>29843.9</v>
      </c>
      <c r="M61" s="32">
        <f t="shared" si="9"/>
        <v>0</v>
      </c>
      <c r="N61" s="32">
        <f t="shared" si="9"/>
        <v>0</v>
      </c>
      <c r="O61" s="32">
        <f t="shared" si="9"/>
        <v>0</v>
      </c>
      <c r="P61" s="32">
        <f t="shared" si="9"/>
        <v>0</v>
      </c>
      <c r="Q61" s="32">
        <f t="shared" si="9"/>
        <v>0</v>
      </c>
    </row>
    <row r="63" spans="2:17" x14ac:dyDescent="0.45">
      <c r="B63" s="34" t="s">
        <v>296</v>
      </c>
      <c r="C63" s="25">
        <f>'GSK Standardized'!C44</f>
        <v>4233.7269999999999</v>
      </c>
      <c r="D63" s="25">
        <f>'GSK Standardized'!D44</f>
        <v>4211.62</v>
      </c>
      <c r="E63" s="25">
        <f>'GSK Standardized'!E44</f>
        <v>3971.2350000000001</v>
      </c>
      <c r="F63" s="25">
        <f>'GSK Standardized'!F44</f>
        <v>4057.4850000000001</v>
      </c>
      <c r="G63" s="25">
        <f>'GSK Standardized'!G44</f>
        <v>4890.6940000000004</v>
      </c>
      <c r="H63" s="25">
        <f>'GSK Standardized'!H44</f>
        <v>4862.9889999999996</v>
      </c>
      <c r="I63" s="25">
        <f>'GSK Standardized'!I44</f>
        <v>5399.482</v>
      </c>
      <c r="J63" s="25">
        <f>'GSK Standardized'!J44</f>
        <v>4358.5950000000003</v>
      </c>
      <c r="K63" s="25">
        <f>'GSK Standardized'!K44</f>
        <v>4283.3469999999998</v>
      </c>
      <c r="L63" s="25">
        <f>'GSK Standardized'!L44</f>
        <v>17437.156999999999</v>
      </c>
      <c r="M63" s="25"/>
      <c r="N63" s="25"/>
      <c r="O63" s="25"/>
      <c r="P63" s="25"/>
      <c r="Q63" s="25"/>
    </row>
    <row r="64" spans="2:17" x14ac:dyDescent="0.45">
      <c r="B64" s="34" t="s">
        <v>297</v>
      </c>
      <c r="C64" s="25">
        <f>'GSK Standardized'!C45</f>
        <v>5495.7039999999997</v>
      </c>
      <c r="D64" s="25">
        <f>'GSK Standardized'!D45</f>
        <v>6315.0869999999995</v>
      </c>
      <c r="E64" s="25">
        <f>'GSK Standardized'!E45</f>
        <v>15660.938999999998</v>
      </c>
      <c r="F64" s="25">
        <f>'GSK Standardized'!F45</f>
        <v>5817.3980000000001</v>
      </c>
      <c r="G64" s="25">
        <f>'GSK Standardized'!G45</f>
        <v>5646.0129999999999</v>
      </c>
      <c r="H64" s="25">
        <f>'GSK Standardized'!H45</f>
        <v>6028.2310000000007</v>
      </c>
      <c r="I64" s="25">
        <f>'GSK Standardized'!I45</f>
        <v>12703.963</v>
      </c>
      <c r="J64" s="25">
        <f>'GSK Standardized'!J45</f>
        <v>12437.668000000001</v>
      </c>
      <c r="K64" s="25">
        <f>'GSK Standardized'!K45</f>
        <v>12046.84</v>
      </c>
      <c r="L64" s="25">
        <f>'GSK Standardized'!L45</f>
        <v>5959.1059999999998</v>
      </c>
      <c r="M64" s="25"/>
      <c r="N64" s="25"/>
      <c r="O64" s="25"/>
      <c r="P64" s="25"/>
      <c r="Q64" s="25"/>
    </row>
    <row r="65" spans="1:20" x14ac:dyDescent="0.45">
      <c r="B65" s="34" t="s">
        <v>298</v>
      </c>
      <c r="C65" s="27">
        <f>'GSK Standardized'!C43</f>
        <v>1774.9090000000001</v>
      </c>
      <c r="D65" s="27">
        <f>'GSK Standardized'!D43</f>
        <v>4835.8670000000002</v>
      </c>
      <c r="E65" s="27">
        <f>'GSK Standardized'!E43</f>
        <v>3179.9149999999995</v>
      </c>
      <c r="F65" s="27">
        <f>'GSK Standardized'!F43</f>
        <v>6448.5619999999999</v>
      </c>
      <c r="G65" s="27">
        <f>'GSK Standardized'!G43</f>
        <v>8165.7119999999995</v>
      </c>
      <c r="H65" s="27">
        <f>'GSK Standardized'!H43</f>
        <v>4158.7089999999998</v>
      </c>
      <c r="I65" s="27">
        <f>'GSK Standardized'!I43</f>
        <v>4287.4399999999996</v>
      </c>
      <c r="J65" s="27">
        <f>'GSK Standardized'!J43</f>
        <v>4455.5529999999999</v>
      </c>
      <c r="K65" s="27">
        <f>'GSK Standardized'!K43</f>
        <v>3241.607</v>
      </c>
      <c r="L65" s="27">
        <f>'GSK Standardized'!L43</f>
        <v>2840.491</v>
      </c>
      <c r="M65" s="27"/>
      <c r="N65" s="27"/>
      <c r="O65" s="27"/>
      <c r="P65" s="27"/>
      <c r="Q65" s="27"/>
    </row>
    <row r="66" spans="1:20" x14ac:dyDescent="0.45">
      <c r="B66" s="42" t="s">
        <v>299</v>
      </c>
      <c r="C66" s="32">
        <f t="shared" ref="C66:Q66" si="10">SUM(C63:C65)</f>
        <v>11504.34</v>
      </c>
      <c r="D66" s="32">
        <f t="shared" si="10"/>
        <v>15362.573999999999</v>
      </c>
      <c r="E66" s="32">
        <f t="shared" si="10"/>
        <v>22812.089</v>
      </c>
      <c r="F66" s="32">
        <f t="shared" si="10"/>
        <v>16323.445</v>
      </c>
      <c r="G66" s="32">
        <f t="shared" si="10"/>
        <v>18702.419000000002</v>
      </c>
      <c r="H66" s="32">
        <f t="shared" si="10"/>
        <v>15049.929</v>
      </c>
      <c r="I66" s="32">
        <f t="shared" si="10"/>
        <v>22390.884999999998</v>
      </c>
      <c r="J66" s="32">
        <f t="shared" si="10"/>
        <v>21251.816000000003</v>
      </c>
      <c r="K66" s="32">
        <f t="shared" si="10"/>
        <v>19571.794000000002</v>
      </c>
      <c r="L66" s="32">
        <f t="shared" si="10"/>
        <v>26236.754000000001</v>
      </c>
      <c r="M66" s="32">
        <f t="shared" si="10"/>
        <v>0</v>
      </c>
      <c r="N66" s="32">
        <f t="shared" si="10"/>
        <v>0</v>
      </c>
      <c r="O66" s="32">
        <f t="shared" si="10"/>
        <v>0</v>
      </c>
      <c r="P66" s="32">
        <f t="shared" si="10"/>
        <v>0</v>
      </c>
      <c r="Q66" s="32">
        <f t="shared" si="10"/>
        <v>0</v>
      </c>
    </row>
    <row r="68" spans="1:20" ht="14.65" thickBot="1" x14ac:dyDescent="0.5">
      <c r="C68" s="49"/>
      <c r="D68" s="49"/>
      <c r="E68" s="49"/>
      <c r="F68" s="49"/>
      <c r="G68" s="49"/>
      <c r="H68" s="49"/>
      <c r="I68" s="49"/>
      <c r="J68" s="49"/>
      <c r="K68" s="49"/>
      <c r="L68" s="49"/>
      <c r="M68" s="49"/>
      <c r="N68" s="49"/>
      <c r="O68" s="49"/>
      <c r="P68" s="49"/>
      <c r="Q68" s="49"/>
    </row>
    <row r="69" spans="1:20" ht="15" thickTop="1" thickBot="1" x14ac:dyDescent="0.5">
      <c r="B69" s="44" t="s">
        <v>300</v>
      </c>
      <c r="C69" s="44">
        <f t="shared" ref="C69:L69" si="11">SUM(C53:C55,C61,C66)</f>
        <v>72524.292000000001</v>
      </c>
      <c r="D69" s="44">
        <f t="shared" si="11"/>
        <v>69195.409999999989</v>
      </c>
      <c r="E69" s="44">
        <f>SUM(E53:E55,E61,E66)</f>
        <v>63464.345999999998</v>
      </c>
      <c r="F69" s="44">
        <f t="shared" si="11"/>
        <v>64637.009999999995</v>
      </c>
      <c r="G69" s="44">
        <f>SUM(G53:G55,G61,G66)</f>
        <v>94051.44200000001</v>
      </c>
      <c r="H69" s="44">
        <f t="shared" si="11"/>
        <v>89771.644</v>
      </c>
      <c r="I69" s="44">
        <f>SUM(I53:I55,I61,I66)</f>
        <v>94181.97</v>
      </c>
      <c r="J69" s="44">
        <f t="shared" si="11"/>
        <v>67809.643000000011</v>
      </c>
      <c r="K69" s="44">
        <f>SUM(K53:K55,K61,K66)</f>
        <v>67995.391000000003</v>
      </c>
      <c r="L69" s="44">
        <f t="shared" si="11"/>
        <v>71904.692999999999</v>
      </c>
      <c r="M69" s="44"/>
      <c r="N69" s="44"/>
      <c r="O69" s="44"/>
      <c r="P69" s="44"/>
      <c r="Q69" s="44"/>
    </row>
    <row r="70" spans="1:20" s="56" customFormat="1" ht="15" thickTop="1" thickBot="1" x14ac:dyDescent="0.5">
      <c r="B70" s="55" t="s">
        <v>301</v>
      </c>
      <c r="C70" s="55">
        <f t="shared" ref="C70:L70" si="12">C50-C69</f>
        <v>0</v>
      </c>
      <c r="D70" s="55">
        <f t="shared" si="12"/>
        <v>1.0000000038417056E-3</v>
      </c>
      <c r="E70" s="55">
        <f t="shared" si="12"/>
        <v>9.9999999656574801E-4</v>
      </c>
      <c r="F70" s="55">
        <f t="shared" si="12"/>
        <v>-1.999999993131496E-3</v>
      </c>
      <c r="G70" s="55">
        <f t="shared" si="12"/>
        <v>9.9999998928979039E-4</v>
      </c>
      <c r="H70" s="55">
        <f t="shared" si="12"/>
        <v>9.9999998928979039E-4</v>
      </c>
      <c r="I70" s="55">
        <f t="shared" si="12"/>
        <v>-9.9999998928979039E-4</v>
      </c>
      <c r="J70" s="55">
        <f t="shared" si="12"/>
        <v>-3.0000000115251169E-3</v>
      </c>
      <c r="K70" s="55">
        <f t="shared" si="12"/>
        <v>2.9999999969732016E-3</v>
      </c>
      <c r="L70" s="55">
        <f t="shared" si="12"/>
        <v>0</v>
      </c>
      <c r="M70" s="55">
        <f>M69-M50</f>
        <v>0</v>
      </c>
      <c r="N70" s="55">
        <f>N69-N50</f>
        <v>0</v>
      </c>
      <c r="O70" s="55">
        <f>O69-O50</f>
        <v>0</v>
      </c>
      <c r="P70" s="55">
        <f>P69-P50</f>
        <v>0</v>
      </c>
      <c r="Q70" s="55">
        <f>Q69-Q50</f>
        <v>0</v>
      </c>
    </row>
    <row r="71" spans="1:20" ht="14.65" thickTop="1" x14ac:dyDescent="0.45">
      <c r="A71" s="24" t="s">
        <v>14</v>
      </c>
      <c r="B71" s="32" t="s">
        <v>302</v>
      </c>
      <c r="C71" s="46"/>
      <c r="D71" s="46"/>
      <c r="E71" s="46"/>
      <c r="F71" s="46"/>
      <c r="G71" s="46"/>
      <c r="H71" s="46"/>
      <c r="I71" s="46"/>
      <c r="J71" s="46"/>
      <c r="K71" s="46"/>
      <c r="L71" s="46"/>
      <c r="M71" s="46"/>
      <c r="N71" s="46"/>
      <c r="O71" s="46"/>
      <c r="P71" s="46"/>
      <c r="Q71" s="46"/>
    </row>
    <row r="72" spans="1:20" x14ac:dyDescent="0.45">
      <c r="B72" s="34" t="s">
        <v>303</v>
      </c>
      <c r="C72" s="25">
        <f>'GSK Standardized'!C56</f>
        <v>15422.827999999998</v>
      </c>
      <c r="D72" s="25">
        <f>'GSK Standardized'!D56</f>
        <v>2962.6400000000003</v>
      </c>
      <c r="E72" s="25">
        <f>'GSK Standardized'!E56</f>
        <v>4047.8109999999997</v>
      </c>
      <c r="F72" s="25">
        <f>'GSK Standardized'!F56</f>
        <v>5718.9389999999994</v>
      </c>
      <c r="G72" s="25">
        <f>'GSK Standardized'!G56</f>
        <v>7293.1969999999992</v>
      </c>
      <c r="H72" s="25">
        <f>'GSK Standardized'!H56</f>
        <v>7464.585</v>
      </c>
      <c r="I72" s="25">
        <f>'GSK Standardized'!I56</f>
        <v>6069.5820000000003</v>
      </c>
      <c r="J72" s="25">
        <f>'GSK Standardized'!J56</f>
        <v>19262.299000000003</v>
      </c>
      <c r="K72" s="25">
        <f>'GSK Standardized'!K56</f>
        <v>7228.2420000000002</v>
      </c>
      <c r="L72" s="25">
        <f>'GSK Standardized'!L56</f>
        <v>4309.5789999999997</v>
      </c>
      <c r="M72" s="25"/>
      <c r="N72" s="25"/>
      <c r="O72" s="25"/>
      <c r="P72" s="25"/>
      <c r="Q72" s="25"/>
      <c r="T72" s="51"/>
    </row>
    <row r="73" spans="1:20" x14ac:dyDescent="0.45">
      <c r="B73" s="34" t="s">
        <v>304</v>
      </c>
      <c r="C73" s="25">
        <f>'GSK Standardized'!C60</f>
        <v>-2967.2</v>
      </c>
      <c r="D73" s="25">
        <f>'GSK Standardized'!D60</f>
        <v>-1073.6510000000001</v>
      </c>
      <c r="E73" s="25">
        <f>'GSK Standardized'!E60</f>
        <v>-1547.894</v>
      </c>
      <c r="F73" s="25">
        <f>'GSK Standardized'!F60</f>
        <v>-852.35799999999995</v>
      </c>
      <c r="G73" s="25">
        <f>'GSK Standardized'!G60</f>
        <v>-1086.682</v>
      </c>
      <c r="H73" s="25">
        <f>'GSK Standardized'!H60</f>
        <v>-75.388000000000005</v>
      </c>
      <c r="I73" s="25">
        <f>'GSK Standardized'!I60</f>
        <v>-96.563999999999993</v>
      </c>
      <c r="J73" s="25">
        <f>'GSK Standardized'!J60</f>
        <v>-829.38199999999995</v>
      </c>
      <c r="K73" s="25">
        <f>'GSK Standardized'!K60</f>
        <v>-869.32100000000003</v>
      </c>
      <c r="L73" s="25">
        <f>'GSK Standardized'!L60</f>
        <v>-621.39200000000005</v>
      </c>
      <c r="M73" s="25"/>
      <c r="N73" s="25"/>
      <c r="O73" s="25"/>
      <c r="P73" s="25"/>
      <c r="Q73" s="25"/>
      <c r="T73" s="51"/>
    </row>
    <row r="74" spans="1:20" x14ac:dyDescent="0.45">
      <c r="B74" s="34" t="s">
        <v>305</v>
      </c>
      <c r="C74" s="25">
        <f>'GSK Standardized'!C58</f>
        <v>-14954.467999999999</v>
      </c>
      <c r="D74" s="25">
        <f>'GSK Standardized'!D58</f>
        <v>-541.11</v>
      </c>
      <c r="E74" s="25">
        <f>'GSK Standardized'!E58</f>
        <v>-396.10499999999996</v>
      </c>
      <c r="F74" s="25">
        <f>'GSK Standardized'!F58</f>
        <v>-341.39499999999998</v>
      </c>
      <c r="G74" s="25">
        <f>'GSK Standardized'!G58</f>
        <v>-705.82999999999993</v>
      </c>
      <c r="H74" s="25">
        <f>'GSK Standardized'!H58</f>
        <v>-1511.1460000000002</v>
      </c>
      <c r="I74" s="25">
        <f>'GSK Standardized'!I58</f>
        <v>1261.152</v>
      </c>
      <c r="J74" s="25">
        <f>'GSK Standardized'!J58</f>
        <v>644.03200000000004</v>
      </c>
      <c r="K74" s="25">
        <f>'GSK Standardized'!K58</f>
        <v>-9.1999999999999993</v>
      </c>
      <c r="L74" s="25">
        <f>'GSK Standardized'!L58</f>
        <v>-3.544</v>
      </c>
      <c r="M74" s="25"/>
      <c r="N74" s="25"/>
      <c r="O74" s="25"/>
      <c r="P74" s="25"/>
      <c r="Q74" s="25"/>
      <c r="T74" s="51"/>
    </row>
    <row r="75" spans="1:20" x14ac:dyDescent="0.45">
      <c r="B75" s="34" t="s">
        <v>306</v>
      </c>
      <c r="C75" s="27">
        <f>'GSK Standardized'!C59</f>
        <v>4584.42</v>
      </c>
      <c r="D75" s="27">
        <f>'GSK Standardized'!D59</f>
        <v>6938.9430000000002</v>
      </c>
      <c r="E75" s="27">
        <f>'GSK Standardized'!E59</f>
        <v>7301.1269999999995</v>
      </c>
      <c r="F75" s="27">
        <f>'GSK Standardized'!F59</f>
        <v>6024.1600000000008</v>
      </c>
      <c r="G75" s="27">
        <f>'GSK Standardized'!G59</f>
        <v>4244.1019999999999</v>
      </c>
      <c r="H75" s="27">
        <f>'GSK Standardized'!H59</f>
        <v>3508.3780000000006</v>
      </c>
      <c r="I75" s="27">
        <f>'GSK Standardized'!I59</f>
        <v>2511.8310000000001</v>
      </c>
      <c r="J75" s="27">
        <f>'GSK Standardized'!J59</f>
        <v>-7911.384</v>
      </c>
      <c r="K75" s="27">
        <f>'GSK Standardized'!K59</f>
        <v>3109.3169999999996</v>
      </c>
      <c r="L75" s="27">
        <f>'GSK Standardized'!L59</f>
        <v>2235.12</v>
      </c>
      <c r="M75" s="27"/>
      <c r="N75" s="27"/>
      <c r="O75" s="27"/>
      <c r="P75" s="27"/>
      <c r="Q75" s="27"/>
      <c r="T75" s="51"/>
    </row>
    <row r="76" spans="1:20" ht="28.5" x14ac:dyDescent="0.45">
      <c r="B76" s="42" t="s">
        <v>307</v>
      </c>
      <c r="C76" s="32">
        <f t="shared" ref="C76:Q76" si="13">SUM(C72:C75)</f>
        <v>2085.5799999999981</v>
      </c>
      <c r="D76" s="32">
        <f t="shared" si="13"/>
        <v>8286.8220000000001</v>
      </c>
      <c r="E76" s="32">
        <f t="shared" si="13"/>
        <v>9404.9389999999985</v>
      </c>
      <c r="F76" s="32">
        <f t="shared" si="13"/>
        <v>10549.346000000001</v>
      </c>
      <c r="G76" s="32">
        <f t="shared" si="13"/>
        <v>9744.7870000000003</v>
      </c>
      <c r="H76" s="32">
        <f t="shared" si="13"/>
        <v>9386.4290000000001</v>
      </c>
      <c r="I76" s="32">
        <f t="shared" si="13"/>
        <v>9746.0010000000002</v>
      </c>
      <c r="J76" s="32">
        <f t="shared" si="13"/>
        <v>11165.565000000001</v>
      </c>
      <c r="K76" s="32">
        <f t="shared" si="13"/>
        <v>9459.0380000000005</v>
      </c>
      <c r="L76" s="32">
        <f t="shared" si="13"/>
        <v>5919.7629999999999</v>
      </c>
      <c r="M76" s="32">
        <f t="shared" si="13"/>
        <v>0</v>
      </c>
      <c r="N76" s="32">
        <f t="shared" si="13"/>
        <v>0</v>
      </c>
      <c r="O76" s="32">
        <f t="shared" si="13"/>
        <v>0</v>
      </c>
      <c r="P76" s="32">
        <f t="shared" si="13"/>
        <v>0</v>
      </c>
      <c r="Q76" s="32">
        <f t="shared" si="13"/>
        <v>0</v>
      </c>
      <c r="T76" s="51"/>
    </row>
    <row r="77" spans="1:20" x14ac:dyDescent="0.45">
      <c r="B77" s="34"/>
    </row>
    <row r="78" spans="1:20" ht="28.5" x14ac:dyDescent="0.45">
      <c r="B78" s="34" t="s">
        <v>308</v>
      </c>
      <c r="C78" s="27">
        <f>'GSK Standardized'!C63</f>
        <v>2307.3630000000003</v>
      </c>
      <c r="D78" s="27">
        <f>'GSK Standardized'!D63</f>
        <v>439.49799999999999</v>
      </c>
      <c r="E78" s="27">
        <f>'GSK Standardized'!E63</f>
        <v>-756.82400000000007</v>
      </c>
      <c r="F78" s="27">
        <f>'GSK Standardized'!F63</f>
        <v>-258.87199999999996</v>
      </c>
      <c r="G78" s="27">
        <f>'GSK Standardized'!G63</f>
        <v>310.154</v>
      </c>
      <c r="H78" s="27">
        <f>'GSK Standardized'!H63</f>
        <v>1031.81</v>
      </c>
      <c r="I78" s="27">
        <f>'GSK Standardized'!I63</f>
        <v>376.94899999999996</v>
      </c>
      <c r="J78" s="27">
        <f>'GSK Standardized'!J63</f>
        <v>-1593.07</v>
      </c>
      <c r="K78" s="27">
        <f>'GSK Standardized'!K63</f>
        <v>-984.31100000000015</v>
      </c>
      <c r="L78" s="27">
        <f>'GSK Standardized'!L63</f>
        <v>2469.029</v>
      </c>
      <c r="M78" s="27"/>
      <c r="N78" s="27"/>
      <c r="O78" s="27"/>
      <c r="P78" s="27"/>
      <c r="Q78" s="27"/>
      <c r="T78" s="51"/>
    </row>
    <row r="79" spans="1:20" ht="28.5" x14ac:dyDescent="0.45">
      <c r="B79" s="42" t="s">
        <v>309</v>
      </c>
      <c r="C79" s="32">
        <f t="shared" ref="C79:L79" si="14">SUM(C78,C76)</f>
        <v>4392.9429999999984</v>
      </c>
      <c r="D79" s="32">
        <f t="shared" si="14"/>
        <v>8726.32</v>
      </c>
      <c r="E79" s="32">
        <f t="shared" si="14"/>
        <v>8648.114999999998</v>
      </c>
      <c r="F79" s="32">
        <f t="shared" si="14"/>
        <v>10290.474000000002</v>
      </c>
      <c r="G79" s="32">
        <f t="shared" si="14"/>
        <v>10054.941000000001</v>
      </c>
      <c r="H79" s="32">
        <f t="shared" si="14"/>
        <v>10418.239</v>
      </c>
      <c r="I79" s="32">
        <f t="shared" si="14"/>
        <v>10122.950000000001</v>
      </c>
      <c r="J79" s="32">
        <f t="shared" si="14"/>
        <v>9572.4950000000008</v>
      </c>
      <c r="K79" s="32">
        <f t="shared" si="14"/>
        <v>8474.7270000000008</v>
      </c>
      <c r="L79" s="32">
        <f t="shared" si="14"/>
        <v>8388.7919999999995</v>
      </c>
      <c r="M79" s="32">
        <f>SUM(M76:M78)</f>
        <v>0</v>
      </c>
      <c r="N79" s="32">
        <f>SUM(N76:N78)</f>
        <v>0</v>
      </c>
      <c r="O79" s="32">
        <f>SUM(O76:O78)</f>
        <v>0</v>
      </c>
      <c r="P79" s="32">
        <f>SUM(P76:P78)</f>
        <v>0</v>
      </c>
      <c r="Q79" s="32">
        <f>SUM(Q76:Q78)</f>
        <v>0</v>
      </c>
      <c r="T79" s="51"/>
    </row>
    <row r="80" spans="1:20" x14ac:dyDescent="0.45">
      <c r="B80" s="34"/>
    </row>
    <row r="81" spans="1:18" x14ac:dyDescent="0.45">
      <c r="B81" s="34" t="s">
        <v>310</v>
      </c>
      <c r="C81" s="25">
        <f>'GSK Standardized'!C61</f>
        <v>136.376</v>
      </c>
      <c r="D81" s="25">
        <f>'GSK Standardized'!D61</f>
        <v>85.695999999999998</v>
      </c>
      <c r="E81" s="25">
        <f>'GSK Standardized'!E61</f>
        <v>71.915000000000006</v>
      </c>
      <c r="F81" s="25">
        <f>'GSK Standardized'!F61</f>
        <v>83.653000000000006</v>
      </c>
      <c r="G81" s="25">
        <f>'GSK Standardized'!G61</f>
        <v>90.081999999999994</v>
      </c>
      <c r="H81" s="25">
        <f>'GSK Standardized'!H61</f>
        <v>29.254999999999999</v>
      </c>
      <c r="I81" s="25">
        <f>'GSK Standardized'!I61</f>
        <v>15.125</v>
      </c>
      <c r="J81" s="25">
        <f>'GSK Standardized'!J61</f>
        <v>72.731999999999999</v>
      </c>
      <c r="K81" s="25">
        <f>'GSK Standardized'!K61</f>
        <v>124.18899999999999</v>
      </c>
      <c r="L81" s="25">
        <f>'GSK Standardized'!L61</f>
        <v>144.125</v>
      </c>
      <c r="M81" s="25"/>
      <c r="N81" s="25"/>
      <c r="O81" s="25"/>
      <c r="P81" s="25"/>
      <c r="Q81" s="25"/>
    </row>
    <row r="82" spans="1:18" x14ac:dyDescent="0.45">
      <c r="B82" s="34" t="s">
        <v>311</v>
      </c>
      <c r="C82" s="25">
        <f>'GSK Standardized'!C62</f>
        <v>0</v>
      </c>
      <c r="D82" s="25">
        <f>'GSK Standardized'!D62</f>
        <v>0</v>
      </c>
      <c r="E82" s="25">
        <f>'GSK Standardized'!E62</f>
        <v>0</v>
      </c>
      <c r="F82" s="25">
        <f>'GSK Standardized'!F62</f>
        <v>0</v>
      </c>
      <c r="G82" s="25">
        <f>'GSK Standardized'!G62</f>
        <v>0</v>
      </c>
      <c r="H82" s="25">
        <f>'GSK Standardized'!H62</f>
        <v>0</v>
      </c>
      <c r="I82" s="25">
        <f>'GSK Standardized'!I62</f>
        <v>0</v>
      </c>
      <c r="J82" s="25">
        <f>'GSK Standardized'!J62</f>
        <v>0</v>
      </c>
      <c r="K82" s="25">
        <f>'GSK Standardized'!K62</f>
        <v>0</v>
      </c>
      <c r="L82" s="25">
        <f>'GSK Standardized'!L62</f>
        <v>0</v>
      </c>
      <c r="M82" s="25"/>
      <c r="N82" s="25"/>
      <c r="O82" s="25"/>
      <c r="P82" s="25"/>
      <c r="Q82" s="25"/>
    </row>
    <row r="83" spans="1:18" ht="28.5" x14ac:dyDescent="0.45">
      <c r="B83" s="34" t="s">
        <v>312</v>
      </c>
      <c r="C83" s="27">
        <f>'GSK Standardized'!C64</f>
        <v>8316.15</v>
      </c>
      <c r="D83" s="27">
        <f>'GSK Standardized'!D64</f>
        <v>-1553.5500000000002</v>
      </c>
      <c r="E83" s="27">
        <f>'GSK Standardized'!E64</f>
        <v>-1647.2050000000002</v>
      </c>
      <c r="F83" s="27">
        <f>'GSK Standardized'!F64</f>
        <v>-1755.587</v>
      </c>
      <c r="G83" s="27">
        <f>'GSK Standardized'!G64</f>
        <v>-6105.0320000000002</v>
      </c>
      <c r="H83" s="27">
        <f>'GSK Standardized'!H64</f>
        <v>2431.5609999999997</v>
      </c>
      <c r="I83" s="27">
        <f>'GSK Standardized'!I64</f>
        <v>-2067.404</v>
      </c>
      <c r="J83" s="27">
        <f>'GSK Standardized'!J64</f>
        <v>-10290.431</v>
      </c>
      <c r="K83" s="27">
        <f>'GSK Standardized'!K64</f>
        <v>-1834.0820000000003</v>
      </c>
      <c r="L83" s="27">
        <f>'GSK Standardized'!L64</f>
        <v>-1451.8850000000002</v>
      </c>
      <c r="M83" s="27"/>
      <c r="N83" s="27"/>
      <c r="O83" s="27"/>
      <c r="P83" s="27"/>
      <c r="Q83" s="27"/>
    </row>
    <row r="84" spans="1:18" x14ac:dyDescent="0.45">
      <c r="B84" s="42" t="s">
        <v>313</v>
      </c>
      <c r="C84" s="32">
        <f t="shared" ref="C84:L84" si="15">SUM(C81:C83,C79)</f>
        <v>12845.468999999997</v>
      </c>
      <c r="D84" s="32">
        <f t="shared" si="15"/>
        <v>7258.4659999999994</v>
      </c>
      <c r="E84" s="32">
        <f t="shared" si="15"/>
        <v>7072.824999999998</v>
      </c>
      <c r="F84" s="32">
        <f t="shared" si="15"/>
        <v>8618.5400000000027</v>
      </c>
      <c r="G84" s="32">
        <f t="shared" si="15"/>
        <v>4039.9910000000009</v>
      </c>
      <c r="H84" s="32">
        <f t="shared" si="15"/>
        <v>12879.055</v>
      </c>
      <c r="I84" s="32">
        <f t="shared" si="15"/>
        <v>8070.6710000000003</v>
      </c>
      <c r="J84" s="32">
        <f t="shared" si="15"/>
        <v>-645.20399999999972</v>
      </c>
      <c r="K84" s="32">
        <f t="shared" si="15"/>
        <v>6764.8340000000007</v>
      </c>
      <c r="L84" s="32">
        <f t="shared" si="15"/>
        <v>7081.0319999999992</v>
      </c>
      <c r="M84" s="32">
        <f>SUM(M79:M83)</f>
        <v>0</v>
      </c>
      <c r="N84" s="32">
        <f>SUM(N79:N83)</f>
        <v>0</v>
      </c>
      <c r="O84" s="32">
        <f>SUM(O79:O83)</f>
        <v>0</v>
      </c>
      <c r="P84" s="32">
        <f>SUM(P79:P83)</f>
        <v>0</v>
      </c>
      <c r="Q84" s="32">
        <f>SUM(Q79:Q83)</f>
        <v>0</v>
      </c>
    </row>
    <row r="85" spans="1:18" x14ac:dyDescent="0.45">
      <c r="B85" s="42"/>
      <c r="C85" s="32"/>
      <c r="D85" s="32"/>
      <c r="E85" s="32"/>
      <c r="F85" s="32"/>
      <c r="G85" s="32"/>
      <c r="H85" s="32"/>
      <c r="I85" s="32"/>
      <c r="J85" s="32"/>
      <c r="K85" s="32"/>
      <c r="L85" s="32"/>
      <c r="M85" s="32"/>
      <c r="N85" s="32"/>
      <c r="O85" s="32"/>
      <c r="P85" s="32"/>
      <c r="Q85" s="32"/>
    </row>
    <row r="86" spans="1:18" x14ac:dyDescent="0.45">
      <c r="B86" s="34" t="s">
        <v>314</v>
      </c>
      <c r="C86" s="25">
        <f>'GSK Standardized'!C68</f>
        <v>-990.44399999999996</v>
      </c>
      <c r="D86" s="25">
        <f>'GSK Standardized'!D68</f>
        <v>-858.18600000000004</v>
      </c>
      <c r="E86" s="25">
        <f>'GSK Standardized'!E68</f>
        <v>-823.03200000000004</v>
      </c>
      <c r="F86" s="25">
        <f>'GSK Standardized'!F68</f>
        <v>-854.61900000000003</v>
      </c>
      <c r="G86" s="25">
        <f>'GSK Standardized'!G68</f>
        <v>-1000.021</v>
      </c>
      <c r="H86" s="25">
        <f>'GSK Standardized'!H68</f>
        <v>-949.67</v>
      </c>
      <c r="I86" s="25">
        <f>'GSK Standardized'!I68</f>
        <v>-886.529</v>
      </c>
      <c r="J86" s="25">
        <f>'GSK Standardized'!J68</f>
        <v>-960.76900000000001</v>
      </c>
      <c r="K86" s="25">
        <f>'GSK Standardized'!K68</f>
        <v>-816.42600000000004</v>
      </c>
      <c r="L86" s="25">
        <f>'GSK Standardized'!L68</f>
        <v>-790.32600000000002</v>
      </c>
      <c r="M86" s="25"/>
      <c r="N86" s="25"/>
      <c r="O86" s="25"/>
      <c r="P86" s="25"/>
      <c r="Q86" s="25"/>
    </row>
    <row r="87" spans="1:18" x14ac:dyDescent="0.45">
      <c r="B87" s="34" t="s">
        <v>315</v>
      </c>
      <c r="C87" s="27">
        <f>'GSK Standardized'!C67</f>
        <v>-4412.2290000000003</v>
      </c>
      <c r="D87" s="27">
        <f>'GSK Standardized'!D67</f>
        <v>-1906.1279999999999</v>
      </c>
      <c r="E87" s="27">
        <f>'GSK Standardized'!E67</f>
        <v>-2813.8340000000003</v>
      </c>
      <c r="F87" s="27">
        <f>'GSK Standardized'!F67</f>
        <v>-2866.8180000000011</v>
      </c>
      <c r="G87" s="27">
        <f>'GSK Standardized'!G67</f>
        <v>2351.2460000000005</v>
      </c>
      <c r="H87" s="27">
        <f>'GSK Standardized'!H67</f>
        <v>-6958.2450000000008</v>
      </c>
      <c r="I87" s="27">
        <f>'GSK Standardized'!I67</f>
        <v>-4201.1239999999998</v>
      </c>
      <c r="J87" s="27">
        <f>'GSK Standardized'!J67</f>
        <v>5003.2709999999997</v>
      </c>
      <c r="K87" s="27">
        <f>'GSK Standardized'!K67</f>
        <v>-3914.2419999999997</v>
      </c>
      <c r="L87" s="27">
        <f>'GSK Standardized'!L67</f>
        <v>-2719.4769999999999</v>
      </c>
      <c r="M87" s="27"/>
      <c r="N87" s="27"/>
      <c r="O87" s="27"/>
      <c r="P87" s="27"/>
      <c r="Q87" s="27"/>
    </row>
    <row r="88" spans="1:18" x14ac:dyDescent="0.45">
      <c r="B88" s="42" t="s">
        <v>316</v>
      </c>
      <c r="C88" s="32">
        <f t="shared" ref="C88:L88" si="16">SUM(C86:C87,C84)</f>
        <v>7442.7959999999966</v>
      </c>
      <c r="D88" s="32">
        <f t="shared" si="16"/>
        <v>4494.152</v>
      </c>
      <c r="E88" s="32">
        <f t="shared" si="16"/>
        <v>3435.9589999999976</v>
      </c>
      <c r="F88" s="32">
        <f t="shared" si="16"/>
        <v>4897.103000000001</v>
      </c>
      <c r="G88" s="32">
        <f t="shared" si="16"/>
        <v>5391.2160000000013</v>
      </c>
      <c r="H88" s="32">
        <f t="shared" si="16"/>
        <v>4971.1399999999994</v>
      </c>
      <c r="I88" s="32">
        <f t="shared" si="16"/>
        <v>2983.018</v>
      </c>
      <c r="J88" s="32">
        <f t="shared" si="16"/>
        <v>3397.2979999999998</v>
      </c>
      <c r="K88" s="32">
        <f t="shared" si="16"/>
        <v>2034.1660000000011</v>
      </c>
      <c r="L88" s="32">
        <f t="shared" si="16"/>
        <v>3571.2289999999994</v>
      </c>
      <c r="M88" s="32">
        <f>SUM(M84:M87)</f>
        <v>0</v>
      </c>
      <c r="N88" s="32">
        <f>SUM(N84:N87)</f>
        <v>0</v>
      </c>
      <c r="O88" s="32">
        <f>SUM(O84:O87)</f>
        <v>0</v>
      </c>
      <c r="P88" s="32">
        <f>SUM(P84:P87)</f>
        <v>0</v>
      </c>
      <c r="Q88" s="32">
        <f>SUM(Q84:Q87)</f>
        <v>0</v>
      </c>
    </row>
    <row r="89" spans="1:18" x14ac:dyDescent="0.45">
      <c r="B89" s="34"/>
    </row>
    <row r="90" spans="1:18" x14ac:dyDescent="0.45">
      <c r="B90" s="34" t="s">
        <v>317</v>
      </c>
      <c r="C90" s="25">
        <f>'GSK Standardized'!C69</f>
        <v>0</v>
      </c>
      <c r="D90" s="25">
        <f>'GSK Standardized'!D69</f>
        <v>-1186.28</v>
      </c>
      <c r="E90" s="25">
        <f>'GSK Standardized'!E69</f>
        <v>0</v>
      </c>
      <c r="F90" s="25">
        <f>'GSK Standardized'!F69</f>
        <v>0</v>
      </c>
      <c r="G90" s="25">
        <f>'GSK Standardized'!G69</f>
        <v>0</v>
      </c>
      <c r="H90" s="25">
        <f>'GSK Standardized'!H69</f>
        <v>0</v>
      </c>
      <c r="I90" s="25">
        <f>'GSK Standardized'!I69</f>
        <v>0</v>
      </c>
      <c r="J90" s="25">
        <f>'GSK Standardized'!J69</f>
        <v>0</v>
      </c>
      <c r="K90" s="25">
        <f>'GSK Standardized'!K69</f>
        <v>0</v>
      </c>
      <c r="L90" s="25">
        <f>'GSK Standardized'!L69</f>
        <v>0</v>
      </c>
      <c r="M90" s="25"/>
      <c r="N90" s="25"/>
      <c r="O90" s="25"/>
      <c r="P90" s="25"/>
      <c r="Q90" s="25"/>
    </row>
    <row r="91" spans="1:18" x14ac:dyDescent="0.45">
      <c r="B91" s="34" t="s">
        <v>318</v>
      </c>
      <c r="C91" s="25">
        <f>'GSK Standardized'!C70</f>
        <v>-5372.3679999999995</v>
      </c>
      <c r="D91" s="25">
        <f>'GSK Standardized'!D70</f>
        <v>-4732.8780000000006</v>
      </c>
      <c r="E91" s="25">
        <f>'GSK Standardized'!E70</f>
        <v>-4469.0290000000005</v>
      </c>
      <c r="F91" s="25">
        <f>'GSK Standardized'!F70</f>
        <v>-4355.6179999999995</v>
      </c>
      <c r="G91" s="25">
        <f>'GSK Standardized'!G70</f>
        <v>-4449.3519999999999</v>
      </c>
      <c r="H91" s="25">
        <f>'GSK Standardized'!H70</f>
        <v>-4442.2950000000001</v>
      </c>
      <c r="I91" s="25">
        <f>'GSK Standardized'!I70</f>
        <v>-4628.1010000000006</v>
      </c>
      <c r="J91" s="25">
        <f>'GSK Standardized'!J70</f>
        <v>-4037.81</v>
      </c>
      <c r="K91" s="25">
        <f>'GSK Standardized'!K70</f>
        <v>-2572.3160000000003</v>
      </c>
      <c r="L91" s="25">
        <f>'GSK Standardized'!L70</f>
        <v>-2863.6019999999999</v>
      </c>
      <c r="M91" s="25"/>
      <c r="N91" s="25"/>
      <c r="O91" s="25"/>
      <c r="P91" s="25"/>
      <c r="Q91" s="25"/>
    </row>
    <row r="92" spans="1:18" x14ac:dyDescent="0.45">
      <c r="B92" s="31" t="s">
        <v>319</v>
      </c>
      <c r="C92" s="25">
        <f>'GSK Standardized'!C71</f>
        <v>-61.988999999999997</v>
      </c>
      <c r="D92" s="25">
        <f>'GSK Standardized'!D71</f>
        <v>346.45699999999999</v>
      </c>
      <c r="E92" s="25">
        <f>'GSK Standardized'!E71</f>
        <v>-114.151</v>
      </c>
      <c r="F92" s="25">
        <f>'GSK Standardized'!F71</f>
        <v>9.0440000000000005</v>
      </c>
      <c r="G92" s="25">
        <f>'GSK Standardized'!G71</f>
        <v>-93.503</v>
      </c>
      <c r="H92" s="25">
        <f>'GSK Standardized'!H71</f>
        <v>-43.883000000000003</v>
      </c>
      <c r="I92" s="25">
        <f>'GSK Standardized'!I71</f>
        <v>-33.738999999999997</v>
      </c>
      <c r="J92" s="25">
        <f>'GSK Standardized'!J71</f>
        <v>178.31100000000001</v>
      </c>
      <c r="K92" s="25">
        <f>'GSK Standardized'!K71</f>
        <v>-113.84</v>
      </c>
      <c r="L92" s="25">
        <f>'GSK Standardized'!L71</f>
        <v>-63.792999999999999</v>
      </c>
      <c r="M92" s="25"/>
      <c r="N92" s="25"/>
      <c r="O92" s="25"/>
      <c r="P92" s="25"/>
      <c r="Q92" s="25"/>
    </row>
    <row r="93" spans="1:18" ht="14.65" thickBot="1" x14ac:dyDescent="0.5">
      <c r="B93" s="52" t="s">
        <v>320</v>
      </c>
      <c r="C93" s="72">
        <f t="shared" ref="C93:L93" si="17">SUM(C88,C92)</f>
        <v>7380.8069999999971</v>
      </c>
      <c r="D93" s="72">
        <f t="shared" si="17"/>
        <v>4840.6090000000004</v>
      </c>
      <c r="E93" s="72">
        <f t="shared" si="17"/>
        <v>3321.8079999999977</v>
      </c>
      <c r="F93" s="72">
        <f t="shared" si="17"/>
        <v>4906.1470000000008</v>
      </c>
      <c r="G93" s="72">
        <f t="shared" si="17"/>
        <v>5297.7130000000016</v>
      </c>
      <c r="H93" s="72">
        <f t="shared" si="17"/>
        <v>4927.2569999999996</v>
      </c>
      <c r="I93" s="72">
        <f t="shared" si="17"/>
        <v>2949.279</v>
      </c>
      <c r="J93" s="72">
        <f t="shared" si="17"/>
        <v>3575.6089999999999</v>
      </c>
      <c r="K93" s="72">
        <f t="shared" si="17"/>
        <v>1920.3260000000012</v>
      </c>
      <c r="L93" s="72">
        <f t="shared" si="17"/>
        <v>3507.4359999999992</v>
      </c>
      <c r="M93" s="72">
        <f>SUM(M88:M91)</f>
        <v>0</v>
      </c>
      <c r="N93" s="72">
        <f>SUM(N88:N91)</f>
        <v>0</v>
      </c>
      <c r="O93" s="72">
        <f>SUM(O88:O91)</f>
        <v>0</v>
      </c>
      <c r="P93" s="72">
        <f>SUM(P88:P91)</f>
        <v>0</v>
      </c>
      <c r="Q93" s="72">
        <f>SUM(Q88:Q91)</f>
        <v>0</v>
      </c>
    </row>
    <row r="94" spans="1:18" ht="15" thickTop="1" thickBot="1" x14ac:dyDescent="0.5">
      <c r="B94" s="34"/>
    </row>
    <row r="95" spans="1:18" ht="14.65" thickTop="1" x14ac:dyDescent="0.45">
      <c r="A95" s="24" t="s">
        <v>14</v>
      </c>
      <c r="B95" s="57" t="s">
        <v>321</v>
      </c>
      <c r="C95" s="58"/>
      <c r="D95" s="58"/>
      <c r="E95" s="58"/>
      <c r="F95" s="58"/>
      <c r="G95" s="58"/>
      <c r="H95" s="58"/>
      <c r="I95" s="58"/>
      <c r="J95" s="58"/>
      <c r="K95" s="58"/>
      <c r="L95" s="58"/>
      <c r="M95" s="58"/>
      <c r="N95" s="58"/>
      <c r="O95" s="58"/>
      <c r="P95" s="58"/>
      <c r="Q95" s="58"/>
    </row>
    <row r="96" spans="1:18" x14ac:dyDescent="0.45">
      <c r="B96" s="42" t="s">
        <v>96</v>
      </c>
      <c r="C96" s="32">
        <f t="shared" ref="C96:R96" si="18">C9</f>
        <v>32954.658000000003</v>
      </c>
      <c r="D96" s="32">
        <f t="shared" si="18"/>
        <v>34142.589999999997</v>
      </c>
      <c r="E96" s="32">
        <f t="shared" si="18"/>
        <v>34457.760999999999</v>
      </c>
      <c r="F96" s="32">
        <f t="shared" si="18"/>
        <v>34841.553</v>
      </c>
      <c r="G96" s="32">
        <f t="shared" si="18"/>
        <v>38488.834000000003</v>
      </c>
      <c r="H96" s="32">
        <f t="shared" si="18"/>
        <v>27403.152999999998</v>
      </c>
      <c r="I96" s="32">
        <f t="shared" si="18"/>
        <v>28731.919999999998</v>
      </c>
      <c r="J96" s="32">
        <f t="shared" si="18"/>
        <v>34399.976999999999</v>
      </c>
      <c r="K96" s="32">
        <f t="shared" si="18"/>
        <v>34874.021000000001</v>
      </c>
      <c r="L96" s="32">
        <f t="shared" si="18"/>
        <v>37066.156000000003</v>
      </c>
      <c r="M96" s="32">
        <f t="shared" si="18"/>
        <v>0</v>
      </c>
      <c r="N96" s="32">
        <f t="shared" si="18"/>
        <v>0</v>
      </c>
      <c r="O96" s="32">
        <f t="shared" si="18"/>
        <v>0</v>
      </c>
      <c r="P96" s="32">
        <f t="shared" si="18"/>
        <v>0</v>
      </c>
      <c r="Q96" s="32">
        <f t="shared" si="18"/>
        <v>0</v>
      </c>
      <c r="R96" s="24">
        <f t="shared" si="18"/>
        <v>0</v>
      </c>
    </row>
    <row r="97" spans="2:18" x14ac:dyDescent="0.45">
      <c r="B97" s="42" t="s">
        <v>322</v>
      </c>
      <c r="C97" s="32">
        <f t="shared" ref="C97:R97" si="19">C101</f>
        <v>11519.625000000005</v>
      </c>
      <c r="D97" s="32">
        <f t="shared" si="19"/>
        <v>1315.5225899999966</v>
      </c>
      <c r="E97" s="32">
        <f t="shared" si="19"/>
        <v>2518.1353799999979</v>
      </c>
      <c r="F97" s="32">
        <f t="shared" si="19"/>
        <v>4599.0256199999967</v>
      </c>
      <c r="G97" s="32">
        <f t="shared" si="19"/>
        <v>6035.0519800000075</v>
      </c>
      <c r="H97" s="32">
        <f t="shared" si="19"/>
        <v>5783.3216599999969</v>
      </c>
      <c r="I97" s="32">
        <f t="shared" si="19"/>
        <v>4127.665680000001</v>
      </c>
      <c r="J97" s="32">
        <f t="shared" si="19"/>
        <v>5800.942210000002</v>
      </c>
      <c r="K97" s="32">
        <f t="shared" si="19"/>
        <v>6142.4884300000031</v>
      </c>
      <c r="L97" s="32">
        <f t="shared" si="19"/>
        <v>3516.5830600000022</v>
      </c>
      <c r="M97" s="32">
        <f t="shared" si="19"/>
        <v>0</v>
      </c>
      <c r="N97" s="32">
        <f t="shared" si="19"/>
        <v>0</v>
      </c>
      <c r="O97" s="32">
        <f t="shared" si="19"/>
        <v>0</v>
      </c>
      <c r="P97" s="32">
        <f t="shared" si="19"/>
        <v>0</v>
      </c>
      <c r="Q97" s="32">
        <f t="shared" si="19"/>
        <v>0</v>
      </c>
      <c r="R97" s="24">
        <f t="shared" si="19"/>
        <v>0</v>
      </c>
    </row>
    <row r="98" spans="2:18" x14ac:dyDescent="0.45">
      <c r="B98" s="47" t="s">
        <v>323</v>
      </c>
      <c r="C98" s="24">
        <f t="shared" ref="C98:R98" si="20">C18</f>
        <v>11532.684000000005</v>
      </c>
      <c r="D98" s="24">
        <f t="shared" si="20"/>
        <v>1300.1339999999966</v>
      </c>
      <c r="E98" s="24">
        <f t="shared" si="20"/>
        <v>2475.9449999999979</v>
      </c>
      <c r="F98" s="24">
        <f t="shared" si="20"/>
        <v>4573.7939999999962</v>
      </c>
      <c r="G98" s="24">
        <f t="shared" si="20"/>
        <v>6006.9670000000078</v>
      </c>
      <c r="H98" s="24">
        <f t="shared" si="20"/>
        <v>5741.9029999999966</v>
      </c>
      <c r="I98" s="24">
        <f t="shared" si="20"/>
        <v>4090.5990000000006</v>
      </c>
      <c r="J98" s="24">
        <f t="shared" si="20"/>
        <v>5772.8230000000012</v>
      </c>
      <c r="K98" s="24">
        <f t="shared" si="20"/>
        <v>6103.6450000000032</v>
      </c>
      <c r="L98" s="24">
        <f t="shared" si="20"/>
        <v>3486.175000000002</v>
      </c>
      <c r="M98" s="24">
        <f t="shared" si="20"/>
        <v>0</v>
      </c>
      <c r="N98" s="24">
        <f t="shared" si="20"/>
        <v>0</v>
      </c>
      <c r="O98" s="24">
        <f t="shared" si="20"/>
        <v>0</v>
      </c>
      <c r="P98" s="24">
        <f t="shared" si="20"/>
        <v>0</v>
      </c>
      <c r="Q98" s="24">
        <f t="shared" si="20"/>
        <v>0</v>
      </c>
      <c r="R98" s="24">
        <f t="shared" si="20"/>
        <v>0</v>
      </c>
    </row>
    <row r="99" spans="2:18" x14ac:dyDescent="0.45">
      <c r="B99" s="59" t="s">
        <v>324</v>
      </c>
      <c r="C99" s="24">
        <f t="shared" ref="C99:R99" si="21">-C106</f>
        <v>-42.772320000000001</v>
      </c>
      <c r="D99" s="24">
        <f t="shared" si="21"/>
        <v>-10.356989999999998</v>
      </c>
      <c r="E99" s="24">
        <f t="shared" si="21"/>
        <v>17.499419999999997</v>
      </c>
      <c r="F99" s="24">
        <f t="shared" si="21"/>
        <v>-0.40694999999999992</v>
      </c>
      <c r="G99" s="24">
        <f t="shared" si="21"/>
        <v>-1.9156499999999996</v>
      </c>
      <c r="H99" s="24">
        <f t="shared" si="21"/>
        <v>12.928559999999999</v>
      </c>
      <c r="I99" s="24">
        <f t="shared" si="21"/>
        <v>10.47081</v>
      </c>
      <c r="J99" s="24">
        <f t="shared" si="21"/>
        <v>-0.70386000000000049</v>
      </c>
      <c r="K99" s="24">
        <f t="shared" si="21"/>
        <v>14.35065</v>
      </c>
      <c r="L99" s="24">
        <f t="shared" si="21"/>
        <v>6.6982800000000005</v>
      </c>
      <c r="M99" s="24">
        <f t="shared" si="21"/>
        <v>0</v>
      </c>
      <c r="N99" s="24">
        <f t="shared" si="21"/>
        <v>0</v>
      </c>
      <c r="O99" s="24">
        <f t="shared" si="21"/>
        <v>0</v>
      </c>
      <c r="P99" s="24">
        <f t="shared" si="21"/>
        <v>0</v>
      </c>
      <c r="Q99" s="24">
        <f t="shared" si="21"/>
        <v>0</v>
      </c>
      <c r="R99" s="24">
        <f t="shared" si="21"/>
        <v>0</v>
      </c>
    </row>
    <row r="100" spans="2:18" x14ac:dyDescent="0.45">
      <c r="B100" s="59" t="s">
        <v>325</v>
      </c>
      <c r="C100" s="27">
        <f t="shared" ref="C100:R100" si="22">C110</f>
        <v>29.713319999999996</v>
      </c>
      <c r="D100" s="27">
        <f t="shared" si="22"/>
        <v>25.74558</v>
      </c>
      <c r="E100" s="27">
        <f t="shared" si="22"/>
        <v>24.69096</v>
      </c>
      <c r="F100" s="27">
        <f t="shared" si="22"/>
        <v>25.638570000000001</v>
      </c>
      <c r="G100" s="27">
        <f t="shared" si="22"/>
        <v>30.000629999999997</v>
      </c>
      <c r="H100" s="27">
        <f t="shared" si="22"/>
        <v>28.490099999999998</v>
      </c>
      <c r="I100" s="27">
        <f t="shared" si="22"/>
        <v>26.595869999999998</v>
      </c>
      <c r="J100" s="27">
        <f t="shared" si="22"/>
        <v>28.823069999999998</v>
      </c>
      <c r="K100" s="27">
        <f t="shared" si="22"/>
        <v>24.49278</v>
      </c>
      <c r="L100" s="27">
        <f t="shared" si="22"/>
        <v>23.709779999999999</v>
      </c>
      <c r="M100" s="27">
        <f t="shared" si="22"/>
        <v>0</v>
      </c>
      <c r="N100" s="27">
        <f t="shared" si="22"/>
        <v>0</v>
      </c>
      <c r="O100" s="27">
        <f t="shared" si="22"/>
        <v>0</v>
      </c>
      <c r="P100" s="27">
        <f t="shared" si="22"/>
        <v>0</v>
      </c>
      <c r="Q100" s="27">
        <f t="shared" si="22"/>
        <v>0</v>
      </c>
      <c r="R100" s="24">
        <f t="shared" si="22"/>
        <v>0</v>
      </c>
    </row>
    <row r="101" spans="2:18" x14ac:dyDescent="0.45">
      <c r="B101" s="60" t="s">
        <v>326</v>
      </c>
      <c r="C101" s="32">
        <f t="shared" ref="C101:R101" si="23">SUM(C98:C100)</f>
        <v>11519.625000000005</v>
      </c>
      <c r="D101" s="32">
        <f t="shared" si="23"/>
        <v>1315.5225899999966</v>
      </c>
      <c r="E101" s="32">
        <f t="shared" si="23"/>
        <v>2518.1353799999979</v>
      </c>
      <c r="F101" s="32">
        <f t="shared" si="23"/>
        <v>4599.0256199999967</v>
      </c>
      <c r="G101" s="32">
        <f t="shared" si="23"/>
        <v>6035.0519800000075</v>
      </c>
      <c r="H101" s="32">
        <f t="shared" si="23"/>
        <v>5783.3216599999969</v>
      </c>
      <c r="I101" s="32">
        <f t="shared" si="23"/>
        <v>4127.665680000001</v>
      </c>
      <c r="J101" s="32">
        <f t="shared" si="23"/>
        <v>5800.942210000002</v>
      </c>
      <c r="K101" s="32">
        <f t="shared" si="23"/>
        <v>6142.4884300000031</v>
      </c>
      <c r="L101" s="32">
        <f t="shared" si="23"/>
        <v>3516.5830600000022</v>
      </c>
      <c r="M101" s="32">
        <f t="shared" si="23"/>
        <v>0</v>
      </c>
      <c r="N101" s="32">
        <f t="shared" si="23"/>
        <v>0</v>
      </c>
      <c r="O101" s="32">
        <f t="shared" si="23"/>
        <v>0</v>
      </c>
      <c r="P101" s="32">
        <f t="shared" si="23"/>
        <v>0</v>
      </c>
      <c r="Q101" s="32">
        <f t="shared" si="23"/>
        <v>0</v>
      </c>
      <c r="R101" s="24">
        <f t="shared" si="23"/>
        <v>0</v>
      </c>
    </row>
    <row r="102" spans="2:18" x14ac:dyDescent="0.45">
      <c r="B102" s="42" t="s">
        <v>327</v>
      </c>
      <c r="C102" s="28">
        <f t="shared" ref="C102:R102" si="24">C105</f>
        <v>-316.68041999999997</v>
      </c>
      <c r="D102" s="28">
        <f t="shared" si="24"/>
        <v>107.60991</v>
      </c>
      <c r="E102" s="28">
        <f t="shared" si="24"/>
        <v>67.258050000000011</v>
      </c>
      <c r="F102" s="28">
        <f t="shared" si="24"/>
        <v>66.165149999999997</v>
      </c>
      <c r="G102" s="28">
        <f t="shared" si="24"/>
        <v>39.64734</v>
      </c>
      <c r="H102" s="28">
        <f t="shared" si="24"/>
        <v>-11.713349999999991</v>
      </c>
      <c r="I102" s="28">
        <f t="shared" si="24"/>
        <v>33.960359999999994</v>
      </c>
      <c r="J102" s="28">
        <f t="shared" si="24"/>
        <v>31.497750000000003</v>
      </c>
      <c r="K102" s="28">
        <f t="shared" si="24"/>
        <v>41.844660000000005</v>
      </c>
      <c r="L102" s="28">
        <f t="shared" si="24"/>
        <v>79.174320000000009</v>
      </c>
      <c r="M102" s="28">
        <f t="shared" si="24"/>
        <v>0</v>
      </c>
      <c r="N102" s="28">
        <f t="shared" si="24"/>
        <v>0</v>
      </c>
      <c r="O102" s="28">
        <f t="shared" si="24"/>
        <v>0</v>
      </c>
      <c r="P102" s="28">
        <f t="shared" si="24"/>
        <v>0</v>
      </c>
      <c r="Q102" s="28">
        <f t="shared" si="24"/>
        <v>0</v>
      </c>
      <c r="R102" s="24">
        <f t="shared" si="24"/>
        <v>0</v>
      </c>
    </row>
    <row r="103" spans="2:18" x14ac:dyDescent="0.45">
      <c r="B103" s="47" t="s">
        <v>328</v>
      </c>
      <c r="C103" s="24">
        <f t="shared" ref="C103:R103" si="25">-C13</f>
        <v>-10556.013999999999</v>
      </c>
      <c r="D103" s="24">
        <f t="shared" si="25"/>
        <v>3586.9970000000003</v>
      </c>
      <c r="E103" s="24">
        <f t="shared" si="25"/>
        <v>2241.9350000000004</v>
      </c>
      <c r="F103" s="24">
        <f t="shared" si="25"/>
        <v>2205.5050000000001</v>
      </c>
      <c r="G103" s="24">
        <f t="shared" si="25"/>
        <v>1321.578</v>
      </c>
      <c r="H103" s="24">
        <f t="shared" si="25"/>
        <v>-390.44499999999971</v>
      </c>
      <c r="I103" s="24">
        <f t="shared" si="25"/>
        <v>1132.0119999999999</v>
      </c>
      <c r="J103" s="24">
        <f t="shared" si="25"/>
        <v>1049.9250000000002</v>
      </c>
      <c r="K103" s="24">
        <f t="shared" si="25"/>
        <v>1394.8220000000001</v>
      </c>
      <c r="L103" s="24">
        <f t="shared" si="25"/>
        <v>2639.1440000000002</v>
      </c>
      <c r="M103" s="24">
        <f t="shared" si="25"/>
        <v>0</v>
      </c>
      <c r="N103" s="24">
        <f t="shared" si="25"/>
        <v>0</v>
      </c>
      <c r="O103" s="24">
        <f t="shared" si="25"/>
        <v>0</v>
      </c>
      <c r="P103" s="24">
        <f t="shared" si="25"/>
        <v>0</v>
      </c>
      <c r="Q103" s="24">
        <f t="shared" si="25"/>
        <v>0</v>
      </c>
      <c r="R103" s="24">
        <f t="shared" si="25"/>
        <v>0</v>
      </c>
    </row>
    <row r="104" spans="2:18" x14ac:dyDescent="0.45">
      <c r="B104" s="47" t="s">
        <v>329</v>
      </c>
      <c r="C104" s="68">
        <f t="shared" ref="C104:L104" si="26">$C$4</f>
        <v>0.03</v>
      </c>
      <c r="D104" s="68">
        <f t="shared" si="26"/>
        <v>0.03</v>
      </c>
      <c r="E104" s="68">
        <f t="shared" si="26"/>
        <v>0.03</v>
      </c>
      <c r="F104" s="68">
        <f t="shared" si="26"/>
        <v>0.03</v>
      </c>
      <c r="G104" s="68">
        <f t="shared" si="26"/>
        <v>0.03</v>
      </c>
      <c r="H104" s="68">
        <f t="shared" si="26"/>
        <v>0.03</v>
      </c>
      <c r="I104" s="68">
        <f t="shared" si="26"/>
        <v>0.03</v>
      </c>
      <c r="J104" s="68">
        <f t="shared" si="26"/>
        <v>0.03</v>
      </c>
      <c r="K104" s="68">
        <f t="shared" si="26"/>
        <v>0.03</v>
      </c>
      <c r="L104" s="68">
        <f t="shared" si="26"/>
        <v>0.03</v>
      </c>
      <c r="M104" s="27"/>
      <c r="N104" s="27"/>
      <c r="O104" s="27"/>
      <c r="P104" s="27"/>
      <c r="Q104" s="27"/>
    </row>
    <row r="105" spans="2:18" x14ac:dyDescent="0.45">
      <c r="B105" s="60" t="s">
        <v>330</v>
      </c>
      <c r="C105" s="32">
        <f t="shared" ref="C105:R105" si="27">C104*C103</f>
        <v>-316.68041999999997</v>
      </c>
      <c r="D105" s="32">
        <f t="shared" si="27"/>
        <v>107.60991</v>
      </c>
      <c r="E105" s="32">
        <f t="shared" si="27"/>
        <v>67.258050000000011</v>
      </c>
      <c r="F105" s="32">
        <f t="shared" si="27"/>
        <v>66.165149999999997</v>
      </c>
      <c r="G105" s="32">
        <f t="shared" si="27"/>
        <v>39.64734</v>
      </c>
      <c r="H105" s="32">
        <f t="shared" si="27"/>
        <v>-11.713349999999991</v>
      </c>
      <c r="I105" s="32">
        <f t="shared" si="27"/>
        <v>33.960359999999994</v>
      </c>
      <c r="J105" s="32">
        <f t="shared" si="27"/>
        <v>31.497750000000003</v>
      </c>
      <c r="K105" s="32">
        <f t="shared" si="27"/>
        <v>41.844660000000005</v>
      </c>
      <c r="L105" s="32">
        <f t="shared" si="27"/>
        <v>79.174320000000009</v>
      </c>
      <c r="M105" s="32">
        <f t="shared" si="27"/>
        <v>0</v>
      </c>
      <c r="N105" s="32">
        <f t="shared" si="27"/>
        <v>0</v>
      </c>
      <c r="O105" s="32">
        <f t="shared" si="27"/>
        <v>0</v>
      </c>
      <c r="P105" s="32">
        <f t="shared" si="27"/>
        <v>0</v>
      </c>
      <c r="Q105" s="32">
        <f t="shared" si="27"/>
        <v>0</v>
      </c>
      <c r="R105" s="24">
        <f t="shared" si="27"/>
        <v>0</v>
      </c>
    </row>
    <row r="106" spans="2:18" x14ac:dyDescent="0.45">
      <c r="B106" s="61" t="s">
        <v>331</v>
      </c>
      <c r="C106" s="28">
        <f t="shared" ref="C106:R106" si="28">C109</f>
        <v>42.772320000000001</v>
      </c>
      <c r="D106" s="28">
        <f t="shared" si="28"/>
        <v>10.356989999999998</v>
      </c>
      <c r="E106" s="28">
        <f t="shared" si="28"/>
        <v>-17.499419999999997</v>
      </c>
      <c r="F106" s="28">
        <f t="shared" si="28"/>
        <v>0.40694999999999992</v>
      </c>
      <c r="G106" s="28">
        <f t="shared" si="28"/>
        <v>1.9156499999999996</v>
      </c>
      <c r="H106" s="28">
        <f t="shared" si="28"/>
        <v>-12.928559999999999</v>
      </c>
      <c r="I106" s="28">
        <f t="shared" si="28"/>
        <v>-10.47081</v>
      </c>
      <c r="J106" s="28">
        <f t="shared" si="28"/>
        <v>0.70386000000000049</v>
      </c>
      <c r="K106" s="28">
        <f t="shared" si="28"/>
        <v>-14.35065</v>
      </c>
      <c r="L106" s="28">
        <f t="shared" si="28"/>
        <v>-6.6982800000000005</v>
      </c>
      <c r="M106" s="28">
        <f t="shared" si="28"/>
        <v>0</v>
      </c>
      <c r="N106" s="28">
        <f t="shared" si="28"/>
        <v>0</v>
      </c>
      <c r="O106" s="28">
        <f t="shared" si="28"/>
        <v>0</v>
      </c>
      <c r="P106" s="28">
        <f t="shared" si="28"/>
        <v>0</v>
      </c>
      <c r="Q106" s="28">
        <f t="shared" si="28"/>
        <v>0</v>
      </c>
      <c r="R106" s="24">
        <f t="shared" si="28"/>
        <v>0</v>
      </c>
    </row>
    <row r="107" spans="2:18" x14ac:dyDescent="0.45">
      <c r="B107" s="47" t="s">
        <v>332</v>
      </c>
      <c r="C107" s="24">
        <f t="shared" ref="C107:R107" si="29">C12+C14</f>
        <v>1425.7440000000001</v>
      </c>
      <c r="D107" s="24">
        <f t="shared" si="29"/>
        <v>345.23299999999995</v>
      </c>
      <c r="E107" s="24">
        <f t="shared" si="29"/>
        <v>-583.31399999999996</v>
      </c>
      <c r="F107" s="24">
        <f t="shared" si="29"/>
        <v>13.564999999999998</v>
      </c>
      <c r="G107" s="24">
        <f t="shared" si="29"/>
        <v>63.85499999999999</v>
      </c>
      <c r="H107" s="24">
        <f t="shared" si="29"/>
        <v>-430.952</v>
      </c>
      <c r="I107" s="24">
        <f t="shared" si="29"/>
        <v>-349.02700000000004</v>
      </c>
      <c r="J107" s="24">
        <f t="shared" si="29"/>
        <v>23.462000000000018</v>
      </c>
      <c r="K107" s="24">
        <f t="shared" si="29"/>
        <v>-478.35500000000002</v>
      </c>
      <c r="L107" s="24">
        <f t="shared" si="29"/>
        <v>-223.27600000000001</v>
      </c>
      <c r="M107" s="24">
        <f t="shared" si="29"/>
        <v>0</v>
      </c>
      <c r="N107" s="24">
        <f t="shared" si="29"/>
        <v>0</v>
      </c>
      <c r="O107" s="24">
        <f t="shared" si="29"/>
        <v>0</v>
      </c>
      <c r="P107" s="24">
        <f t="shared" si="29"/>
        <v>0</v>
      </c>
      <c r="Q107" s="24">
        <f t="shared" si="29"/>
        <v>0</v>
      </c>
      <c r="R107" s="24">
        <f t="shared" si="29"/>
        <v>0</v>
      </c>
    </row>
    <row r="108" spans="2:18" x14ac:dyDescent="0.45">
      <c r="B108" s="47" t="s">
        <v>329</v>
      </c>
      <c r="C108" s="68">
        <f t="shared" ref="C108:L108" si="30">$C$4</f>
        <v>0.03</v>
      </c>
      <c r="D108" s="68">
        <f t="shared" si="30"/>
        <v>0.03</v>
      </c>
      <c r="E108" s="68">
        <f t="shared" si="30"/>
        <v>0.03</v>
      </c>
      <c r="F108" s="68">
        <f t="shared" si="30"/>
        <v>0.03</v>
      </c>
      <c r="G108" s="68">
        <f t="shared" si="30"/>
        <v>0.03</v>
      </c>
      <c r="H108" s="68">
        <f t="shared" si="30"/>
        <v>0.03</v>
      </c>
      <c r="I108" s="68">
        <f t="shared" si="30"/>
        <v>0.03</v>
      </c>
      <c r="J108" s="68">
        <f t="shared" si="30"/>
        <v>0.03</v>
      </c>
      <c r="K108" s="68">
        <f t="shared" si="30"/>
        <v>0.03</v>
      </c>
      <c r="L108" s="68">
        <f t="shared" si="30"/>
        <v>0.03</v>
      </c>
      <c r="M108" s="27"/>
      <c r="N108" s="27"/>
      <c r="O108" s="27"/>
      <c r="P108" s="27"/>
      <c r="Q108" s="27"/>
    </row>
    <row r="109" spans="2:18" x14ac:dyDescent="0.45">
      <c r="B109" s="60" t="s">
        <v>333</v>
      </c>
      <c r="C109" s="32">
        <f t="shared" ref="C109:R109" si="31">C108*C107</f>
        <v>42.772320000000001</v>
      </c>
      <c r="D109" s="32">
        <f t="shared" si="31"/>
        <v>10.356989999999998</v>
      </c>
      <c r="E109" s="32">
        <f t="shared" si="31"/>
        <v>-17.499419999999997</v>
      </c>
      <c r="F109" s="32">
        <f t="shared" si="31"/>
        <v>0.40694999999999992</v>
      </c>
      <c r="G109" s="32">
        <f t="shared" si="31"/>
        <v>1.9156499999999996</v>
      </c>
      <c r="H109" s="32">
        <f t="shared" si="31"/>
        <v>-12.928559999999999</v>
      </c>
      <c r="I109" s="32">
        <f t="shared" si="31"/>
        <v>-10.47081</v>
      </c>
      <c r="J109" s="32">
        <f t="shared" si="31"/>
        <v>0.70386000000000049</v>
      </c>
      <c r="K109" s="32">
        <f t="shared" si="31"/>
        <v>-14.35065</v>
      </c>
      <c r="L109" s="32">
        <f t="shared" si="31"/>
        <v>-6.6982800000000005</v>
      </c>
      <c r="M109" s="32">
        <f t="shared" si="31"/>
        <v>0</v>
      </c>
      <c r="N109" s="32">
        <f t="shared" si="31"/>
        <v>0</v>
      </c>
      <c r="O109" s="32">
        <f t="shared" si="31"/>
        <v>0</v>
      </c>
      <c r="P109" s="32">
        <f t="shared" si="31"/>
        <v>0</v>
      </c>
      <c r="Q109" s="32">
        <f t="shared" si="31"/>
        <v>0</v>
      </c>
      <c r="R109" s="24">
        <f t="shared" si="31"/>
        <v>0</v>
      </c>
    </row>
    <row r="110" spans="2:18" x14ac:dyDescent="0.45">
      <c r="B110" s="42" t="s">
        <v>334</v>
      </c>
      <c r="C110" s="28">
        <f t="shared" ref="C110:R110" si="32">C113</f>
        <v>29.713319999999996</v>
      </c>
      <c r="D110" s="28">
        <f t="shared" si="32"/>
        <v>25.74558</v>
      </c>
      <c r="E110" s="28">
        <f t="shared" si="32"/>
        <v>24.69096</v>
      </c>
      <c r="F110" s="28">
        <f t="shared" si="32"/>
        <v>25.638570000000001</v>
      </c>
      <c r="G110" s="28">
        <f t="shared" si="32"/>
        <v>30.000629999999997</v>
      </c>
      <c r="H110" s="28">
        <f t="shared" si="32"/>
        <v>28.490099999999998</v>
      </c>
      <c r="I110" s="28">
        <f t="shared" si="32"/>
        <v>26.595869999999998</v>
      </c>
      <c r="J110" s="28">
        <f t="shared" si="32"/>
        <v>28.823069999999998</v>
      </c>
      <c r="K110" s="28">
        <f t="shared" si="32"/>
        <v>24.49278</v>
      </c>
      <c r="L110" s="28">
        <f t="shared" si="32"/>
        <v>23.709779999999999</v>
      </c>
      <c r="M110" s="28">
        <f t="shared" si="32"/>
        <v>0</v>
      </c>
      <c r="N110" s="28">
        <f t="shared" si="32"/>
        <v>0</v>
      </c>
      <c r="O110" s="28">
        <f t="shared" si="32"/>
        <v>0</v>
      </c>
      <c r="P110" s="28">
        <f t="shared" si="32"/>
        <v>0</v>
      </c>
      <c r="Q110" s="28">
        <f t="shared" si="32"/>
        <v>0</v>
      </c>
      <c r="R110" s="24">
        <f t="shared" si="32"/>
        <v>0</v>
      </c>
    </row>
    <row r="111" spans="2:18" x14ac:dyDescent="0.45">
      <c r="B111" s="47" t="s">
        <v>335</v>
      </c>
      <c r="C111" s="24">
        <f t="shared" ref="C111:R111" si="33">-(C15)</f>
        <v>990.44399999999996</v>
      </c>
      <c r="D111" s="24">
        <f t="shared" si="33"/>
        <v>858.18600000000004</v>
      </c>
      <c r="E111" s="24">
        <f t="shared" si="33"/>
        <v>823.03200000000004</v>
      </c>
      <c r="F111" s="24">
        <f t="shared" si="33"/>
        <v>854.61900000000003</v>
      </c>
      <c r="G111" s="24">
        <f t="shared" si="33"/>
        <v>1000.021</v>
      </c>
      <c r="H111" s="24">
        <f t="shared" si="33"/>
        <v>949.67</v>
      </c>
      <c r="I111" s="24">
        <f t="shared" si="33"/>
        <v>886.529</v>
      </c>
      <c r="J111" s="24">
        <f t="shared" si="33"/>
        <v>960.76900000000001</v>
      </c>
      <c r="K111" s="24">
        <f t="shared" si="33"/>
        <v>816.42600000000004</v>
      </c>
      <c r="L111" s="24">
        <f t="shared" si="33"/>
        <v>790.32600000000002</v>
      </c>
      <c r="M111" s="24">
        <f t="shared" si="33"/>
        <v>0</v>
      </c>
      <c r="N111" s="24">
        <f t="shared" si="33"/>
        <v>0</v>
      </c>
      <c r="O111" s="24">
        <f t="shared" si="33"/>
        <v>0</v>
      </c>
      <c r="P111" s="24">
        <f t="shared" si="33"/>
        <v>0</v>
      </c>
      <c r="Q111" s="24">
        <f t="shared" si="33"/>
        <v>0</v>
      </c>
      <c r="R111" s="24">
        <f t="shared" si="33"/>
        <v>0</v>
      </c>
    </row>
    <row r="112" spans="2:18" x14ac:dyDescent="0.45">
      <c r="B112" s="47" t="s">
        <v>329</v>
      </c>
      <c r="C112" s="68">
        <f t="shared" ref="C112:L112" si="34">$C$4</f>
        <v>0.03</v>
      </c>
      <c r="D112" s="68">
        <f t="shared" si="34"/>
        <v>0.03</v>
      </c>
      <c r="E112" s="68">
        <f t="shared" si="34"/>
        <v>0.03</v>
      </c>
      <c r="F112" s="68">
        <f t="shared" si="34"/>
        <v>0.03</v>
      </c>
      <c r="G112" s="68">
        <f t="shared" si="34"/>
        <v>0.03</v>
      </c>
      <c r="H112" s="68">
        <f t="shared" si="34"/>
        <v>0.03</v>
      </c>
      <c r="I112" s="68">
        <f t="shared" si="34"/>
        <v>0.03</v>
      </c>
      <c r="J112" s="68">
        <f t="shared" si="34"/>
        <v>0.03</v>
      </c>
      <c r="K112" s="68">
        <f t="shared" si="34"/>
        <v>0.03</v>
      </c>
      <c r="L112" s="68">
        <f t="shared" si="34"/>
        <v>0.03</v>
      </c>
      <c r="M112" s="27"/>
      <c r="N112" s="27"/>
      <c r="O112" s="27"/>
      <c r="P112" s="27"/>
      <c r="Q112" s="27"/>
    </row>
    <row r="113" spans="1:18" x14ac:dyDescent="0.45">
      <c r="B113" s="60" t="s">
        <v>336</v>
      </c>
      <c r="C113" s="32">
        <f t="shared" ref="C113:R113" si="35">C112*C111</f>
        <v>29.713319999999996</v>
      </c>
      <c r="D113" s="32">
        <f t="shared" si="35"/>
        <v>25.74558</v>
      </c>
      <c r="E113" s="32">
        <f t="shared" si="35"/>
        <v>24.69096</v>
      </c>
      <c r="F113" s="32">
        <f t="shared" si="35"/>
        <v>25.638570000000001</v>
      </c>
      <c r="G113" s="32">
        <f t="shared" si="35"/>
        <v>30.000629999999997</v>
      </c>
      <c r="H113" s="32">
        <f t="shared" si="35"/>
        <v>28.490099999999998</v>
      </c>
      <c r="I113" s="32">
        <f t="shared" si="35"/>
        <v>26.595869999999998</v>
      </c>
      <c r="J113" s="32">
        <f t="shared" si="35"/>
        <v>28.823069999999998</v>
      </c>
      <c r="K113" s="32">
        <f t="shared" si="35"/>
        <v>24.49278</v>
      </c>
      <c r="L113" s="32">
        <f t="shared" si="35"/>
        <v>23.709779999999999</v>
      </c>
      <c r="M113" s="32">
        <f t="shared" si="35"/>
        <v>0</v>
      </c>
      <c r="N113" s="32">
        <f t="shared" si="35"/>
        <v>0</v>
      </c>
      <c r="O113" s="32">
        <f t="shared" si="35"/>
        <v>0</v>
      </c>
      <c r="P113" s="32">
        <f t="shared" si="35"/>
        <v>0</v>
      </c>
      <c r="Q113" s="32">
        <f t="shared" si="35"/>
        <v>0</v>
      </c>
      <c r="R113" s="24">
        <f t="shared" si="35"/>
        <v>0</v>
      </c>
    </row>
    <row r="114" spans="1:18" ht="14.65" thickBot="1" x14ac:dyDescent="0.5">
      <c r="B114" s="52" t="s">
        <v>337</v>
      </c>
      <c r="C114" s="44">
        <f t="shared" ref="C114:R114" si="36">C101+C106-C110</f>
        <v>11532.684000000005</v>
      </c>
      <c r="D114" s="44">
        <f t="shared" si="36"/>
        <v>1300.1339999999966</v>
      </c>
      <c r="E114" s="44">
        <f t="shared" si="36"/>
        <v>2475.9449999999979</v>
      </c>
      <c r="F114" s="44">
        <f t="shared" si="36"/>
        <v>4573.7939999999962</v>
      </c>
      <c r="G114" s="44">
        <f t="shared" si="36"/>
        <v>6006.9670000000078</v>
      </c>
      <c r="H114" s="44">
        <f t="shared" si="36"/>
        <v>5741.9029999999966</v>
      </c>
      <c r="I114" s="44">
        <f t="shared" si="36"/>
        <v>4090.5990000000011</v>
      </c>
      <c r="J114" s="44">
        <f t="shared" si="36"/>
        <v>5772.8230000000012</v>
      </c>
      <c r="K114" s="44">
        <f t="shared" si="36"/>
        <v>6103.6450000000032</v>
      </c>
      <c r="L114" s="44">
        <f t="shared" si="36"/>
        <v>3486.175000000002</v>
      </c>
      <c r="M114" s="44">
        <f t="shared" si="36"/>
        <v>0</v>
      </c>
      <c r="N114" s="44">
        <f t="shared" si="36"/>
        <v>0</v>
      </c>
      <c r="O114" s="44">
        <f t="shared" si="36"/>
        <v>0</v>
      </c>
      <c r="P114" s="44">
        <f t="shared" si="36"/>
        <v>0</v>
      </c>
      <c r="Q114" s="44">
        <f t="shared" si="36"/>
        <v>0</v>
      </c>
      <c r="R114" s="24">
        <f t="shared" si="36"/>
        <v>0</v>
      </c>
    </row>
    <row r="115" spans="1:18" ht="15" thickTop="1" thickBot="1" x14ac:dyDescent="0.5">
      <c r="B115" s="34"/>
    </row>
    <row r="116" spans="1:18" ht="14.65" thickTop="1" x14ac:dyDescent="0.45">
      <c r="A116" s="24" t="s">
        <v>14</v>
      </c>
      <c r="B116" s="57" t="s">
        <v>338</v>
      </c>
      <c r="C116" s="58"/>
      <c r="D116" s="58"/>
      <c r="E116" s="58"/>
      <c r="F116" s="58"/>
      <c r="G116" s="58"/>
      <c r="H116" s="58"/>
      <c r="I116" s="58"/>
      <c r="J116" s="58"/>
      <c r="K116" s="58"/>
      <c r="L116" s="58"/>
      <c r="M116" s="58"/>
      <c r="N116" s="58"/>
      <c r="O116" s="58"/>
      <c r="P116" s="58"/>
      <c r="Q116" s="58"/>
    </row>
    <row r="117" spans="1:18" x14ac:dyDescent="0.45">
      <c r="B117" s="42" t="s">
        <v>339</v>
      </c>
    </row>
    <row r="118" spans="1:18" x14ac:dyDescent="0.45">
      <c r="B118" s="47" t="s">
        <v>340</v>
      </c>
      <c r="C118" s="24">
        <f t="shared" ref="C118:R118" si="37">MIN(C3*C9,C46)</f>
        <v>0</v>
      </c>
      <c r="D118" s="24">
        <f t="shared" si="37"/>
        <v>0</v>
      </c>
      <c r="E118" s="24">
        <f t="shared" si="37"/>
        <v>1722.88805</v>
      </c>
      <c r="F118" s="24">
        <f t="shared" si="37"/>
        <v>1742.0776500000002</v>
      </c>
      <c r="G118" s="24">
        <f t="shared" si="37"/>
        <v>1924.4417000000003</v>
      </c>
      <c r="H118" s="24">
        <f t="shared" si="37"/>
        <v>1370.1576500000001</v>
      </c>
      <c r="I118" s="24">
        <f t="shared" si="37"/>
        <v>1436.596</v>
      </c>
      <c r="J118" s="24">
        <f t="shared" si="37"/>
        <v>1719.9988499999999</v>
      </c>
      <c r="K118" s="24">
        <f t="shared" si="37"/>
        <v>1743.7010500000001</v>
      </c>
      <c r="L118" s="24">
        <f t="shared" si="37"/>
        <v>1853.3078000000003</v>
      </c>
      <c r="M118" s="24">
        <f t="shared" si="37"/>
        <v>0</v>
      </c>
      <c r="N118" s="24">
        <f t="shared" si="37"/>
        <v>0</v>
      </c>
      <c r="O118" s="24">
        <f t="shared" si="37"/>
        <v>0</v>
      </c>
      <c r="P118" s="24">
        <f t="shared" si="37"/>
        <v>0</v>
      </c>
      <c r="Q118" s="24">
        <f t="shared" si="37"/>
        <v>0</v>
      </c>
      <c r="R118" s="24">
        <f t="shared" si="37"/>
        <v>0</v>
      </c>
    </row>
    <row r="119" spans="1:18" x14ac:dyDescent="0.45">
      <c r="B119" s="59" t="s">
        <v>341</v>
      </c>
      <c r="C119" s="24">
        <f t="shared" ref="C119:R119" si="38">C44</f>
        <v>5237.8809999999994</v>
      </c>
      <c r="D119" s="24">
        <f t="shared" si="38"/>
        <v>5424.9780000000001</v>
      </c>
      <c r="E119" s="24">
        <f t="shared" si="38"/>
        <v>5280.3469999999998</v>
      </c>
      <c r="F119" s="24">
        <f t="shared" si="38"/>
        <v>5777.3229999999994</v>
      </c>
      <c r="G119" s="24">
        <f t="shared" si="38"/>
        <v>6491.027</v>
      </c>
      <c r="H119" s="24">
        <f t="shared" si="38"/>
        <v>6205.6959999999999</v>
      </c>
      <c r="I119" s="24">
        <f t="shared" si="38"/>
        <v>7458.0719999999992</v>
      </c>
      <c r="J119" s="24">
        <f t="shared" si="38"/>
        <v>6159.0810000000001</v>
      </c>
      <c r="K119" s="24">
        <f t="shared" si="38"/>
        <v>6815.0960000000005</v>
      </c>
      <c r="L119" s="24">
        <f t="shared" si="38"/>
        <v>8266.3250000000007</v>
      </c>
      <c r="M119" s="24">
        <f t="shared" si="38"/>
        <v>0</v>
      </c>
      <c r="N119" s="24">
        <f t="shared" si="38"/>
        <v>0</v>
      </c>
      <c r="O119" s="24">
        <f t="shared" si="38"/>
        <v>0</v>
      </c>
      <c r="P119" s="24">
        <f t="shared" si="38"/>
        <v>0</v>
      </c>
      <c r="Q119" s="24">
        <f t="shared" si="38"/>
        <v>0</v>
      </c>
      <c r="R119" s="24">
        <f t="shared" si="38"/>
        <v>0</v>
      </c>
    </row>
    <row r="120" spans="1:18" x14ac:dyDescent="0.45">
      <c r="B120" s="47" t="s">
        <v>342</v>
      </c>
      <c r="C120" s="24">
        <f t="shared" ref="C120:R120" si="39">C43</f>
        <v>6399.442</v>
      </c>
      <c r="D120" s="24">
        <f t="shared" si="39"/>
        <v>5975.44</v>
      </c>
      <c r="E120" s="24">
        <f t="shared" si="39"/>
        <v>6255.1459999999997</v>
      </c>
      <c r="F120" s="24">
        <f t="shared" si="39"/>
        <v>6095.6890000000003</v>
      </c>
      <c r="G120" s="24">
        <f t="shared" si="39"/>
        <v>7018.5709999999999</v>
      </c>
      <c r="H120" s="24">
        <f t="shared" si="39"/>
        <v>6692.33</v>
      </c>
      <c r="I120" s="24">
        <f t="shared" si="39"/>
        <v>6885.3810000000003</v>
      </c>
      <c r="J120" s="24">
        <f t="shared" si="39"/>
        <v>5801.6890000000003</v>
      </c>
      <c r="K120" s="24">
        <f t="shared" si="39"/>
        <v>6335.7120000000004</v>
      </c>
      <c r="L120" s="24">
        <f t="shared" si="39"/>
        <v>6855.1490000000003</v>
      </c>
      <c r="M120" s="24">
        <f t="shared" si="39"/>
        <v>0</v>
      </c>
      <c r="N120" s="24">
        <f t="shared" si="39"/>
        <v>0</v>
      </c>
      <c r="O120" s="24">
        <f t="shared" si="39"/>
        <v>0</v>
      </c>
      <c r="P120" s="24">
        <f t="shared" si="39"/>
        <v>0</v>
      </c>
      <c r="Q120" s="24">
        <f t="shared" si="39"/>
        <v>0</v>
      </c>
      <c r="R120" s="24">
        <f t="shared" si="39"/>
        <v>0</v>
      </c>
    </row>
    <row r="121" spans="1:18" x14ac:dyDescent="0.45">
      <c r="B121" s="47" t="s">
        <v>343</v>
      </c>
      <c r="C121" s="24">
        <f t="shared" ref="C121:R121" si="40">C45</f>
        <v>2857.7660000000001</v>
      </c>
      <c r="D121" s="24">
        <f t="shared" si="40"/>
        <v>2331.8510000000001</v>
      </c>
      <c r="E121" s="24">
        <f t="shared" si="40"/>
        <v>1967.6079999999999</v>
      </c>
      <c r="F121" s="24">
        <f t="shared" si="40"/>
        <v>2190.7070000000003</v>
      </c>
      <c r="G121" s="24">
        <f t="shared" si="40"/>
        <v>3010.6570000000002</v>
      </c>
      <c r="H121" s="24">
        <f t="shared" si="40"/>
        <v>2141.8580000000002</v>
      </c>
      <c r="I121" s="24">
        <f t="shared" si="40"/>
        <v>2070.4960000000001</v>
      </c>
      <c r="J121" s="24">
        <f t="shared" si="40"/>
        <v>6411.6210000000001</v>
      </c>
      <c r="K121" s="24">
        <f t="shared" si="40"/>
        <v>4432.0020000000004</v>
      </c>
      <c r="L121" s="24">
        <f t="shared" si="40"/>
        <v>726.75</v>
      </c>
      <c r="M121" s="24">
        <f t="shared" si="40"/>
        <v>0</v>
      </c>
      <c r="N121" s="24">
        <f t="shared" si="40"/>
        <v>0</v>
      </c>
      <c r="O121" s="24">
        <f t="shared" si="40"/>
        <v>0</v>
      </c>
      <c r="P121" s="24">
        <f t="shared" si="40"/>
        <v>0</v>
      </c>
      <c r="Q121" s="24">
        <f t="shared" si="40"/>
        <v>0</v>
      </c>
      <c r="R121" s="24">
        <f t="shared" si="40"/>
        <v>0</v>
      </c>
    </row>
    <row r="122" spans="1:18" x14ac:dyDescent="0.45">
      <c r="B122" s="47" t="s">
        <v>344</v>
      </c>
      <c r="C122" s="24">
        <f t="shared" ref="C122:R123" si="41">C63</f>
        <v>4233.7269999999999</v>
      </c>
      <c r="D122" s="24">
        <f t="shared" si="41"/>
        <v>4211.62</v>
      </c>
      <c r="E122" s="24">
        <f t="shared" si="41"/>
        <v>3971.2350000000001</v>
      </c>
      <c r="F122" s="24">
        <f t="shared" si="41"/>
        <v>4057.4850000000001</v>
      </c>
      <c r="G122" s="24">
        <f t="shared" si="41"/>
        <v>4890.6940000000004</v>
      </c>
      <c r="H122" s="24">
        <f t="shared" si="41"/>
        <v>4862.9889999999996</v>
      </c>
      <c r="I122" s="24">
        <f t="shared" si="41"/>
        <v>5399.482</v>
      </c>
      <c r="J122" s="24">
        <f t="shared" si="41"/>
        <v>4358.5950000000003</v>
      </c>
      <c r="K122" s="24">
        <f t="shared" si="41"/>
        <v>4283.3469999999998</v>
      </c>
      <c r="L122" s="24">
        <f t="shared" si="41"/>
        <v>17437.156999999999</v>
      </c>
      <c r="M122" s="24">
        <f t="shared" si="41"/>
        <v>0</v>
      </c>
      <c r="N122" s="24">
        <f t="shared" si="41"/>
        <v>0</v>
      </c>
      <c r="O122" s="24">
        <f t="shared" si="41"/>
        <v>0</v>
      </c>
      <c r="P122" s="24">
        <f t="shared" si="41"/>
        <v>0</v>
      </c>
      <c r="Q122" s="24">
        <f t="shared" si="41"/>
        <v>0</v>
      </c>
      <c r="R122" s="24">
        <f t="shared" si="41"/>
        <v>0</v>
      </c>
    </row>
    <row r="123" spans="1:18" x14ac:dyDescent="0.45">
      <c r="B123" s="47" t="s">
        <v>345</v>
      </c>
      <c r="C123" s="27">
        <f t="shared" si="41"/>
        <v>5495.7039999999997</v>
      </c>
      <c r="D123" s="27">
        <f t="shared" si="41"/>
        <v>6315.0869999999995</v>
      </c>
      <c r="E123" s="27">
        <f t="shared" si="41"/>
        <v>15660.938999999998</v>
      </c>
      <c r="F123" s="27">
        <f t="shared" si="41"/>
        <v>5817.3980000000001</v>
      </c>
      <c r="G123" s="27">
        <f t="shared" si="41"/>
        <v>5646.0129999999999</v>
      </c>
      <c r="H123" s="27">
        <f t="shared" si="41"/>
        <v>6028.2310000000007</v>
      </c>
      <c r="I123" s="27">
        <f t="shared" si="41"/>
        <v>12703.963</v>
      </c>
      <c r="J123" s="27">
        <f t="shared" si="41"/>
        <v>12437.668000000001</v>
      </c>
      <c r="K123" s="27">
        <f t="shared" si="41"/>
        <v>12046.84</v>
      </c>
      <c r="L123" s="27">
        <f t="shared" si="41"/>
        <v>5959.1059999999998</v>
      </c>
      <c r="M123" s="27">
        <f t="shared" si="41"/>
        <v>0</v>
      </c>
      <c r="N123" s="27">
        <f t="shared" si="41"/>
        <v>0</v>
      </c>
      <c r="O123" s="27">
        <f t="shared" si="41"/>
        <v>0</v>
      </c>
      <c r="P123" s="27">
        <f t="shared" si="41"/>
        <v>0</v>
      </c>
      <c r="Q123" s="27">
        <f t="shared" si="41"/>
        <v>0</v>
      </c>
      <c r="R123" s="24">
        <f t="shared" si="41"/>
        <v>0</v>
      </c>
    </row>
    <row r="124" spans="1:18" x14ac:dyDescent="0.45">
      <c r="B124" s="60" t="s">
        <v>138</v>
      </c>
      <c r="C124" s="32">
        <f t="shared" ref="C124:R124" si="42">SUM(C118:C121)-SUM(C122:C123)</f>
        <v>4765.6579999999994</v>
      </c>
      <c r="D124" s="32">
        <f t="shared" si="42"/>
        <v>3205.5620000000017</v>
      </c>
      <c r="E124" s="32">
        <f t="shared" si="42"/>
        <v>-4406.1849499999989</v>
      </c>
      <c r="F124" s="32">
        <f t="shared" si="42"/>
        <v>5930.9136500000004</v>
      </c>
      <c r="G124" s="32">
        <f t="shared" si="42"/>
        <v>7907.9897000000001</v>
      </c>
      <c r="H124" s="32">
        <f t="shared" si="42"/>
        <v>5518.821649999998</v>
      </c>
      <c r="I124" s="32">
        <f t="shared" si="42"/>
        <v>-252.90000000000146</v>
      </c>
      <c r="J124" s="32">
        <f t="shared" si="42"/>
        <v>3296.1268499999969</v>
      </c>
      <c r="K124" s="32">
        <f t="shared" si="42"/>
        <v>2996.3240500000011</v>
      </c>
      <c r="L124" s="32">
        <f t="shared" si="42"/>
        <v>-5694.7311999999984</v>
      </c>
      <c r="M124" s="32">
        <f t="shared" si="42"/>
        <v>0</v>
      </c>
      <c r="N124" s="32">
        <f t="shared" si="42"/>
        <v>0</v>
      </c>
      <c r="O124" s="32">
        <f t="shared" si="42"/>
        <v>0</v>
      </c>
      <c r="P124" s="32">
        <f t="shared" si="42"/>
        <v>0</v>
      </c>
      <c r="Q124" s="32">
        <f t="shared" si="42"/>
        <v>0</v>
      </c>
      <c r="R124" s="24">
        <f t="shared" si="42"/>
        <v>0</v>
      </c>
    </row>
    <row r="125" spans="1:18" x14ac:dyDescent="0.45">
      <c r="B125" s="62" t="s">
        <v>346</v>
      </c>
    </row>
    <row r="126" spans="1:18" x14ac:dyDescent="0.45">
      <c r="B126" s="47" t="s">
        <v>347</v>
      </c>
      <c r="C126" s="24">
        <f t="shared" ref="C126:R126" si="43">C37</f>
        <v>14462.521000000001</v>
      </c>
      <c r="D126" s="24">
        <f t="shared" si="43"/>
        <v>14062.546999999999</v>
      </c>
      <c r="E126" s="24">
        <f t="shared" si="43"/>
        <v>13814.901</v>
      </c>
      <c r="F126" s="24">
        <f t="shared" si="43"/>
        <v>14134.963</v>
      </c>
      <c r="G126" s="24">
        <f t="shared" si="43"/>
        <v>14530.458999999999</v>
      </c>
      <c r="H126" s="24">
        <f t="shared" si="43"/>
        <v>13371.266</v>
      </c>
      <c r="I126" s="24">
        <f t="shared" si="43"/>
        <v>14649.444</v>
      </c>
      <c r="J126" s="24">
        <f t="shared" si="43"/>
        <v>12153.558999999999</v>
      </c>
      <c r="K126" s="24">
        <f t="shared" si="43"/>
        <v>13268.35</v>
      </c>
      <c r="L126" s="24">
        <f t="shared" si="43"/>
        <v>14530.157999999999</v>
      </c>
      <c r="M126" s="24">
        <f t="shared" si="43"/>
        <v>0</v>
      </c>
      <c r="N126" s="24">
        <f t="shared" si="43"/>
        <v>0</v>
      </c>
      <c r="O126" s="24">
        <f t="shared" si="43"/>
        <v>0</v>
      </c>
      <c r="P126" s="24">
        <f t="shared" si="43"/>
        <v>0</v>
      </c>
      <c r="Q126" s="24">
        <f t="shared" si="43"/>
        <v>0</v>
      </c>
      <c r="R126" s="24">
        <f t="shared" si="43"/>
        <v>0</v>
      </c>
    </row>
    <row r="127" spans="1:18" x14ac:dyDescent="0.45">
      <c r="B127" s="47" t="s">
        <v>348</v>
      </c>
      <c r="C127" s="24">
        <f t="shared" ref="C127:R127" si="44">C38</f>
        <v>29627.95</v>
      </c>
      <c r="D127" s="24">
        <f t="shared" si="44"/>
        <v>28976.552</v>
      </c>
      <c r="E127" s="24">
        <f t="shared" si="44"/>
        <v>26222.760000000002</v>
      </c>
      <c r="F127" s="24">
        <f t="shared" si="44"/>
        <v>25592.764999999999</v>
      </c>
      <c r="G127" s="24">
        <f t="shared" si="44"/>
        <v>48997.812999999995</v>
      </c>
      <c r="H127" s="24">
        <f t="shared" si="44"/>
        <v>45115.186999999998</v>
      </c>
      <c r="I127" s="24">
        <f t="shared" si="44"/>
        <v>48376.264000000003</v>
      </c>
      <c r="J127" s="24">
        <f t="shared" si="44"/>
        <v>24086.143</v>
      </c>
      <c r="K127" s="24">
        <f t="shared" si="44"/>
        <v>24866.920000000002</v>
      </c>
      <c r="L127" s="24">
        <f t="shared" si="44"/>
        <v>27204.142</v>
      </c>
      <c r="M127" s="24">
        <f t="shared" si="44"/>
        <v>0</v>
      </c>
      <c r="N127" s="24">
        <f t="shared" si="44"/>
        <v>0</v>
      </c>
      <c r="O127" s="24">
        <f t="shared" si="44"/>
        <v>0</v>
      </c>
      <c r="P127" s="24">
        <f t="shared" si="44"/>
        <v>0</v>
      </c>
      <c r="Q127" s="24">
        <f t="shared" si="44"/>
        <v>0</v>
      </c>
      <c r="R127" s="24">
        <f t="shared" si="44"/>
        <v>0</v>
      </c>
    </row>
    <row r="128" spans="1:18" x14ac:dyDescent="0.45">
      <c r="B128" s="47" t="s">
        <v>349</v>
      </c>
      <c r="C128" s="24">
        <f t="shared" ref="C128:R128" si="45">C59-C40</f>
        <v>-1876.681</v>
      </c>
      <c r="D128" s="24">
        <f t="shared" si="45"/>
        <v>-2857.7180000000003</v>
      </c>
      <c r="E128" s="24">
        <f t="shared" si="45"/>
        <v>-2701.5209999999997</v>
      </c>
      <c r="F128" s="24">
        <f t="shared" si="45"/>
        <v>-3040.0519999999997</v>
      </c>
      <c r="G128" s="24">
        <f t="shared" si="45"/>
        <v>-337.53399999999965</v>
      </c>
      <c r="H128" s="24">
        <f t="shared" si="45"/>
        <v>-766.78299999999945</v>
      </c>
      <c r="I128" s="24">
        <f t="shared" si="45"/>
        <v>-1978.8180000000002</v>
      </c>
      <c r="J128" s="24">
        <f t="shared" si="45"/>
        <v>-6053.1030000000001</v>
      </c>
      <c r="K128" s="24">
        <f t="shared" si="45"/>
        <v>-6612.28</v>
      </c>
      <c r="L128" s="24">
        <f t="shared" si="45"/>
        <v>-7708.8680000000004</v>
      </c>
      <c r="M128" s="24">
        <f t="shared" si="45"/>
        <v>0</v>
      </c>
      <c r="N128" s="24">
        <f t="shared" si="45"/>
        <v>0</v>
      </c>
      <c r="O128" s="24">
        <f t="shared" si="45"/>
        <v>0</v>
      </c>
      <c r="P128" s="24">
        <f t="shared" si="45"/>
        <v>0</v>
      </c>
      <c r="Q128" s="24">
        <f t="shared" si="45"/>
        <v>0</v>
      </c>
      <c r="R128" s="24">
        <f t="shared" si="45"/>
        <v>0</v>
      </c>
    </row>
    <row r="129" spans="2:18" ht="28.5" x14ac:dyDescent="0.45">
      <c r="B129" s="47" t="s">
        <v>350</v>
      </c>
      <c r="C129" s="25">
        <f t="shared" ref="C129:R129" si="46">C60</f>
        <v>21731.777000000002</v>
      </c>
      <c r="D129" s="25">
        <f t="shared" si="46"/>
        <v>23794.010999999999</v>
      </c>
      <c r="E129" s="25">
        <f t="shared" si="46"/>
        <v>15113.882000000001</v>
      </c>
      <c r="F129" s="25">
        <f t="shared" si="46"/>
        <v>16895.610999999997</v>
      </c>
      <c r="G129" s="25">
        <f t="shared" si="46"/>
        <v>17267.311999999998</v>
      </c>
      <c r="H129" s="25">
        <f t="shared" si="46"/>
        <v>17259.870999999999</v>
      </c>
      <c r="I129" s="25">
        <f t="shared" si="46"/>
        <v>13945.785</v>
      </c>
      <c r="J129" s="25">
        <f t="shared" si="46"/>
        <v>12736.433999999999</v>
      </c>
      <c r="K129" s="25">
        <f t="shared" si="46"/>
        <v>13102.407999999999</v>
      </c>
      <c r="L129" s="25">
        <f t="shared" si="46"/>
        <v>9428.3989999999994</v>
      </c>
      <c r="M129" s="25">
        <f t="shared" si="46"/>
        <v>0</v>
      </c>
      <c r="N129" s="27">
        <f t="shared" si="46"/>
        <v>0</v>
      </c>
      <c r="O129" s="27">
        <f t="shared" si="46"/>
        <v>0</v>
      </c>
      <c r="P129" s="27">
        <f t="shared" si="46"/>
        <v>0</v>
      </c>
      <c r="Q129" s="27">
        <f t="shared" si="46"/>
        <v>0</v>
      </c>
      <c r="R129" s="24">
        <f t="shared" si="46"/>
        <v>0</v>
      </c>
    </row>
    <row r="130" spans="2:18" x14ac:dyDescent="0.45">
      <c r="B130" s="60" t="s">
        <v>351</v>
      </c>
      <c r="C130" s="36">
        <f t="shared" ref="C130:R130" si="47">SUM(C126:C127)-SUM(C128:C129)</f>
        <v>24235.375000000004</v>
      </c>
      <c r="D130" s="36">
        <f t="shared" si="47"/>
        <v>22102.806000000004</v>
      </c>
      <c r="E130" s="36">
        <f t="shared" si="47"/>
        <v>27625.3</v>
      </c>
      <c r="F130" s="36">
        <f t="shared" si="47"/>
        <v>25872.169000000005</v>
      </c>
      <c r="G130" s="36">
        <f t="shared" si="47"/>
        <v>46598.493999999999</v>
      </c>
      <c r="H130" s="36">
        <f t="shared" si="47"/>
        <v>41993.364999999991</v>
      </c>
      <c r="I130" s="36">
        <f t="shared" si="47"/>
        <v>51058.740999999995</v>
      </c>
      <c r="J130" s="36">
        <f t="shared" si="47"/>
        <v>29556.370999999999</v>
      </c>
      <c r="K130" s="36">
        <f t="shared" si="47"/>
        <v>31645.142000000003</v>
      </c>
      <c r="L130" s="36">
        <f t="shared" si="47"/>
        <v>40014.769</v>
      </c>
      <c r="M130" s="36">
        <f t="shared" si="47"/>
        <v>0</v>
      </c>
      <c r="N130" s="36">
        <f t="shared" si="47"/>
        <v>0</v>
      </c>
      <c r="O130" s="36">
        <f t="shared" si="47"/>
        <v>0</v>
      </c>
      <c r="P130" s="36">
        <f t="shared" si="47"/>
        <v>0</v>
      </c>
      <c r="Q130" s="36">
        <f t="shared" si="47"/>
        <v>0</v>
      </c>
      <c r="R130" s="24">
        <f t="shared" si="47"/>
        <v>0</v>
      </c>
    </row>
    <row r="131" spans="2:18" x14ac:dyDescent="0.45">
      <c r="B131" s="62" t="s">
        <v>352</v>
      </c>
      <c r="C131" s="32"/>
      <c r="D131" s="32"/>
      <c r="E131" s="32"/>
      <c r="F131" s="32"/>
      <c r="G131" s="32"/>
      <c r="H131" s="32"/>
      <c r="I131" s="32"/>
      <c r="J131" s="32"/>
      <c r="K131" s="32"/>
      <c r="L131" s="32"/>
      <c r="M131" s="32"/>
      <c r="N131" s="32"/>
      <c r="O131" s="32"/>
      <c r="P131" s="32"/>
      <c r="Q131" s="32"/>
    </row>
    <row r="132" spans="2:18" x14ac:dyDescent="0.45">
      <c r="B132" s="47" t="s">
        <v>353</v>
      </c>
      <c r="C132" s="216">
        <f t="shared" ref="C132:R132" si="48">MAX(0,C46-C118)</f>
        <v>8012.8710000000001</v>
      </c>
      <c r="D132" s="216">
        <f t="shared" si="48"/>
        <v>5839.5810000000001</v>
      </c>
      <c r="E132" s="216">
        <f t="shared" si="48"/>
        <v>2679.4639499999998</v>
      </c>
      <c r="F132" s="216">
        <f t="shared" si="48"/>
        <v>3036.7373500000003</v>
      </c>
      <c r="G132" s="216">
        <f t="shared" si="48"/>
        <v>4558.3242999999993</v>
      </c>
      <c r="H132" s="216">
        <f t="shared" si="48"/>
        <v>6188.2913499999995</v>
      </c>
      <c r="I132" s="216">
        <f t="shared" si="48"/>
        <v>4383.1759999999995</v>
      </c>
      <c r="J132" s="216">
        <f t="shared" si="48"/>
        <v>3322.9391500000002</v>
      </c>
      <c r="K132" s="216">
        <f t="shared" si="48"/>
        <v>2158.2119499999999</v>
      </c>
      <c r="L132" s="216">
        <f t="shared" si="48"/>
        <v>2851.8221999999996</v>
      </c>
      <c r="M132" s="216">
        <f t="shared" si="48"/>
        <v>0</v>
      </c>
      <c r="N132" s="216">
        <f t="shared" si="48"/>
        <v>0</v>
      </c>
      <c r="O132" s="216">
        <f t="shared" si="48"/>
        <v>0</v>
      </c>
      <c r="P132" s="216">
        <f t="shared" si="48"/>
        <v>0</v>
      </c>
      <c r="Q132" s="216">
        <f t="shared" si="48"/>
        <v>0</v>
      </c>
      <c r="R132" s="24">
        <f t="shared" si="48"/>
        <v>0</v>
      </c>
    </row>
    <row r="133" spans="2:18" x14ac:dyDescent="0.45">
      <c r="B133" s="47" t="s">
        <v>354</v>
      </c>
      <c r="C133" s="24">
        <f>C39</f>
        <v>1983.8810000000001</v>
      </c>
      <c r="D133" s="24">
        <f t="shared" ref="D133:R133" si="49">D39</f>
        <v>1461.652</v>
      </c>
      <c r="E133" s="24">
        <f t="shared" si="49"/>
        <v>1248.328</v>
      </c>
      <c r="F133" s="24">
        <f t="shared" si="49"/>
        <v>1739.876</v>
      </c>
      <c r="G133" s="24">
        <f t="shared" si="49"/>
        <v>2686.105</v>
      </c>
      <c r="H133" s="24">
        <f t="shared" si="49"/>
        <v>3901.9989999999998</v>
      </c>
      <c r="I133" s="24">
        <f t="shared" si="49"/>
        <v>2709.8609999999999</v>
      </c>
      <c r="J133" s="24">
        <f t="shared" si="49"/>
        <v>1775.682</v>
      </c>
      <c r="K133" s="24">
        <f t="shared" si="49"/>
        <v>1404.7349999999999</v>
      </c>
      <c r="L133" s="24">
        <f t="shared" si="49"/>
        <v>1446.2439999999999</v>
      </c>
      <c r="M133" s="24">
        <f t="shared" si="49"/>
        <v>0</v>
      </c>
      <c r="N133" s="24">
        <f t="shared" si="49"/>
        <v>0</v>
      </c>
      <c r="O133" s="24">
        <f t="shared" si="49"/>
        <v>0</v>
      </c>
      <c r="P133" s="24">
        <f t="shared" si="49"/>
        <v>0</v>
      </c>
      <c r="Q133" s="24">
        <f t="shared" si="49"/>
        <v>0</v>
      </c>
      <c r="R133" s="24">
        <f t="shared" si="49"/>
        <v>0</v>
      </c>
    </row>
    <row r="134" spans="2:18" ht="14.65" thickBot="1" x14ac:dyDescent="0.5">
      <c r="B134" s="60" t="s">
        <v>355</v>
      </c>
      <c r="C134" s="64">
        <f t="shared" ref="C134:R134" si="50">SUM(C132:C133)</f>
        <v>9996.7520000000004</v>
      </c>
      <c r="D134" s="64">
        <f t="shared" si="50"/>
        <v>7301.2330000000002</v>
      </c>
      <c r="E134" s="64">
        <f t="shared" si="50"/>
        <v>3927.7919499999998</v>
      </c>
      <c r="F134" s="64">
        <f t="shared" si="50"/>
        <v>4776.6133500000005</v>
      </c>
      <c r="G134" s="64">
        <f t="shared" si="50"/>
        <v>7244.4292999999998</v>
      </c>
      <c r="H134" s="64">
        <f t="shared" si="50"/>
        <v>10090.290349999999</v>
      </c>
      <c r="I134" s="64">
        <f t="shared" si="50"/>
        <v>7093.0369999999994</v>
      </c>
      <c r="J134" s="64">
        <f t="shared" si="50"/>
        <v>5098.6211499999999</v>
      </c>
      <c r="K134" s="64">
        <f t="shared" si="50"/>
        <v>3562.9469499999996</v>
      </c>
      <c r="L134" s="64">
        <f t="shared" si="50"/>
        <v>4298.0661999999993</v>
      </c>
      <c r="M134" s="64">
        <f t="shared" si="50"/>
        <v>0</v>
      </c>
      <c r="N134" s="64">
        <f t="shared" si="50"/>
        <v>0</v>
      </c>
      <c r="O134" s="64">
        <f t="shared" si="50"/>
        <v>0</v>
      </c>
      <c r="P134" s="64">
        <f t="shared" si="50"/>
        <v>0</v>
      </c>
      <c r="Q134" s="64">
        <f t="shared" si="50"/>
        <v>0</v>
      </c>
      <c r="R134" s="24">
        <f t="shared" si="50"/>
        <v>0</v>
      </c>
    </row>
    <row r="135" spans="2:18" ht="14.65" thickTop="1" x14ac:dyDescent="0.45">
      <c r="B135" s="42" t="s">
        <v>356</v>
      </c>
      <c r="C135" s="32">
        <f t="shared" ref="C135:R135" si="51">SUM(C124,C130,C134)</f>
        <v>38997.785000000003</v>
      </c>
      <c r="D135" s="32">
        <f t="shared" si="51"/>
        <v>32609.601000000006</v>
      </c>
      <c r="E135" s="32">
        <f t="shared" si="51"/>
        <v>27146.906999999999</v>
      </c>
      <c r="F135" s="32">
        <f t="shared" si="51"/>
        <v>36579.696000000004</v>
      </c>
      <c r="G135" s="32">
        <f t="shared" si="51"/>
        <v>61750.913</v>
      </c>
      <c r="H135" s="32">
        <f t="shared" si="51"/>
        <v>57602.476999999984</v>
      </c>
      <c r="I135" s="32">
        <f t="shared" si="51"/>
        <v>57898.87799999999</v>
      </c>
      <c r="J135" s="32">
        <f t="shared" si="51"/>
        <v>37951.118999999999</v>
      </c>
      <c r="K135" s="32">
        <f t="shared" si="51"/>
        <v>38204.413</v>
      </c>
      <c r="L135" s="32">
        <f t="shared" si="51"/>
        <v>38618.104000000007</v>
      </c>
      <c r="M135" s="32">
        <f t="shared" si="51"/>
        <v>0</v>
      </c>
      <c r="N135" s="32">
        <f t="shared" si="51"/>
        <v>0</v>
      </c>
      <c r="O135" s="32">
        <f t="shared" si="51"/>
        <v>0</v>
      </c>
      <c r="P135" s="32">
        <f t="shared" si="51"/>
        <v>0</v>
      </c>
      <c r="Q135" s="32">
        <f t="shared" si="51"/>
        <v>0</v>
      </c>
      <c r="R135" s="24">
        <f t="shared" si="51"/>
        <v>0</v>
      </c>
    </row>
    <row r="136" spans="2:18" x14ac:dyDescent="0.45">
      <c r="B136" s="42"/>
      <c r="C136" s="71"/>
      <c r="D136" s="71"/>
      <c r="E136" s="71"/>
      <c r="F136" s="71"/>
      <c r="G136" s="71"/>
      <c r="H136" s="71"/>
      <c r="I136" s="71"/>
      <c r="J136" s="71"/>
      <c r="K136" s="71"/>
      <c r="L136" s="71"/>
      <c r="M136" s="32"/>
      <c r="N136" s="32"/>
      <c r="O136" s="32"/>
      <c r="P136" s="32"/>
      <c r="Q136" s="32"/>
    </row>
    <row r="137" spans="2:18" x14ac:dyDescent="0.45">
      <c r="B137" s="42" t="s">
        <v>357</v>
      </c>
      <c r="C137" s="71"/>
      <c r="D137" s="71"/>
      <c r="E137" s="71"/>
      <c r="F137" s="71"/>
      <c r="G137" s="71"/>
      <c r="H137" s="71"/>
      <c r="I137" s="71"/>
      <c r="J137" s="71"/>
      <c r="K137" s="71"/>
      <c r="L137" s="71"/>
    </row>
    <row r="138" spans="2:18" x14ac:dyDescent="0.45">
      <c r="B138" s="47" t="s">
        <v>358</v>
      </c>
      <c r="C138" s="24">
        <f t="shared" ref="C138:R138" si="52">C65</f>
        <v>1774.9090000000001</v>
      </c>
      <c r="D138" s="24">
        <f t="shared" si="52"/>
        <v>4835.8670000000002</v>
      </c>
      <c r="E138" s="24">
        <f t="shared" si="52"/>
        <v>3179.9149999999995</v>
      </c>
      <c r="F138" s="24">
        <f t="shared" si="52"/>
        <v>6448.5619999999999</v>
      </c>
      <c r="G138" s="24">
        <f t="shared" si="52"/>
        <v>8165.7119999999995</v>
      </c>
      <c r="H138" s="24">
        <f t="shared" si="52"/>
        <v>4158.7089999999998</v>
      </c>
      <c r="I138" s="24">
        <f t="shared" si="52"/>
        <v>4287.4399999999996</v>
      </c>
      <c r="J138" s="24">
        <f t="shared" si="52"/>
        <v>4455.5529999999999</v>
      </c>
      <c r="K138" s="24">
        <f t="shared" si="52"/>
        <v>3241.607</v>
      </c>
      <c r="L138" s="24">
        <f t="shared" si="52"/>
        <v>2840.491</v>
      </c>
      <c r="M138" s="24">
        <f t="shared" si="52"/>
        <v>0</v>
      </c>
      <c r="N138" s="24">
        <f t="shared" si="52"/>
        <v>0</v>
      </c>
      <c r="O138" s="24">
        <f t="shared" si="52"/>
        <v>0</v>
      </c>
      <c r="P138" s="24">
        <f t="shared" si="52"/>
        <v>0</v>
      </c>
      <c r="Q138" s="24">
        <f t="shared" si="52"/>
        <v>0</v>
      </c>
      <c r="R138" s="24">
        <f t="shared" si="52"/>
        <v>0</v>
      </c>
    </row>
    <row r="139" spans="2:18" x14ac:dyDescent="0.45">
      <c r="B139" s="47" t="s">
        <v>359</v>
      </c>
      <c r="C139" s="24">
        <f t="shared" ref="C139:R139" si="53">C58</f>
        <v>25175.75</v>
      </c>
      <c r="D139" s="24">
        <f t="shared" si="53"/>
        <v>21961.089</v>
      </c>
      <c r="E139" s="24">
        <f t="shared" si="53"/>
        <v>20039.654000000002</v>
      </c>
      <c r="F139" s="24">
        <f t="shared" si="53"/>
        <v>26043.595999999998</v>
      </c>
      <c r="G139" s="24">
        <f t="shared" si="53"/>
        <v>31920.511999999999</v>
      </c>
      <c r="H139" s="24">
        <f t="shared" si="53"/>
        <v>30219.284</v>
      </c>
      <c r="I139" s="24">
        <f t="shared" si="53"/>
        <v>28201.132000000001</v>
      </c>
      <c r="J139" s="24">
        <f t="shared" si="53"/>
        <v>22113.163</v>
      </c>
      <c r="K139" s="24">
        <f t="shared" si="53"/>
        <v>20218.272000000001</v>
      </c>
      <c r="L139" s="24">
        <f t="shared" si="53"/>
        <v>19953.574000000001</v>
      </c>
      <c r="M139" s="24">
        <f t="shared" si="53"/>
        <v>0</v>
      </c>
      <c r="N139" s="24">
        <f t="shared" si="53"/>
        <v>0</v>
      </c>
      <c r="O139" s="24">
        <f t="shared" si="53"/>
        <v>0</v>
      </c>
      <c r="P139" s="24">
        <f t="shared" si="53"/>
        <v>0</v>
      </c>
      <c r="Q139" s="24">
        <f t="shared" si="53"/>
        <v>0</v>
      </c>
      <c r="R139" s="24">
        <f t="shared" si="53"/>
        <v>0</v>
      </c>
    </row>
    <row r="140" spans="2:18" x14ac:dyDescent="0.45">
      <c r="B140" s="60" t="s">
        <v>360</v>
      </c>
      <c r="C140" s="32">
        <f t="shared" ref="C140:R140" si="54">SUM(C138:C139)</f>
        <v>26950.659</v>
      </c>
      <c r="D140" s="32">
        <f t="shared" si="54"/>
        <v>26796.955999999998</v>
      </c>
      <c r="E140" s="32">
        <f t="shared" si="54"/>
        <v>23219.569000000003</v>
      </c>
      <c r="F140" s="32">
        <f t="shared" si="54"/>
        <v>32492.157999999996</v>
      </c>
      <c r="G140" s="32">
        <f t="shared" si="54"/>
        <v>40086.224000000002</v>
      </c>
      <c r="H140" s="32">
        <f t="shared" si="54"/>
        <v>34377.993000000002</v>
      </c>
      <c r="I140" s="32">
        <f t="shared" si="54"/>
        <v>32488.572</v>
      </c>
      <c r="J140" s="32">
        <f t="shared" si="54"/>
        <v>26568.716</v>
      </c>
      <c r="K140" s="32">
        <f t="shared" si="54"/>
        <v>23459.879000000001</v>
      </c>
      <c r="L140" s="32">
        <f t="shared" si="54"/>
        <v>22794.065000000002</v>
      </c>
      <c r="M140" s="32">
        <f t="shared" si="54"/>
        <v>0</v>
      </c>
      <c r="N140" s="32">
        <f t="shared" si="54"/>
        <v>0</v>
      </c>
      <c r="O140" s="32">
        <f t="shared" si="54"/>
        <v>0</v>
      </c>
      <c r="P140" s="32">
        <f t="shared" si="54"/>
        <v>0</v>
      </c>
      <c r="Q140" s="32">
        <f t="shared" si="54"/>
        <v>0</v>
      </c>
      <c r="R140" s="24">
        <f t="shared" si="54"/>
        <v>0</v>
      </c>
    </row>
    <row r="141" spans="2:18" x14ac:dyDescent="0.45">
      <c r="B141" s="62" t="s">
        <v>361</v>
      </c>
    </row>
    <row r="142" spans="2:18" x14ac:dyDescent="0.45">
      <c r="B142" s="47" t="s">
        <v>362</v>
      </c>
      <c r="C142" s="24">
        <f t="shared" ref="C142:R142" si="55">C53</f>
        <v>5107.6120000000001</v>
      </c>
      <c r="D142" s="24">
        <f t="shared" si="55"/>
        <v>4496.22</v>
      </c>
      <c r="E142" s="24">
        <f t="shared" si="55"/>
        <v>4003.8789999999999</v>
      </c>
      <c r="F142" s="24">
        <f t="shared" si="55"/>
        <v>-121.33499999999999</v>
      </c>
      <c r="G142" s="24">
        <f t="shared" si="55"/>
        <v>8204.6579999999994</v>
      </c>
      <c r="H142" s="24">
        <f t="shared" si="55"/>
        <v>6943.46</v>
      </c>
      <c r="I142" s="24">
        <f t="shared" si="55"/>
        <v>7485.4560000000001</v>
      </c>
      <c r="J142" s="24">
        <f t="shared" si="55"/>
        <v>-565.96299999999997</v>
      </c>
      <c r="K142" s="24">
        <f t="shared" si="55"/>
        <v>-636.10599999999999</v>
      </c>
      <c r="L142" s="24">
        <f t="shared" si="55"/>
        <v>-707.40200000000004</v>
      </c>
      <c r="M142" s="24">
        <f t="shared" si="55"/>
        <v>0</v>
      </c>
      <c r="N142" s="24">
        <f t="shared" si="55"/>
        <v>0</v>
      </c>
      <c r="O142" s="24">
        <f t="shared" si="55"/>
        <v>0</v>
      </c>
      <c r="P142" s="24">
        <f t="shared" si="55"/>
        <v>0</v>
      </c>
      <c r="Q142" s="24">
        <f t="shared" si="55"/>
        <v>0</v>
      </c>
      <c r="R142" s="24">
        <f t="shared" si="55"/>
        <v>0</v>
      </c>
    </row>
    <row r="143" spans="2:18" x14ac:dyDescent="0.45">
      <c r="B143" s="59" t="s">
        <v>363</v>
      </c>
      <c r="C143" s="24">
        <f t="shared" ref="C143:R143" si="56">C55</f>
        <v>6939.514000000001</v>
      </c>
      <c r="D143" s="24">
        <f t="shared" si="56"/>
        <v>1316.4240000000004</v>
      </c>
      <c r="E143" s="24">
        <f t="shared" si="56"/>
        <v>-76.541999999999916</v>
      </c>
      <c r="F143" s="24">
        <f t="shared" si="56"/>
        <v>4208.875</v>
      </c>
      <c r="G143" s="24">
        <f t="shared" si="56"/>
        <v>13460.03</v>
      </c>
      <c r="H143" s="24">
        <f t="shared" si="56"/>
        <v>16281.023000000001</v>
      </c>
      <c r="I143" s="24">
        <f t="shared" si="56"/>
        <v>17924.851000000002</v>
      </c>
      <c r="J143" s="24">
        <f t="shared" si="56"/>
        <v>11948.368999999999</v>
      </c>
      <c r="K143" s="24">
        <f t="shared" si="56"/>
        <v>15380.637000000001</v>
      </c>
      <c r="L143" s="24">
        <f t="shared" si="56"/>
        <v>16531.440999999999</v>
      </c>
      <c r="M143" s="24">
        <f t="shared" si="56"/>
        <v>0</v>
      </c>
      <c r="N143" s="24">
        <f t="shared" si="56"/>
        <v>0</v>
      </c>
      <c r="O143" s="24">
        <f t="shared" si="56"/>
        <v>0</v>
      </c>
      <c r="P143" s="24">
        <f t="shared" si="56"/>
        <v>0</v>
      </c>
      <c r="Q143" s="24">
        <f t="shared" si="56"/>
        <v>0</v>
      </c>
      <c r="R143" s="24">
        <f t="shared" si="56"/>
        <v>0</v>
      </c>
    </row>
    <row r="144" spans="2:18" ht="14.65" thickBot="1" x14ac:dyDescent="0.5">
      <c r="B144" s="66" t="s">
        <v>364</v>
      </c>
      <c r="C144" s="64">
        <f t="shared" ref="C144:R144" si="57">SUM(C142:C143)</f>
        <v>12047.126</v>
      </c>
      <c r="D144" s="64">
        <f t="shared" si="57"/>
        <v>5812.6440000000002</v>
      </c>
      <c r="E144" s="64">
        <f t="shared" si="57"/>
        <v>3927.337</v>
      </c>
      <c r="F144" s="64">
        <f t="shared" si="57"/>
        <v>4087.54</v>
      </c>
      <c r="G144" s="64">
        <f t="shared" si="57"/>
        <v>21664.688000000002</v>
      </c>
      <c r="H144" s="64">
        <f t="shared" si="57"/>
        <v>23224.483</v>
      </c>
      <c r="I144" s="64">
        <f t="shared" si="57"/>
        <v>25410.307000000001</v>
      </c>
      <c r="J144" s="64">
        <f t="shared" si="57"/>
        <v>11382.405999999999</v>
      </c>
      <c r="K144" s="64">
        <f t="shared" si="57"/>
        <v>14744.531000000001</v>
      </c>
      <c r="L144" s="64">
        <f t="shared" si="57"/>
        <v>15824.038999999999</v>
      </c>
      <c r="M144" s="64">
        <f t="shared" si="57"/>
        <v>0</v>
      </c>
      <c r="N144" s="64">
        <f t="shared" si="57"/>
        <v>0</v>
      </c>
      <c r="O144" s="64">
        <f t="shared" si="57"/>
        <v>0</v>
      </c>
      <c r="P144" s="64">
        <f t="shared" si="57"/>
        <v>0</v>
      </c>
      <c r="Q144" s="64">
        <f t="shared" si="57"/>
        <v>0</v>
      </c>
      <c r="R144" s="24">
        <f t="shared" si="57"/>
        <v>0</v>
      </c>
    </row>
    <row r="145" spans="1:18" ht="15" thickTop="1" thickBot="1" x14ac:dyDescent="0.5">
      <c r="B145" s="52" t="s">
        <v>365</v>
      </c>
      <c r="C145" s="44">
        <f t="shared" ref="C145:R145" si="58">SUM(C140,C144)</f>
        <v>38997.785000000003</v>
      </c>
      <c r="D145" s="44">
        <f t="shared" si="58"/>
        <v>32609.599999999999</v>
      </c>
      <c r="E145" s="44">
        <f t="shared" si="58"/>
        <v>27146.906000000003</v>
      </c>
      <c r="F145" s="44">
        <f t="shared" si="58"/>
        <v>36579.697999999997</v>
      </c>
      <c r="G145" s="44">
        <f t="shared" si="58"/>
        <v>61750.912000000004</v>
      </c>
      <c r="H145" s="44">
        <f t="shared" si="58"/>
        <v>57602.476000000002</v>
      </c>
      <c r="I145" s="44">
        <f t="shared" si="58"/>
        <v>57898.879000000001</v>
      </c>
      <c r="J145" s="44">
        <f t="shared" si="58"/>
        <v>37951.122000000003</v>
      </c>
      <c r="K145" s="44">
        <f t="shared" si="58"/>
        <v>38204.410000000003</v>
      </c>
      <c r="L145" s="44">
        <f t="shared" si="58"/>
        <v>38618.103999999999</v>
      </c>
      <c r="M145" s="44">
        <f t="shared" si="58"/>
        <v>0</v>
      </c>
      <c r="N145" s="44">
        <f t="shared" si="58"/>
        <v>0</v>
      </c>
      <c r="O145" s="44">
        <f t="shared" si="58"/>
        <v>0</v>
      </c>
      <c r="P145" s="44">
        <f t="shared" si="58"/>
        <v>0</v>
      </c>
      <c r="Q145" s="44">
        <f t="shared" si="58"/>
        <v>0</v>
      </c>
      <c r="R145" s="24">
        <f t="shared" si="58"/>
        <v>0</v>
      </c>
    </row>
    <row r="146" spans="1:18" ht="14.65" thickTop="1" x14ac:dyDescent="0.45">
      <c r="A146" s="24" t="s">
        <v>14</v>
      </c>
      <c r="B146" s="34"/>
    </row>
    <row r="147" spans="1:18" x14ac:dyDescent="0.45">
      <c r="B147" s="34"/>
    </row>
  </sheetData>
  <dataValidations count="1">
    <dataValidation type="list" allowBlank="1" showInputMessage="1" showErrorMessage="1" sqref="B27" xr:uid="{F60180FD-6F47-47DC-909F-85DDF75EAFCC}">
      <formula1>B$237:B$254</formula1>
    </dataValidation>
  </dataValidation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7591F-92B5-4FB9-B5BF-EEDF379D0BE2}">
  <dimension ref="A2:T147"/>
  <sheetViews>
    <sheetView showGridLines="0" zoomScale="66" workbookViewId="0">
      <selection activeCell="S26" sqref="S26"/>
    </sheetView>
  </sheetViews>
  <sheetFormatPr defaultColWidth="9.1328125" defaultRowHeight="14.25" x14ac:dyDescent="0.45"/>
  <cols>
    <col min="1" max="1" width="3.33203125" style="24" customWidth="1"/>
    <col min="2" max="2" width="45.33203125" style="24" customWidth="1"/>
    <col min="3" max="10" width="10" style="24" bestFit="1" customWidth="1"/>
    <col min="11" max="17" width="9.33203125" style="24" bestFit="1" customWidth="1"/>
    <col min="18" max="16384" width="9.1328125" style="24"/>
  </cols>
  <sheetData>
    <row r="2" spans="1:17" x14ac:dyDescent="0.45">
      <c r="B2" s="26" t="s">
        <v>366</v>
      </c>
      <c r="C2" s="21">
        <v>2015</v>
      </c>
      <c r="D2" s="21">
        <f t="shared" ref="D2:Q2" si="0">C2+1</f>
        <v>2016</v>
      </c>
      <c r="E2" s="21">
        <f t="shared" si="0"/>
        <v>2017</v>
      </c>
      <c r="F2" s="21">
        <f t="shared" si="0"/>
        <v>2018</v>
      </c>
      <c r="G2" s="21">
        <f t="shared" si="0"/>
        <v>2019</v>
      </c>
      <c r="H2" s="21">
        <f t="shared" si="0"/>
        <v>2020</v>
      </c>
      <c r="I2" s="21">
        <f t="shared" si="0"/>
        <v>2021</v>
      </c>
      <c r="J2" s="21">
        <f t="shared" si="0"/>
        <v>2022</v>
      </c>
      <c r="K2" s="21">
        <f t="shared" si="0"/>
        <v>2023</v>
      </c>
      <c r="L2" s="21">
        <f t="shared" si="0"/>
        <v>2024</v>
      </c>
      <c r="M2" s="22">
        <f t="shared" si="0"/>
        <v>2025</v>
      </c>
      <c r="N2" s="22">
        <f t="shared" si="0"/>
        <v>2026</v>
      </c>
      <c r="O2" s="22">
        <f t="shared" si="0"/>
        <v>2027</v>
      </c>
      <c r="P2" s="22">
        <f t="shared" si="0"/>
        <v>2028</v>
      </c>
      <c r="Q2" s="22">
        <f t="shared" si="0"/>
        <v>2029</v>
      </c>
    </row>
    <row r="3" spans="1:17" x14ac:dyDescent="0.45">
      <c r="B3" s="24" t="s">
        <v>251</v>
      </c>
      <c r="C3" s="14"/>
      <c r="D3" s="14"/>
      <c r="E3" s="14">
        <v>0.05</v>
      </c>
      <c r="F3" s="14">
        <v>0.05</v>
      </c>
      <c r="G3" s="14">
        <v>0.05</v>
      </c>
      <c r="H3" s="14">
        <v>0.05</v>
      </c>
      <c r="I3" s="14">
        <v>0.05</v>
      </c>
      <c r="J3" s="14">
        <v>0.05</v>
      </c>
      <c r="K3" s="14">
        <v>0.05</v>
      </c>
      <c r="L3" s="14">
        <v>0.05</v>
      </c>
      <c r="M3" s="14">
        <v>0.05</v>
      </c>
      <c r="N3" s="14">
        <v>0.05</v>
      </c>
      <c r="O3" s="14">
        <v>0.05</v>
      </c>
      <c r="P3" s="14">
        <v>0.05</v>
      </c>
      <c r="Q3" s="14">
        <v>0.05</v>
      </c>
    </row>
    <row r="4" spans="1:17" x14ac:dyDescent="0.45">
      <c r="B4" s="24" t="s">
        <v>86</v>
      </c>
      <c r="C4" s="14">
        <v>0.03</v>
      </c>
      <c r="D4" s="14"/>
      <c r="E4" s="14">
        <f t="shared" ref="E4:K4" si="1">-E17/E11</f>
        <v>0.18069202421250954</v>
      </c>
      <c r="F4" s="14">
        <f t="shared" si="1"/>
        <v>0.10931007119000022</v>
      </c>
      <c r="G4" s="14">
        <f t="shared" si="1"/>
        <v>-8.532538311373801E-2</v>
      </c>
      <c r="H4" s="14">
        <f t="shared" si="1"/>
        <v>-0.25651258990721743</v>
      </c>
      <c r="I4" s="14">
        <f t="shared" si="1"/>
        <v>8.4787674496696441E-2</v>
      </c>
      <c r="J4" s="14">
        <f t="shared" si="1"/>
        <v>-2.4942025149916327E-3</v>
      </c>
      <c r="K4" s="14">
        <f t="shared" si="1"/>
        <v>-6.2611679274629239E-2</v>
      </c>
    </row>
    <row r="5" spans="1:17" x14ac:dyDescent="0.45">
      <c r="B5" s="40" t="s">
        <v>367</v>
      </c>
      <c r="C5" s="217"/>
      <c r="D5" s="40"/>
      <c r="E5" s="40"/>
      <c r="F5" s="40"/>
      <c r="G5" s="40"/>
      <c r="H5" s="40"/>
      <c r="I5" s="40"/>
      <c r="J5" s="40"/>
      <c r="K5" s="40"/>
      <c r="L5" s="40"/>
      <c r="M5" s="40"/>
      <c r="N5" s="40"/>
      <c r="O5" s="40"/>
      <c r="P5" s="40"/>
      <c r="Q5" s="40"/>
    </row>
    <row r="7" spans="1:17" ht="14.65" thickBot="1" x14ac:dyDescent="0.5">
      <c r="B7" s="41"/>
      <c r="C7" s="41"/>
      <c r="D7" s="41"/>
      <c r="E7" s="41"/>
      <c r="F7" s="41"/>
      <c r="G7" s="41"/>
      <c r="H7" s="41"/>
      <c r="I7" s="41"/>
      <c r="J7" s="41"/>
      <c r="K7" s="41"/>
      <c r="L7" s="41"/>
      <c r="M7" s="41"/>
      <c r="N7" s="41"/>
      <c r="O7" s="41"/>
      <c r="P7" s="41"/>
      <c r="Q7" s="41"/>
    </row>
    <row r="8" spans="1:17" ht="14.65" thickTop="1" x14ac:dyDescent="0.45">
      <c r="A8" s="24" t="s">
        <v>14</v>
      </c>
      <c r="B8" s="42" t="s">
        <v>252</v>
      </c>
      <c r="C8" s="54"/>
      <c r="D8" s="54"/>
      <c r="E8" s="54"/>
      <c r="F8" s="54"/>
      <c r="G8" s="54"/>
      <c r="H8" s="54"/>
      <c r="I8" s="54"/>
      <c r="J8" s="54"/>
      <c r="K8" s="54"/>
      <c r="L8" s="54"/>
      <c r="M8" s="54"/>
      <c r="N8" s="54"/>
      <c r="O8" s="54"/>
      <c r="P8" s="54"/>
      <c r="Q8" s="54"/>
    </row>
    <row r="9" spans="1:17" x14ac:dyDescent="0.45">
      <c r="B9" s="42" t="s">
        <v>96</v>
      </c>
      <c r="C9" s="23">
        <f>'Takeda Standardized'!C5</f>
        <v>13639.87</v>
      </c>
      <c r="D9" s="23">
        <f>'Takeda Standardized'!D5</f>
        <v>14415.663</v>
      </c>
      <c r="E9" s="23">
        <f>'Takeda Standardized'!E5</f>
        <v>14123.2</v>
      </c>
      <c r="F9" s="23">
        <f>'Takeda Standardized'!F5</f>
        <v>13667.179</v>
      </c>
      <c r="G9" s="23">
        <f>'Takeda Standardized'!G5</f>
        <v>26529.163</v>
      </c>
      <c r="H9" s="23">
        <f>'Takeda Standardized'!H5</f>
        <v>26275.955000000002</v>
      </c>
      <c r="I9" s="23">
        <f>'Takeda Standardized'!I5</f>
        <v>26697.043000000001</v>
      </c>
      <c r="J9" s="23">
        <f>'Takeda Standardized'!J5</f>
        <v>28619.871999999999</v>
      </c>
      <c r="K9" s="23">
        <f>'Takeda Standardized'!K5</f>
        <v>27494.555</v>
      </c>
      <c r="L9" s="23">
        <f>'Takeda Standardized'!L5</f>
        <v>27970.201000000001</v>
      </c>
      <c r="M9" s="23"/>
      <c r="N9" s="23"/>
      <c r="O9" s="23"/>
      <c r="P9" s="23"/>
      <c r="Q9" s="23"/>
    </row>
    <row r="10" spans="1:17" x14ac:dyDescent="0.45">
      <c r="B10" s="24" t="s">
        <v>253</v>
      </c>
      <c r="C10" s="27">
        <f>SUM('Takeda Standardized'!C6:C10)</f>
        <v>-12844.441999999999</v>
      </c>
      <c r="D10" s="27">
        <f>SUM('Takeda Standardized'!D6:D10)</f>
        <v>-12659.602000000001</v>
      </c>
      <c r="E10" s="27">
        <f>SUM('Takeda Standardized'!E6:E10)</f>
        <v>-12623.974999999999</v>
      </c>
      <c r="F10" s="27">
        <f>SUM('Takeda Standardized'!F6:F10)</f>
        <v>-11749.213</v>
      </c>
      <c r="G10" s="27">
        <f>SUM('Takeda Standardized'!G6:G10)</f>
        <v>-22858.321000000004</v>
      </c>
      <c r="H10" s="27">
        <f>SUM('Takeda Standardized'!H6:H10)</f>
        <v>-24290.992000000002</v>
      </c>
      <c r="I10" s="27">
        <f>SUM('Takeda Standardized'!I6:I10)</f>
        <v>-22262.789999999997</v>
      </c>
      <c r="J10" s="27">
        <f>SUM('Takeda Standardized'!J6:J10)</f>
        <v>-24550.435000000001</v>
      </c>
      <c r="K10" s="27">
        <f>SUM('Takeda Standardized'!K6:K10)</f>
        <v>-24324.204000000002</v>
      </c>
      <c r="L10" s="27">
        <f>SUM('Takeda Standardized'!L6:L10)</f>
        <v>-24368.041999999998</v>
      </c>
      <c r="M10" s="27"/>
      <c r="N10" s="27"/>
      <c r="O10" s="27"/>
      <c r="P10" s="27"/>
      <c r="Q10" s="27"/>
    </row>
    <row r="11" spans="1:17" s="26" customFormat="1" x14ac:dyDescent="0.45">
      <c r="B11" s="32" t="s">
        <v>254</v>
      </c>
      <c r="C11" s="26">
        <f t="shared" ref="C11:L11" si="2">SUM(C9:C10)</f>
        <v>795.4280000000017</v>
      </c>
      <c r="D11" s="26">
        <f t="shared" si="2"/>
        <v>1756.0609999999997</v>
      </c>
      <c r="E11" s="26">
        <f t="shared" si="2"/>
        <v>1499.2250000000022</v>
      </c>
      <c r="F11" s="26">
        <f t="shared" si="2"/>
        <v>1917.9660000000003</v>
      </c>
      <c r="G11" s="26">
        <f t="shared" si="2"/>
        <v>3670.8419999999969</v>
      </c>
      <c r="H11" s="26">
        <f t="shared" si="2"/>
        <v>1984.9629999999997</v>
      </c>
      <c r="I11" s="26">
        <f t="shared" si="2"/>
        <v>4434.2530000000042</v>
      </c>
      <c r="J11" s="26">
        <f t="shared" si="2"/>
        <v>4069.4369999999981</v>
      </c>
      <c r="K11" s="26">
        <f t="shared" si="2"/>
        <v>3170.3509999999987</v>
      </c>
      <c r="L11" s="26">
        <f t="shared" si="2"/>
        <v>3602.1590000000033</v>
      </c>
    </row>
    <row r="12" spans="1:17" x14ac:dyDescent="0.45">
      <c r="B12" s="24" t="s">
        <v>255</v>
      </c>
      <c r="C12" s="25">
        <f>'Takeda Standardized'!C13</f>
        <v>57.312999999999995</v>
      </c>
      <c r="D12" s="25">
        <f>'Takeda Standardized'!D13</f>
        <v>99.161000000000001</v>
      </c>
      <c r="E12" s="25">
        <f>'Takeda Standardized'!E13</f>
        <v>-135.476</v>
      </c>
      <c r="F12" s="25">
        <f>'Takeda Standardized'!F13</f>
        <v>-269.71799999999996</v>
      </c>
      <c r="G12" s="25">
        <f>'Takeda Standardized'!G13</f>
        <v>-103.34800000000001</v>
      </c>
      <c r="H12" s="25">
        <f>'Takeda Standardized'!H13</f>
        <v>-156.52699999999999</v>
      </c>
      <c r="I12" s="25">
        <f>'Takeda Standardized'!I13</f>
        <v>21.829000000000001</v>
      </c>
      <c r="J12" s="25">
        <f>'Takeda Standardized'!J13</f>
        <v>-34.557000000000002</v>
      </c>
      <c r="K12" s="25">
        <f>'Takeda Standardized'!K13</f>
        <v>129.59</v>
      </c>
      <c r="L12" s="25">
        <f>'Takeda Standardized'!L13</f>
        <v>-115.185</v>
      </c>
      <c r="M12" s="25"/>
      <c r="N12" s="25"/>
      <c r="O12" s="25"/>
      <c r="P12" s="25"/>
      <c r="Q12" s="25"/>
    </row>
    <row r="13" spans="1:17" x14ac:dyDescent="0.45">
      <c r="B13" s="24" t="s">
        <v>256</v>
      </c>
      <c r="C13" s="25">
        <f>'Takeda Standardized'!C14</f>
        <v>-2176.2069999999999</v>
      </c>
      <c r="D13" s="25">
        <f>'Takeda Standardized'!D14</f>
        <v>-444.48700000000002</v>
      </c>
      <c r="E13" s="25">
        <f>'Takeda Standardized'!E14</f>
        <v>541.30700000000002</v>
      </c>
      <c r="F13" s="25">
        <f>'Takeda Standardized'!F14</f>
        <v>-588.42600000000004</v>
      </c>
      <c r="G13" s="25">
        <f>'Takeda Standardized'!G14</f>
        <v>-2947.6610000000001</v>
      </c>
      <c r="H13" s="25">
        <f>'Takeda Standardized'!H14</f>
        <v>593.46900000000005</v>
      </c>
      <c r="I13" s="25">
        <f>'Takeda Standardized'!I14</f>
        <v>176.08899999999994</v>
      </c>
      <c r="J13" s="25">
        <f>'Takeda Standardized'!J14</f>
        <v>-1409.556</v>
      </c>
      <c r="K13" s="25">
        <f>'Takeda Standardized'!K14</f>
        <v>-1226.846</v>
      </c>
      <c r="L13" s="25">
        <f>'Takeda Standardized'!L14</f>
        <v>-1504.2140000000002</v>
      </c>
      <c r="M13" s="25"/>
      <c r="N13" s="25"/>
      <c r="O13" s="25"/>
      <c r="P13" s="25"/>
      <c r="Q13" s="25"/>
    </row>
    <row r="14" spans="1:17" x14ac:dyDescent="0.45">
      <c r="B14" s="43" t="s">
        <v>257</v>
      </c>
      <c r="C14" s="25">
        <f>'Takeda Standardized'!C11</f>
        <v>59.048000000000002</v>
      </c>
      <c r="D14" s="25">
        <f>'Takeda Standardized'!D11</f>
        <v>69.13</v>
      </c>
      <c r="E14" s="25">
        <f>'Takeda Standardized'!E11</f>
        <v>51.082000000000001</v>
      </c>
      <c r="F14" s="25">
        <f>'Takeda Standardized'!F11</f>
        <v>78.888999999999996</v>
      </c>
      <c r="G14" s="25">
        <f>'Takeda Standardized'!G11</f>
        <v>264.84899999999999</v>
      </c>
      <c r="H14" s="25">
        <f>'Takeda Standardized'!H11</f>
        <v>313.40699999999998</v>
      </c>
      <c r="I14" s="25">
        <f>'Takeda Standardized'!I11</f>
        <v>0</v>
      </c>
      <c r="J14" s="25">
        <f>'Takeda Standardized'!J11</f>
        <v>122.93600000000001</v>
      </c>
      <c r="K14" s="25">
        <f>'Takeda Standardized'!K11</f>
        <v>0</v>
      </c>
      <c r="L14" s="25">
        <f>'Takeda Standardized'!L11</f>
        <v>0</v>
      </c>
      <c r="M14" s="25"/>
      <c r="N14" s="25"/>
      <c r="O14" s="25"/>
      <c r="P14" s="25"/>
      <c r="Q14" s="25"/>
    </row>
    <row r="15" spans="1:17" x14ac:dyDescent="0.45">
      <c r="B15" s="43" t="s">
        <v>258</v>
      </c>
      <c r="C15" s="25">
        <f>'Takeda Standardized'!C12</f>
        <v>-64.463999999999999</v>
      </c>
      <c r="D15" s="25">
        <f>'Takeda Standardized'!D12</f>
        <v>-23.69</v>
      </c>
      <c r="E15" s="25">
        <f>'Takeda Standardized'!E12</f>
        <v>-197.09399999999999</v>
      </c>
      <c r="F15" s="25">
        <f>'Takeda Standardized'!F12</f>
        <v>-82.058000000000007</v>
      </c>
      <c r="G15" s="25">
        <f>'Takeda Standardized'!G12</f>
        <v>-1087.617</v>
      </c>
      <c r="H15" s="25">
        <f>'Takeda Standardized'!H12</f>
        <v>-1761.269</v>
      </c>
      <c r="I15" s="25">
        <f>'Takeda Standardized'!I12</f>
        <v>-877.2</v>
      </c>
      <c r="J15" s="25">
        <f>'Takeda Standardized'!J12</f>
        <v>-766.59500000000003</v>
      </c>
      <c r="K15" s="25">
        <f>'Takeda Standardized'!K12</f>
        <v>-1095.5419999999999</v>
      </c>
      <c r="L15" s="25">
        <f>'Takeda Standardized'!L12</f>
        <v>-548.15</v>
      </c>
      <c r="M15" s="25"/>
      <c r="N15" s="25"/>
      <c r="O15" s="27"/>
      <c r="P15" s="27"/>
      <c r="Q15" s="27"/>
    </row>
    <row r="16" spans="1:17" x14ac:dyDescent="0.45">
      <c r="B16" s="32" t="s">
        <v>259</v>
      </c>
      <c r="C16" s="36">
        <f t="shared" ref="C16:L16" si="3">SUM(C11:C15)</f>
        <v>-1328.881999999998</v>
      </c>
      <c r="D16" s="36">
        <f t="shared" si="3"/>
        <v>1456.1749999999997</v>
      </c>
      <c r="E16" s="36">
        <f t="shared" si="3"/>
        <v>1759.0440000000021</v>
      </c>
      <c r="F16" s="36">
        <f t="shared" si="3"/>
        <v>1056.6530000000005</v>
      </c>
      <c r="G16" s="36">
        <f t="shared" si="3"/>
        <v>-202.93500000000313</v>
      </c>
      <c r="H16" s="36">
        <f t="shared" si="3"/>
        <v>974.04299999999989</v>
      </c>
      <c r="I16" s="36">
        <f t="shared" si="3"/>
        <v>3754.9710000000041</v>
      </c>
      <c r="J16" s="36">
        <f t="shared" si="3"/>
        <v>1981.6649999999984</v>
      </c>
      <c r="K16" s="36">
        <f t="shared" si="3"/>
        <v>977.55299999999897</v>
      </c>
      <c r="L16" s="36">
        <f t="shared" si="3"/>
        <v>1434.6100000000033</v>
      </c>
      <c r="M16" s="36"/>
      <c r="N16" s="36"/>
      <c r="O16" s="32"/>
      <c r="P16" s="32"/>
      <c r="Q16" s="32"/>
    </row>
    <row r="17" spans="1:17" x14ac:dyDescent="0.45">
      <c r="B17" s="24" t="s">
        <v>260</v>
      </c>
      <c r="C17" s="27">
        <f>'Takeda Standardized'!C15</f>
        <v>516.83500000000004</v>
      </c>
      <c r="D17" s="27">
        <f>'Takeda Standardized'!D15</f>
        <v>-329.983</v>
      </c>
      <c r="E17" s="27">
        <f>'Takeda Standardized'!E15</f>
        <v>-270.89800000000002</v>
      </c>
      <c r="F17" s="27">
        <f>'Takeda Standardized'!F15</f>
        <v>-209.65299999999999</v>
      </c>
      <c r="G17" s="27">
        <f>'Takeda Standardized'!G15</f>
        <v>313.21600000000001</v>
      </c>
      <c r="H17" s="27">
        <f>'Takeda Standardized'!H15</f>
        <v>509.16800000000001</v>
      </c>
      <c r="I17" s="27">
        <f>'Takeda Standardized'!I15</f>
        <v>-375.97</v>
      </c>
      <c r="J17" s="27">
        <f>'Takeda Standardized'!J15</f>
        <v>10.15</v>
      </c>
      <c r="K17" s="27">
        <f>'Takeda Standardized'!K15</f>
        <v>198.501</v>
      </c>
      <c r="L17" s="27">
        <f>'Takeda Standardized'!L15</f>
        <v>-162.56700000000001</v>
      </c>
      <c r="M17" s="27"/>
      <c r="N17" s="27"/>
      <c r="O17" s="27"/>
      <c r="P17" s="27"/>
      <c r="Q17" s="27"/>
    </row>
    <row r="18" spans="1:17" x14ac:dyDescent="0.45">
      <c r="B18" s="32" t="s">
        <v>261</v>
      </c>
      <c r="C18" s="32">
        <f t="shared" ref="C18:L18" si="4">SUM(C16:C17)</f>
        <v>-812.04699999999798</v>
      </c>
      <c r="D18" s="32">
        <f t="shared" si="4"/>
        <v>1126.1919999999998</v>
      </c>
      <c r="E18" s="32">
        <f t="shared" si="4"/>
        <v>1488.146000000002</v>
      </c>
      <c r="F18" s="32">
        <f t="shared" si="4"/>
        <v>847.00000000000045</v>
      </c>
      <c r="G18" s="32">
        <f t="shared" si="4"/>
        <v>110.28099999999688</v>
      </c>
      <c r="H18" s="32">
        <f t="shared" si="4"/>
        <v>1483.2109999999998</v>
      </c>
      <c r="I18" s="32">
        <f t="shared" si="4"/>
        <v>3379.0010000000038</v>
      </c>
      <c r="J18" s="32">
        <f t="shared" si="4"/>
        <v>1991.8149999999985</v>
      </c>
      <c r="K18" s="32">
        <f t="shared" si="4"/>
        <v>1176.053999999999</v>
      </c>
      <c r="L18" s="32">
        <f t="shared" si="4"/>
        <v>1272.0430000000033</v>
      </c>
      <c r="M18" s="32"/>
      <c r="N18" s="32"/>
      <c r="O18" s="32"/>
      <c r="P18" s="32"/>
      <c r="Q18" s="32"/>
    </row>
    <row r="19" spans="1:17" x14ac:dyDescent="0.45">
      <c r="B19" s="24" t="s">
        <v>262</v>
      </c>
      <c r="C19" s="32">
        <f>'Takeda Standardized'!C16</f>
        <v>-21.303999999999998</v>
      </c>
      <c r="D19" s="32">
        <f>'Takeda Standardized'!D16</f>
        <v>-24.632000000000001</v>
      </c>
      <c r="E19" s="32">
        <f>'Takeda Standardized'!E16</f>
        <v>15.872999999999999</v>
      </c>
      <c r="F19" s="32">
        <f>'Takeda Standardized'!F16</f>
        <v>0.315</v>
      </c>
      <c r="G19" s="32">
        <f>'Takeda Standardized'!G16</f>
        <v>-1.4750000000000001</v>
      </c>
      <c r="H19" s="32">
        <f>'Takeda Standardized'!H16</f>
        <v>0.34499999999999997</v>
      </c>
      <c r="I19" s="32">
        <f>'Takeda Standardized'!I16</f>
        <v>-1.3089999999999999</v>
      </c>
      <c r="J19" s="32">
        <f>'Takeda Standardized'!J16</f>
        <v>-1.4999999999999999E-2</v>
      </c>
      <c r="K19" s="32">
        <f>'Takeda Standardized'!K16</f>
        <v>-0.71199999999999997</v>
      </c>
      <c r="L19" s="32">
        <f>'Takeda Standardized'!L16</f>
        <v>-1.1120000000000001</v>
      </c>
      <c r="M19" s="32"/>
      <c r="N19" s="32"/>
      <c r="O19" s="32"/>
      <c r="P19" s="32"/>
      <c r="Q19" s="32"/>
    </row>
    <row r="20" spans="1:17" x14ac:dyDescent="0.45">
      <c r="B20" s="34" t="s">
        <v>263</v>
      </c>
      <c r="C20" s="27">
        <f>'Takeda Standardized'!C17</f>
        <v>0</v>
      </c>
      <c r="D20" s="27">
        <f>'Takeda Standardized'!D17</f>
        <v>0</v>
      </c>
      <c r="E20" s="27">
        <f>'Takeda Standardized'!E17</f>
        <v>0</v>
      </c>
      <c r="F20" s="27">
        <f>'Takeda Standardized'!F17</f>
        <v>0</v>
      </c>
      <c r="G20" s="27">
        <f>'Takeda Standardized'!G17</f>
        <v>0</v>
      </c>
      <c r="H20" s="27">
        <f>'Takeda Standardized'!H17</f>
        <v>0</v>
      </c>
      <c r="I20" s="27">
        <f>'Takeda Standardized'!I17</f>
        <v>0</v>
      </c>
      <c r="J20" s="27">
        <f>'Takeda Standardized'!J17</f>
        <v>0</v>
      </c>
      <c r="K20" s="27">
        <f>'Takeda Standardized'!K17</f>
        <v>0</v>
      </c>
      <c r="L20" s="27">
        <f>'Takeda Standardized'!L17</f>
        <v>0</v>
      </c>
      <c r="M20" s="27"/>
      <c r="N20" s="27"/>
      <c r="O20" s="27"/>
      <c r="P20" s="27"/>
      <c r="Q20" s="27"/>
    </row>
    <row r="21" spans="1:17" s="26" customFormat="1" ht="14.65" thickBot="1" x14ac:dyDescent="0.5">
      <c r="B21" s="44" t="s">
        <v>264</v>
      </c>
      <c r="C21" s="53">
        <f t="shared" ref="C21:L21" si="5">SUM(C18:C20)</f>
        <v>-833.35099999999795</v>
      </c>
      <c r="D21" s="53">
        <f t="shared" si="5"/>
        <v>1101.5599999999997</v>
      </c>
      <c r="E21" s="53">
        <f t="shared" si="5"/>
        <v>1504.0190000000021</v>
      </c>
      <c r="F21" s="53">
        <f t="shared" si="5"/>
        <v>847.31500000000051</v>
      </c>
      <c r="G21" s="53">
        <f t="shared" si="5"/>
        <v>108.80599999999689</v>
      </c>
      <c r="H21" s="53">
        <f t="shared" si="5"/>
        <v>1483.5559999999998</v>
      </c>
      <c r="I21" s="53">
        <f t="shared" si="5"/>
        <v>3377.6920000000036</v>
      </c>
      <c r="J21" s="53">
        <f t="shared" si="5"/>
        <v>1991.7999999999984</v>
      </c>
      <c r="K21" s="53">
        <f t="shared" si="5"/>
        <v>1175.341999999999</v>
      </c>
      <c r="L21" s="53">
        <f t="shared" si="5"/>
        <v>1270.9310000000032</v>
      </c>
      <c r="M21" s="53"/>
      <c r="N21" s="53"/>
      <c r="O21" s="53"/>
      <c r="P21" s="53"/>
      <c r="Q21" s="53"/>
    </row>
    <row r="22" spans="1:17" ht="15" thickTop="1" thickBot="1" x14ac:dyDescent="0.5">
      <c r="B22" s="45"/>
      <c r="C22" s="45"/>
      <c r="D22" s="45"/>
      <c r="E22" s="45"/>
      <c r="F22" s="45"/>
      <c r="G22" s="45"/>
      <c r="H22" s="45"/>
      <c r="I22" s="45"/>
      <c r="J22" s="45"/>
      <c r="K22" s="45"/>
      <c r="L22" s="45"/>
      <c r="M22" s="45"/>
      <c r="N22" s="45"/>
      <c r="O22" s="45"/>
      <c r="P22" s="45"/>
      <c r="Q22" s="45"/>
    </row>
    <row r="23" spans="1:17" ht="14.65" thickTop="1" x14ac:dyDescent="0.45">
      <c r="A23" s="24" t="s">
        <v>14</v>
      </c>
      <c r="B23" s="32" t="s">
        <v>265</v>
      </c>
      <c r="C23" s="54"/>
      <c r="D23" s="54"/>
      <c r="E23" s="54"/>
      <c r="F23" s="54"/>
      <c r="G23" s="54"/>
      <c r="H23" s="54"/>
      <c r="I23" s="54"/>
      <c r="J23" s="54"/>
      <c r="K23" s="54"/>
      <c r="L23" s="54"/>
      <c r="M23" s="54"/>
      <c r="N23" s="54"/>
      <c r="O23" s="54"/>
      <c r="P23" s="54"/>
      <c r="Q23" s="54"/>
    </row>
    <row r="24" spans="1:17" x14ac:dyDescent="0.45">
      <c r="B24" s="24" t="s">
        <v>266</v>
      </c>
      <c r="C24" s="46"/>
      <c r="D24" s="46"/>
      <c r="E24" s="46"/>
      <c r="F24" s="46"/>
      <c r="G24" s="46"/>
      <c r="H24" s="46"/>
      <c r="I24" s="46"/>
      <c r="J24" s="46"/>
      <c r="K24" s="46"/>
      <c r="L24" s="46"/>
      <c r="M24" s="46"/>
      <c r="N24" s="46"/>
      <c r="O24" s="46"/>
      <c r="P24" s="46"/>
      <c r="Q24" s="46"/>
    </row>
    <row r="25" spans="1:17" x14ac:dyDescent="0.45">
      <c r="B25" s="47" t="s">
        <v>267</v>
      </c>
      <c r="C25" s="25">
        <f>+'Takeda Standardized'!C6</f>
        <v>-4000.2950000000001</v>
      </c>
      <c r="D25" s="25">
        <f>+'Takeda Standardized'!D6</f>
        <v>-4643.4989999999998</v>
      </c>
      <c r="E25" s="25">
        <f>+'Takeda Standardized'!E6</f>
        <v>-4155.6989999999996</v>
      </c>
      <c r="F25" s="25">
        <f>+'Takeda Standardized'!F6</f>
        <v>-3591.2860000000001</v>
      </c>
      <c r="G25" s="25">
        <f>+'Takeda Standardized'!G6</f>
        <v>-7400.0429999999997</v>
      </c>
      <c r="H25" s="25">
        <f>+'Takeda Standardized'!H6</f>
        <v>-9466.2890000000007</v>
      </c>
      <c r="I25" s="25">
        <f>+'Takeda Standardized'!I6</f>
        <v>-8258.4969999999994</v>
      </c>
      <c r="J25" s="25">
        <f>+'Takeda Standardized'!J6</f>
        <v>-9212.4519999999993</v>
      </c>
      <c r="K25" s="25">
        <f>+'Takeda Standardized'!K6</f>
        <v>-8863.9449999999997</v>
      </c>
      <c r="L25" s="25">
        <f>+'Takeda Standardized'!L6</f>
        <v>-9684.5660000000007</v>
      </c>
      <c r="M25" s="25"/>
      <c r="N25" s="25"/>
      <c r="O25" s="25"/>
      <c r="P25" s="25"/>
      <c r="Q25" s="25"/>
    </row>
    <row r="26" spans="1:17" x14ac:dyDescent="0.45">
      <c r="B26" s="47" t="s">
        <v>268</v>
      </c>
      <c r="C26" s="25">
        <f>+'Takeda Standardized'!C8</f>
        <v>-4842.63</v>
      </c>
      <c r="D26" s="25">
        <f>+'Takeda Standardized'!D8</f>
        <v>-5117.9660000000003</v>
      </c>
      <c r="E26" s="25">
        <f>+'Takeda Standardized'!E8</f>
        <v>-5004.9070000000002</v>
      </c>
      <c r="F26" s="25">
        <f>+'Takeda Standardized'!F8</f>
        <v>-4669.1809999999996</v>
      </c>
      <c r="G26" s="25">
        <f>+'Takeda Standardized'!G8</f>
        <v>-7913.84</v>
      </c>
      <c r="H26" s="25">
        <f>+'Takeda Standardized'!H8</f>
        <v>-7354.6130000000003</v>
      </c>
      <c r="I26" s="25">
        <f>+'Takeda Standardized'!I8</f>
        <v>-6910.5240000000003</v>
      </c>
      <c r="J26" s="25">
        <f>+'Takeda Standardized'!J8</f>
        <v>-7008.0829999999996</v>
      </c>
      <c r="K26" s="25">
        <f>+'Takeda Standardized'!K8</f>
        <v>-6748.6239999999998</v>
      </c>
      <c r="L26" s="25">
        <f>+'Takeda Standardized'!L8</f>
        <v>-6683.3389999999999</v>
      </c>
      <c r="M26" s="25"/>
      <c r="N26" s="25"/>
      <c r="O26" s="25"/>
      <c r="P26" s="25"/>
      <c r="Q26" s="25"/>
    </row>
    <row r="27" spans="1:17" x14ac:dyDescent="0.45">
      <c r="B27" s="2" t="s">
        <v>269</v>
      </c>
      <c r="C27" s="24">
        <f>+'Takeda Standardized'!C9</f>
        <v>-2881.0349999999999</v>
      </c>
      <c r="D27" s="24">
        <f>+'Takeda Standardized'!D9</f>
        <v>-2601.11</v>
      </c>
      <c r="E27" s="24">
        <f>+'Takeda Standardized'!E9</f>
        <v>-2566.2649999999999</v>
      </c>
      <c r="F27" s="24">
        <f>+'Takeda Standardized'!F9</f>
        <v>-2437.8319999999999</v>
      </c>
      <c r="G27" s="24">
        <f>+'Takeda Standardized'!G9</f>
        <v>-3981.2719999999999</v>
      </c>
      <c r="H27" s="24">
        <f>+'Takeda Standardized'!H9</f>
        <v>-3997.029</v>
      </c>
      <c r="I27" s="24">
        <f>+'Takeda Standardized'!I9</f>
        <v>-3818.011</v>
      </c>
      <c r="J27" s="24">
        <f>+'Takeda Standardized'!J9</f>
        <v>-4469.4139999999998</v>
      </c>
      <c r="K27" s="24">
        <f>+'Takeda Standardized'!K9</f>
        <v>-4583.55</v>
      </c>
      <c r="L27" s="24">
        <f>+'Takeda Standardized'!L9</f>
        <v>-4329.3999999999996</v>
      </c>
    </row>
    <row r="28" spans="1:17" ht="29" customHeight="1" x14ac:dyDescent="0.45">
      <c r="B28" s="47" t="s">
        <v>270</v>
      </c>
      <c r="C28" s="25">
        <f>+'Takeda Standardized'!C10</f>
        <v>-55.353999999999999</v>
      </c>
      <c r="D28" s="25">
        <f>+'Takeda Standardized'!D10</f>
        <v>768.31100000000004</v>
      </c>
      <c r="E28" s="25">
        <f>+'Takeda Standardized'!E10</f>
        <v>102.48099999999999</v>
      </c>
      <c r="F28" s="25">
        <f>+'Takeda Standardized'!F10</f>
        <v>-318.31700000000001</v>
      </c>
      <c r="G28" s="25">
        <f>+'Takeda Standardized'!G10</f>
        <v>-219.23599999999999</v>
      </c>
      <c r="H28" s="25">
        <f>+'Takeda Standardized'!H10</f>
        <v>-171.64699999999999</v>
      </c>
      <c r="I28" s="25">
        <f>+'Takeda Standardized'!I10</f>
        <v>-7.6260000000000003</v>
      </c>
      <c r="J28" s="25">
        <f>+'Takeda Standardized'!J10</f>
        <v>-505.52199999999999</v>
      </c>
      <c r="K28" s="25">
        <f>+'Takeda Standardized'!K10</f>
        <v>-793.98900000000003</v>
      </c>
      <c r="L28" s="25">
        <f>+'Takeda Standardized'!L10</f>
        <v>-338.762</v>
      </c>
      <c r="M28" s="25"/>
      <c r="N28" s="25"/>
      <c r="O28" s="25"/>
      <c r="P28" s="25"/>
      <c r="Q28" s="25"/>
    </row>
    <row r="29" spans="1:17" x14ac:dyDescent="0.45">
      <c r="B29" s="24" t="s">
        <v>271</v>
      </c>
    </row>
    <row r="30" spans="1:17" x14ac:dyDescent="0.45">
      <c r="B30" s="47" t="s">
        <v>272</v>
      </c>
      <c r="C30" s="25"/>
      <c r="D30" s="25"/>
      <c r="E30" s="25"/>
      <c r="F30" s="25"/>
      <c r="G30" s="25"/>
      <c r="H30" s="25"/>
      <c r="I30" s="25"/>
      <c r="J30" s="25"/>
      <c r="K30" s="25"/>
      <c r="L30" s="25"/>
      <c r="M30" s="25"/>
      <c r="N30" s="25"/>
      <c r="O30" s="25"/>
      <c r="P30" s="25"/>
      <c r="Q30" s="25"/>
    </row>
    <row r="31" spans="1:17" x14ac:dyDescent="0.45">
      <c r="B31" s="47" t="s">
        <v>273</v>
      </c>
      <c r="C31" s="25"/>
      <c r="D31" s="25"/>
      <c r="E31" s="25"/>
      <c r="F31" s="25"/>
      <c r="G31" s="25"/>
      <c r="H31" s="25"/>
      <c r="I31" s="25"/>
      <c r="J31" s="25"/>
      <c r="K31" s="25"/>
      <c r="L31" s="25"/>
      <c r="M31" s="25"/>
      <c r="N31" s="25"/>
      <c r="O31" s="25"/>
      <c r="P31" s="25"/>
      <c r="Q31" s="25"/>
    </row>
    <row r="32" spans="1:17" ht="14.75" customHeight="1" x14ac:dyDescent="0.45">
      <c r="B32" s="47" t="s">
        <v>274</v>
      </c>
      <c r="C32" s="25"/>
      <c r="D32" s="25"/>
      <c r="E32" s="25"/>
      <c r="F32" s="25"/>
      <c r="G32" s="25"/>
      <c r="H32" s="25"/>
      <c r="I32" s="25"/>
      <c r="J32" s="25"/>
      <c r="K32" s="25"/>
      <c r="L32" s="25"/>
      <c r="M32" s="25"/>
      <c r="N32" s="25"/>
      <c r="O32" s="25"/>
      <c r="P32" s="25"/>
      <c r="Q32" s="25"/>
    </row>
    <row r="33" spans="1:17" ht="28.9" thickBot="1" x14ac:dyDescent="0.5">
      <c r="B33" s="215" t="s">
        <v>275</v>
      </c>
      <c r="C33" s="48"/>
      <c r="D33" s="48"/>
      <c r="E33" s="48"/>
      <c r="F33" s="48"/>
      <c r="G33" s="48"/>
      <c r="H33" s="48"/>
      <c r="I33" s="48"/>
      <c r="J33" s="48"/>
      <c r="K33" s="48"/>
      <c r="L33" s="48"/>
      <c r="M33" s="48"/>
      <c r="N33" s="48"/>
      <c r="O33" s="48"/>
      <c r="P33" s="48"/>
      <c r="Q33" s="48"/>
    </row>
    <row r="34" spans="1:17" ht="15" thickTop="1" thickBot="1" x14ac:dyDescent="0.5">
      <c r="B34" s="41"/>
      <c r="C34" s="41"/>
      <c r="D34" s="41"/>
      <c r="E34" s="41"/>
      <c r="F34" s="41"/>
      <c r="G34" s="41"/>
      <c r="H34" s="41"/>
      <c r="I34" s="41"/>
      <c r="J34" s="41"/>
      <c r="K34" s="41"/>
      <c r="L34" s="41"/>
      <c r="M34" s="41"/>
      <c r="N34" s="41"/>
      <c r="O34" s="41"/>
      <c r="P34" s="41"/>
      <c r="Q34" s="41"/>
    </row>
    <row r="35" spans="1:17" ht="14.65" thickTop="1" x14ac:dyDescent="0.45">
      <c r="A35" s="24" t="s">
        <v>14</v>
      </c>
      <c r="B35" s="32" t="s">
        <v>276</v>
      </c>
      <c r="C35" s="54"/>
      <c r="D35" s="54"/>
      <c r="E35" s="54"/>
      <c r="F35" s="54"/>
      <c r="G35" s="54"/>
      <c r="H35" s="54"/>
      <c r="I35" s="54"/>
      <c r="J35" s="54"/>
      <c r="K35" s="54"/>
      <c r="L35" s="54"/>
      <c r="M35" s="54"/>
      <c r="N35" s="54"/>
      <c r="O35" s="54"/>
      <c r="P35" s="54"/>
      <c r="Q35" s="54"/>
    </row>
    <row r="36" spans="1:17" x14ac:dyDescent="0.45">
      <c r="B36" s="24" t="s">
        <v>277</v>
      </c>
      <c r="C36" s="46"/>
      <c r="D36" s="46"/>
      <c r="E36" s="46"/>
      <c r="F36" s="46"/>
      <c r="G36" s="46"/>
      <c r="H36" s="46"/>
      <c r="I36" s="46"/>
      <c r="J36" s="46"/>
      <c r="K36" s="46"/>
      <c r="L36" s="46"/>
      <c r="M36" s="46"/>
      <c r="N36" s="46"/>
      <c r="O36" s="46"/>
      <c r="P36" s="46"/>
      <c r="Q36" s="46"/>
    </row>
    <row r="37" spans="1:17" x14ac:dyDescent="0.45">
      <c r="B37" s="34" t="s">
        <v>278</v>
      </c>
      <c r="C37" s="25">
        <f>SUM('Takeda Standardized'!C35)</f>
        <v>3954.7640000000001</v>
      </c>
      <c r="D37" s="25">
        <f>SUM('Takeda Standardized'!D35)</f>
        <v>4254.0320000000002</v>
      </c>
      <c r="E37" s="25">
        <f>SUM('Takeda Standardized'!E35)</f>
        <v>4438.1990000000005</v>
      </c>
      <c r="F37" s="25">
        <f>SUM('Takeda Standardized'!F35)</f>
        <v>5500.9670000000006</v>
      </c>
      <c r="G37" s="25">
        <f>SUM('Takeda Standardized'!G35)</f>
        <v>12759.153</v>
      </c>
      <c r="H37" s="25">
        <f>SUM('Takeda Standardized'!H35)</f>
        <v>13714.605</v>
      </c>
      <c r="I37" s="25">
        <f>SUM('Takeda Standardized'!I35)</f>
        <v>13773.465</v>
      </c>
      <c r="J37" s="25">
        <f>SUM('Takeda Standardized'!J35)</f>
        <v>14178.396000000001</v>
      </c>
      <c r="K37" s="25">
        <f>SUM('Takeda Standardized'!K35)</f>
        <v>13900.239</v>
      </c>
      <c r="L37" s="25">
        <f>SUM('Takeda Standardized'!L35)</f>
        <v>15294.242</v>
      </c>
      <c r="M37" s="25"/>
      <c r="N37" s="25"/>
      <c r="O37" s="25"/>
      <c r="P37" s="25"/>
      <c r="Q37" s="25"/>
    </row>
    <row r="38" spans="1:17" x14ac:dyDescent="0.45">
      <c r="B38" s="34" t="s">
        <v>279</v>
      </c>
      <c r="C38" s="25">
        <f>SUM('Takeda Standardized'!C36)</f>
        <v>12376.487000000001</v>
      </c>
      <c r="D38" s="25">
        <f>SUM('Takeda Standardized'!D36)</f>
        <v>11886.276</v>
      </c>
      <c r="E38" s="25">
        <f>SUM('Takeda Standardized'!E36)</f>
        <v>15909.263999999999</v>
      </c>
      <c r="F38" s="25">
        <f>SUM('Takeda Standardized'!F36)</f>
        <v>16508.123</v>
      </c>
      <c r="G38" s="25">
        <f>SUM('Takeda Standardized'!G36)</f>
        <v>68978.881999999998</v>
      </c>
      <c r="H38" s="25">
        <f>SUM('Takeda Standardized'!H36)</f>
        <v>60053.080999999998</v>
      </c>
      <c r="I38" s="25">
        <f>SUM('Takeda Standardized'!I36)</f>
        <v>60788.896000000001</v>
      </c>
      <c r="J38" s="25">
        <f>SUM('Takeda Standardized'!J36)</f>
        <v>60004.245000000003</v>
      </c>
      <c r="K38" s="25">
        <f>SUM('Takeda Standardized'!K36)</f>
        <v>59099.311000000002</v>
      </c>
      <c r="L38" s="25">
        <f>SUM('Takeda Standardized'!L36)</f>
        <v>58205.587</v>
      </c>
      <c r="M38" s="25"/>
      <c r="N38" s="25"/>
      <c r="O38" s="25"/>
      <c r="P38" s="25"/>
      <c r="Q38" s="25"/>
    </row>
    <row r="39" spans="1:17" x14ac:dyDescent="0.45">
      <c r="B39" s="34" t="s">
        <v>280</v>
      </c>
      <c r="C39" s="25">
        <f>SUM('Takeda Standardized'!C37)</f>
        <v>2662.136</v>
      </c>
      <c r="D39" s="25">
        <f>SUM('Takeda Standardized'!D37)</f>
        <v>2803.9470000000001</v>
      </c>
      <c r="E39" s="25">
        <f>SUM('Takeda Standardized'!E37)</f>
        <v>2313.518</v>
      </c>
      <c r="F39" s="25">
        <f>SUM('Takeda Standardized'!F37)</f>
        <v>2251.703</v>
      </c>
      <c r="G39" s="25">
        <f>SUM('Takeda Standardized'!G37)</f>
        <v>3234.9760000000001</v>
      </c>
      <c r="H39" s="25">
        <f>SUM('Takeda Standardized'!H37)</f>
        <v>826.40300000000002</v>
      </c>
      <c r="I39" s="25">
        <f>SUM('Takeda Standardized'!I37)</f>
        <v>798.11199999999997</v>
      </c>
      <c r="J39" s="25">
        <f>SUM('Takeda Standardized'!J37)</f>
        <v>669.99599999999998</v>
      </c>
      <c r="K39" s="25">
        <f>SUM('Takeda Standardized'!K37)</f>
        <v>663.06100000000004</v>
      </c>
      <c r="L39" s="25">
        <f>SUM('Takeda Standardized'!L37)</f>
        <v>77.968999999999994</v>
      </c>
      <c r="M39" s="25"/>
      <c r="N39" s="25"/>
      <c r="O39" s="25"/>
      <c r="P39" s="25"/>
      <c r="Q39" s="25"/>
    </row>
    <row r="40" spans="1:17" x14ac:dyDescent="0.45">
      <c r="B40" s="34" t="s">
        <v>281</v>
      </c>
      <c r="C40" s="25">
        <f>'Takeda Standardized'!C38</f>
        <v>1213.451</v>
      </c>
      <c r="D40" s="25">
        <f>'Takeda Standardized'!D38</f>
        <v>1262.606</v>
      </c>
      <c r="E40" s="25">
        <f>'Takeda Standardized'!E38</f>
        <v>589.39599999999996</v>
      </c>
      <c r="F40" s="25">
        <f>'Takeda Standardized'!F38</f>
        <v>394.46499999999997</v>
      </c>
      <c r="G40" s="25">
        <f>'Takeda Standardized'!G38</f>
        <v>1213.604</v>
      </c>
      <c r="H40" s="25">
        <f>'Takeda Standardized'!H38</f>
        <v>1998.0820000000001</v>
      </c>
      <c r="I40" s="25">
        <f>'Takeda Standardized'!I38</f>
        <v>2693.6570000000002</v>
      </c>
      <c r="J40" s="25">
        <f>'Takeda Standardized'!J38</f>
        <v>2550.06</v>
      </c>
      <c r="K40" s="25">
        <f>'Takeda Standardized'!K38</f>
        <v>2032.5229999999999</v>
      </c>
      <c r="L40" s="25">
        <f>'Takeda Standardized'!L38</f>
        <v>2311.623</v>
      </c>
      <c r="M40" s="25"/>
      <c r="N40" s="25"/>
      <c r="O40" s="25"/>
      <c r="P40" s="25"/>
      <c r="Q40" s="25"/>
    </row>
    <row r="41" spans="1:17" x14ac:dyDescent="0.45">
      <c r="B41" s="35" t="s">
        <v>282</v>
      </c>
      <c r="C41" s="36">
        <f t="shared" ref="C41:L41" si="6">SUM(C37:C40)</f>
        <v>20206.838</v>
      </c>
      <c r="D41" s="36">
        <f t="shared" si="6"/>
        <v>20206.861000000001</v>
      </c>
      <c r="E41" s="36">
        <f t="shared" si="6"/>
        <v>23250.377</v>
      </c>
      <c r="F41" s="36">
        <f t="shared" si="6"/>
        <v>24655.258000000002</v>
      </c>
      <c r="G41" s="36">
        <f t="shared" si="6"/>
        <v>86186.615000000005</v>
      </c>
      <c r="H41" s="36">
        <f t="shared" si="6"/>
        <v>76592.171000000002</v>
      </c>
      <c r="I41" s="36">
        <f t="shared" si="6"/>
        <v>78054.13</v>
      </c>
      <c r="J41" s="36">
        <f t="shared" si="6"/>
        <v>77402.697</v>
      </c>
      <c r="K41" s="36">
        <f t="shared" si="6"/>
        <v>75695.134000000005</v>
      </c>
      <c r="L41" s="36">
        <f t="shared" si="6"/>
        <v>75889.421000000002</v>
      </c>
      <c r="M41" s="36"/>
      <c r="N41" s="36"/>
      <c r="O41" s="36"/>
      <c r="P41" s="36"/>
      <c r="Q41" s="36"/>
    </row>
    <row r="43" spans="1:17" x14ac:dyDescent="0.45">
      <c r="B43" s="34" t="s">
        <v>136</v>
      </c>
      <c r="C43" s="25">
        <f>'Takeda Standardized'!C33</f>
        <v>2056.8420000000001</v>
      </c>
      <c r="D43" s="25">
        <f>'Takeda Standardized'!D33</f>
        <v>1812.037</v>
      </c>
      <c r="E43" s="25">
        <f>'Takeda Standardized'!E33</f>
        <v>1664.35</v>
      </c>
      <c r="F43" s="25">
        <f>'Takeda Standardized'!F33</f>
        <v>1778.3879999999999</v>
      </c>
      <c r="G43" s="25">
        <f>'Takeda Standardized'!G33</f>
        <v>6570.6170000000002</v>
      </c>
      <c r="H43" s="25">
        <f>'Takeda Standardized'!H33</f>
        <v>5856.3879999999999</v>
      </c>
      <c r="I43" s="25">
        <f>'Takeda Standardized'!I33</f>
        <v>6196.0190000000002</v>
      </c>
      <c r="J43" s="25">
        <f>'Takeda Standardized'!J33</f>
        <v>6579.5240000000003</v>
      </c>
      <c r="K43" s="25">
        <f>'Takeda Standardized'!K33</f>
        <v>7506.7979999999998</v>
      </c>
      <c r="L43" s="25">
        <f>'Takeda Standardized'!L33</f>
        <v>7657.5739999999996</v>
      </c>
      <c r="M43" s="25"/>
      <c r="N43" s="25"/>
      <c r="O43" s="25"/>
      <c r="P43" s="25"/>
      <c r="Q43" s="25"/>
    </row>
    <row r="44" spans="1:17" x14ac:dyDescent="0.45">
      <c r="B44" s="34" t="s">
        <v>283</v>
      </c>
      <c r="C44" s="25">
        <f>'Takeda Standardized'!C32</f>
        <v>3703.4110000000001</v>
      </c>
      <c r="D44" s="25">
        <f>'Takeda Standardized'!D32</f>
        <v>3985.6529999999998</v>
      </c>
      <c r="E44" s="25">
        <f>'Takeda Standardized'!E32</f>
        <v>3783.2049999999999</v>
      </c>
      <c r="F44" s="25">
        <f>'Takeda Standardized'!F32</f>
        <v>4055.9540000000002</v>
      </c>
      <c r="G44" s="25">
        <f>'Takeda Standardized'!G32</f>
        <v>6729.4340000000002</v>
      </c>
      <c r="H44" s="25">
        <f>'Takeda Standardized'!H32</f>
        <v>6269.2929999999997</v>
      </c>
      <c r="I44" s="25">
        <f>'Takeda Standardized'!I32</f>
        <v>5464.3329999999996</v>
      </c>
      <c r="J44" s="25">
        <f>'Takeda Standardized'!J32</f>
        <v>5018.7489999999998</v>
      </c>
      <c r="K44" s="25">
        <f>'Takeda Standardized'!K32</f>
        <v>4596.7939999999999</v>
      </c>
      <c r="L44" s="25">
        <f>'Takeda Standardized'!L32</f>
        <v>4370.6819999999998</v>
      </c>
      <c r="M44" s="25"/>
      <c r="N44" s="25"/>
      <c r="O44" s="25"/>
      <c r="P44" s="25"/>
      <c r="Q44" s="25"/>
    </row>
    <row r="45" spans="1:17" x14ac:dyDescent="0.45">
      <c r="B45" s="34" t="s">
        <v>284</v>
      </c>
      <c r="C45" s="25">
        <f>'Takeda Standardized'!C34</f>
        <v>1807.3420000000001</v>
      </c>
      <c r="D45" s="25">
        <f>'Takeda Standardized'!D34</f>
        <v>3120.596</v>
      </c>
      <c r="E45" s="25">
        <f>'Takeda Standardized'!E34</f>
        <v>463.76800000000003</v>
      </c>
      <c r="F45" s="25">
        <f>'Takeda Standardized'!F34</f>
        <v>12951.037</v>
      </c>
      <c r="G45" s="25">
        <f>'Takeda Standardized'!G34</f>
        <v>2540.6319999999996</v>
      </c>
      <c r="H45" s="25">
        <f>'Takeda Standardized'!H34</f>
        <v>3708.0540000000001</v>
      </c>
      <c r="I45" s="25">
        <f>'Takeda Standardized'!I34</f>
        <v>1731.3890000000001</v>
      </c>
      <c r="J45" s="25">
        <f>'Takeda Standardized'!J34</f>
        <v>1959.7739999999999</v>
      </c>
      <c r="K45" s="25">
        <f>'Takeda Standardized'!K34</f>
        <v>1634.04</v>
      </c>
      <c r="L45" s="25">
        <f>'Takeda Standardized'!L34</f>
        <v>1857.3149999999998</v>
      </c>
      <c r="M45" s="25"/>
      <c r="N45" s="25"/>
      <c r="O45" s="25"/>
      <c r="P45" s="25"/>
      <c r="Q45" s="25"/>
    </row>
    <row r="46" spans="1:17" x14ac:dyDescent="0.45">
      <c r="B46" s="34" t="s">
        <v>285</v>
      </c>
      <c r="C46" s="27">
        <f>'Takeda Standardized'!C31</f>
        <v>4293.3140000000003</v>
      </c>
      <c r="D46" s="27">
        <f>'Takeda Standardized'!D31</f>
        <v>4545.4650000000001</v>
      </c>
      <c r="E46" s="27">
        <f>'Takeda Standardized'!E31</f>
        <v>3449.0569999999998</v>
      </c>
      <c r="F46" s="27">
        <f>'Takeda Standardized'!F31</f>
        <v>2470.0619999999999</v>
      </c>
      <c r="G46" s="27">
        <f>'Takeda Standardized'!G31</f>
        <v>4824.79</v>
      </c>
      <c r="H46" s="27">
        <f>'Takeda Standardized'!H31</f>
        <v>4892.2709999999997</v>
      </c>
      <c r="I46" s="27">
        <f>'Takeda Standardized'!I31</f>
        <v>5531.7359999999999</v>
      </c>
      <c r="J46" s="27">
        <f>'Takeda Standardized'!J31</f>
        <v>4861.393</v>
      </c>
      <c r="K46" s="27">
        <f>'Takeda Standardized'!K31</f>
        <v>1850.7</v>
      </c>
      <c r="L46" s="27">
        <f>'Takeda Standardized'!L31</f>
        <v>3035.723</v>
      </c>
      <c r="M46" s="27"/>
      <c r="N46" s="27"/>
      <c r="O46" s="27"/>
      <c r="P46" s="27"/>
      <c r="Q46" s="27"/>
    </row>
    <row r="47" spans="1:17" x14ac:dyDescent="0.45">
      <c r="B47" s="42" t="s">
        <v>286</v>
      </c>
      <c r="C47" s="32">
        <f t="shared" ref="C47:L47" si="7">SUM(C43:C46)</f>
        <v>11860.909000000001</v>
      </c>
      <c r="D47" s="32">
        <f t="shared" si="7"/>
        <v>13463.751</v>
      </c>
      <c r="E47" s="32">
        <f t="shared" si="7"/>
        <v>9360.380000000001</v>
      </c>
      <c r="F47" s="32">
        <f t="shared" si="7"/>
        <v>21255.440999999999</v>
      </c>
      <c r="G47" s="32">
        <f t="shared" si="7"/>
        <v>20665.472999999998</v>
      </c>
      <c r="H47" s="32">
        <f t="shared" si="7"/>
        <v>20726.006000000001</v>
      </c>
      <c r="I47" s="32">
        <f t="shared" si="7"/>
        <v>18923.476999999999</v>
      </c>
      <c r="J47" s="32">
        <f t="shared" si="7"/>
        <v>18419.440000000002</v>
      </c>
      <c r="K47" s="32">
        <f t="shared" si="7"/>
        <v>15588.332000000002</v>
      </c>
      <c r="L47" s="32">
        <f t="shared" si="7"/>
        <v>16921.294000000002</v>
      </c>
      <c r="M47" s="32"/>
      <c r="N47" s="32"/>
      <c r="O47" s="32"/>
      <c r="P47" s="32"/>
      <c r="Q47" s="32"/>
    </row>
    <row r="49" spans="2:17" ht="14.65" thickBot="1" x14ac:dyDescent="0.5">
      <c r="B49" s="34"/>
      <c r="C49" s="49"/>
      <c r="D49" s="49"/>
      <c r="E49" s="49"/>
      <c r="F49" s="49"/>
      <c r="G49" s="49"/>
      <c r="H49" s="49"/>
      <c r="I49" s="49"/>
      <c r="J49" s="49"/>
      <c r="K49" s="49"/>
      <c r="L49" s="49"/>
      <c r="M49" s="49"/>
      <c r="N49" s="49"/>
      <c r="O49" s="49"/>
      <c r="P49" s="49"/>
      <c r="Q49" s="49"/>
    </row>
    <row r="50" spans="2:17" ht="14.65" thickTop="1" x14ac:dyDescent="0.45">
      <c r="B50" s="42" t="s">
        <v>287</v>
      </c>
      <c r="C50" s="32">
        <f t="shared" ref="C50:L50" si="8">SUM(C41,C47)</f>
        <v>32067.747000000003</v>
      </c>
      <c r="D50" s="32">
        <f t="shared" si="8"/>
        <v>33670.612000000001</v>
      </c>
      <c r="E50" s="32">
        <f t="shared" si="8"/>
        <v>32610.757000000001</v>
      </c>
      <c r="F50" s="32">
        <f t="shared" si="8"/>
        <v>45910.699000000001</v>
      </c>
      <c r="G50" s="32">
        <f t="shared" si="8"/>
        <v>106852.088</v>
      </c>
      <c r="H50" s="32">
        <f t="shared" si="8"/>
        <v>97318.176999999996</v>
      </c>
      <c r="I50" s="32">
        <f t="shared" si="8"/>
        <v>96977.607000000004</v>
      </c>
      <c r="J50" s="32">
        <f t="shared" si="8"/>
        <v>95822.137000000002</v>
      </c>
      <c r="K50" s="32">
        <f t="shared" si="8"/>
        <v>91283.466000000015</v>
      </c>
      <c r="L50" s="32">
        <f t="shared" si="8"/>
        <v>92810.714999999997</v>
      </c>
      <c r="M50" s="32"/>
      <c r="N50" s="32"/>
      <c r="O50" s="32"/>
      <c r="P50" s="32"/>
      <c r="Q50" s="32"/>
    </row>
    <row r="52" spans="2:17" x14ac:dyDescent="0.45">
      <c r="B52" s="24" t="s">
        <v>288</v>
      </c>
    </row>
    <row r="53" spans="2:17" x14ac:dyDescent="0.45">
      <c r="B53" s="42" t="s">
        <v>289</v>
      </c>
      <c r="C53" s="23">
        <f>'Takeda Standardized'!C50</f>
        <v>486.07400000000001</v>
      </c>
      <c r="D53" s="23">
        <f>'Takeda Standardized'!D50</f>
        <v>510.72899999999998</v>
      </c>
      <c r="E53" s="23">
        <f>'Takeda Standardized'!E50</f>
        <v>149.34</v>
      </c>
      <c r="F53" s="23">
        <f>'Takeda Standardized'!F50</f>
        <v>31.015000000000001</v>
      </c>
      <c r="G53" s="23">
        <f>'Takeda Standardized'!G50</f>
        <v>34.003</v>
      </c>
      <c r="H53" s="23">
        <f>'Takeda Standardized'!H50</f>
        <v>32.277999999999999</v>
      </c>
      <c r="I53" s="23">
        <f>'Takeda Standardized'!I50</f>
        <v>3.7650000000000001</v>
      </c>
      <c r="J53" s="23">
        <f>'Takeda Standardized'!J50</f>
        <v>3.69</v>
      </c>
      <c r="K53" s="23">
        <f>'Takeda Standardized'!K50</f>
        <v>4.319</v>
      </c>
      <c r="L53" s="23">
        <f>'Takeda Standardized'!L50</f>
        <v>5.6340000000000003</v>
      </c>
      <c r="M53" s="23"/>
      <c r="N53" s="23"/>
      <c r="O53" s="23"/>
      <c r="P53" s="23"/>
      <c r="Q53" s="23"/>
    </row>
    <row r="54" spans="2:17" x14ac:dyDescent="0.45">
      <c r="B54" s="24" t="s">
        <v>290</v>
      </c>
      <c r="C54" s="24">
        <f>'Takeda Standardized'!C51</f>
        <v>0</v>
      </c>
      <c r="D54" s="24">
        <f>'Takeda Standardized'!D51</f>
        <v>0</v>
      </c>
      <c r="E54" s="24">
        <f>'Takeda Standardized'!E51</f>
        <v>0</v>
      </c>
      <c r="F54" s="24">
        <f>'Takeda Standardized'!F51</f>
        <v>0</v>
      </c>
      <c r="G54" s="24">
        <f>'Takeda Standardized'!G51</f>
        <v>0</v>
      </c>
      <c r="H54" s="24">
        <f>'Takeda Standardized'!H51</f>
        <v>0</v>
      </c>
      <c r="I54" s="24">
        <f>'Takeda Standardized'!I51</f>
        <v>0</v>
      </c>
      <c r="J54" s="24">
        <f>'Takeda Standardized'!J51</f>
        <v>0</v>
      </c>
      <c r="K54" s="24">
        <f>'Takeda Standardized'!K51</f>
        <v>0</v>
      </c>
      <c r="L54" s="24">
        <f>'Takeda Standardized'!L51</f>
        <v>0</v>
      </c>
    </row>
    <row r="55" spans="2:17" x14ac:dyDescent="0.45">
      <c r="B55" s="216" t="s">
        <v>291</v>
      </c>
      <c r="C55" s="25">
        <f>'Takeda Standardized'!C49</f>
        <v>16063.895</v>
      </c>
      <c r="D55" s="25">
        <f>'Takeda Standardized'!D49</f>
        <v>16108.288</v>
      </c>
      <c r="E55" s="25">
        <f>'Takeda Standardized'!E49</f>
        <v>15629.631000000001</v>
      </c>
      <c r="F55" s="25">
        <f>'Takeda Standardized'!F49</f>
        <v>16229.185000000001</v>
      </c>
      <c r="G55" s="25">
        <f>'Takeda Standardized'!G49</f>
        <v>39948.686000000002</v>
      </c>
      <c r="H55" s="25">
        <f>'Takeda Standardized'!H49</f>
        <v>36716.51200000001</v>
      </c>
      <c r="I55" s="25">
        <f>'Takeda Standardized'!I49</f>
        <v>40714.955000000002</v>
      </c>
      <c r="J55" s="25">
        <f>'Takeda Standardized'!J49</f>
        <v>43821.423999999999</v>
      </c>
      <c r="K55" s="25">
        <f>'Takeda Standardized'!K49</f>
        <v>43270.013999999996</v>
      </c>
      <c r="L55" s="25">
        <f>'Takeda Standardized'!L49</f>
        <v>45575.059000000001</v>
      </c>
      <c r="M55" s="23"/>
      <c r="N55" s="23"/>
      <c r="O55" s="23"/>
      <c r="P55" s="23"/>
      <c r="Q55" s="23"/>
    </row>
    <row r="58" spans="2:17" x14ac:dyDescent="0.45">
      <c r="B58" s="34" t="s">
        <v>292</v>
      </c>
      <c r="C58" s="25">
        <f>'Takeda Standardized'!C46</f>
        <v>5457.2530000000006</v>
      </c>
      <c r="D58" s="25">
        <f>'Takeda Standardized'!D46</f>
        <v>6675.5819999999994</v>
      </c>
      <c r="E58" s="25">
        <f>'Takeda Standardized'!E46</f>
        <v>8037.6379999999999</v>
      </c>
      <c r="F58" s="25">
        <f>'Takeda Standardized'!F46</f>
        <v>21051.11</v>
      </c>
      <c r="G58" s="25">
        <f>'Takeda Standardized'!G46</f>
        <v>42459.060999999994</v>
      </c>
      <c r="H58" s="25">
        <f>'Takeda Standardized'!H46</f>
        <v>40651.841999999997</v>
      </c>
      <c r="I58" s="25">
        <f>'Takeda Standardized'!I46</f>
        <v>33615.762999999999</v>
      </c>
      <c r="J58" s="25">
        <f>'Takeda Standardized'!J46</f>
        <v>32293.120000000003</v>
      </c>
      <c r="K58" s="25">
        <f>'Takeda Standardized'!K46</f>
        <v>31929.392</v>
      </c>
      <c r="L58" s="25">
        <f>'Takeda Standardized'!L46</f>
        <v>33410.845000000001</v>
      </c>
      <c r="M58" s="25"/>
      <c r="N58" s="25"/>
      <c r="O58" s="25"/>
      <c r="P58" s="25"/>
      <c r="Q58" s="25"/>
    </row>
    <row r="59" spans="2:17" x14ac:dyDescent="0.45">
      <c r="B59" s="34" t="s">
        <v>293</v>
      </c>
      <c r="C59" s="25">
        <f>'Takeda Standardized'!C47</f>
        <v>7001.9380000000001</v>
      </c>
      <c r="D59" s="25">
        <f>'Takeda Standardized'!D47</f>
        <v>5639.1419999999998</v>
      </c>
      <c r="E59" s="25">
        <f>'Takeda Standardized'!E47</f>
        <v>5245.7640000000001</v>
      </c>
      <c r="F59" s="25">
        <f>'Takeda Standardized'!F47</f>
        <v>4817.7539999999999</v>
      </c>
      <c r="G59" s="25">
        <f>'Takeda Standardized'!G47</f>
        <v>11247.708999999999</v>
      </c>
      <c r="H59" s="25">
        <f>'Takeda Standardized'!H47</f>
        <v>10512.036</v>
      </c>
      <c r="I59" s="25">
        <f>'Takeda Standardized'!I47</f>
        <v>14756.261</v>
      </c>
      <c r="J59" s="25">
        <f>'Takeda Standardized'!J47</f>
        <v>11602.238000000001</v>
      </c>
      <c r="K59" s="25">
        <f>'Takeda Standardized'!K47</f>
        <v>9745.1730000000007</v>
      </c>
      <c r="L59" s="25">
        <f>'Takeda Standardized'!L47</f>
        <v>9928.3119999999999</v>
      </c>
      <c r="M59" s="25"/>
      <c r="N59" s="25"/>
      <c r="O59" s="25"/>
      <c r="P59" s="25"/>
      <c r="Q59" s="25"/>
    </row>
    <row r="60" spans="2:17" x14ac:dyDescent="0.45">
      <c r="B60" s="34" t="s">
        <v>294</v>
      </c>
      <c r="C60" s="25">
        <f>'Takeda Standardized'!C48</f>
        <v>988.91700000000003</v>
      </c>
      <c r="D60" s="25">
        <f>'Takeda Standardized'!D48</f>
        <v>935.12900000000002</v>
      </c>
      <c r="E60" s="25">
        <f>'Takeda Standardized'!E48</f>
        <v>861.096</v>
      </c>
      <c r="F60" s="25">
        <f>'Takeda Standardized'!F48</f>
        <v>841.31100000000004</v>
      </c>
      <c r="G60" s="25">
        <f>'Takeda Standardized'!G48</f>
        <v>5687.9960000000001</v>
      </c>
      <c r="H60" s="25">
        <f>'Takeda Standardized'!H48</f>
        <v>4562.2120000000004</v>
      </c>
      <c r="I60" s="25">
        <f>'Takeda Standardized'!I48</f>
        <v>4266.0379999999996</v>
      </c>
      <c r="J60" s="25">
        <f>'Takeda Standardized'!J48</f>
        <v>2757.8719999999998</v>
      </c>
      <c r="K60" s="25">
        <f>'Takeda Standardized'!K48</f>
        <v>853.83100000000002</v>
      </c>
      <c r="L60" s="25">
        <f>'Takeda Standardized'!L48</f>
        <v>231.43</v>
      </c>
      <c r="M60" s="27"/>
      <c r="N60" s="27"/>
      <c r="O60" s="27"/>
      <c r="P60" s="27"/>
      <c r="Q60" s="27"/>
    </row>
    <row r="61" spans="2:17" x14ac:dyDescent="0.45">
      <c r="B61" s="42" t="s">
        <v>295</v>
      </c>
      <c r="C61" s="36">
        <f t="shared" ref="C61:Q61" si="9">SUM(C58:C60)</f>
        <v>13448.108</v>
      </c>
      <c r="D61" s="36">
        <f t="shared" si="9"/>
        <v>13249.852999999999</v>
      </c>
      <c r="E61" s="36">
        <f t="shared" si="9"/>
        <v>14144.498</v>
      </c>
      <c r="F61" s="36">
        <f t="shared" si="9"/>
        <v>26710.175000000003</v>
      </c>
      <c r="G61" s="36">
        <f t="shared" si="9"/>
        <v>59394.765999999989</v>
      </c>
      <c r="H61" s="36">
        <f t="shared" si="9"/>
        <v>55726.09</v>
      </c>
      <c r="I61" s="36">
        <f t="shared" si="9"/>
        <v>52638.061999999998</v>
      </c>
      <c r="J61" s="36">
        <f t="shared" si="9"/>
        <v>46653.23000000001</v>
      </c>
      <c r="K61" s="36">
        <f t="shared" si="9"/>
        <v>42528.396000000001</v>
      </c>
      <c r="L61" s="36">
        <f t="shared" si="9"/>
        <v>43570.587</v>
      </c>
      <c r="M61" s="32">
        <f t="shared" si="9"/>
        <v>0</v>
      </c>
      <c r="N61" s="32">
        <f t="shared" si="9"/>
        <v>0</v>
      </c>
      <c r="O61" s="32">
        <f t="shared" si="9"/>
        <v>0</v>
      </c>
      <c r="P61" s="32">
        <f t="shared" si="9"/>
        <v>0</v>
      </c>
      <c r="Q61" s="32">
        <f t="shared" si="9"/>
        <v>0</v>
      </c>
    </row>
    <row r="63" spans="2:17" x14ac:dyDescent="0.45">
      <c r="B63" s="34" t="s">
        <v>296</v>
      </c>
      <c r="C63" s="25">
        <f>'Takeda Standardized'!C44</f>
        <v>1304.33</v>
      </c>
      <c r="D63" s="25">
        <f>'Takeda Standardized'!D44</f>
        <v>1884.5640000000001</v>
      </c>
      <c r="E63" s="25">
        <f>'Takeda Standardized'!E44</f>
        <v>1652.1579999999999</v>
      </c>
      <c r="F63" s="25">
        <f>'Takeda Standardized'!F44</f>
        <v>1979.1389999999999</v>
      </c>
      <c r="G63" s="25">
        <f>'Takeda Standardized'!G44</f>
        <v>2458.973</v>
      </c>
      <c r="H63" s="25">
        <f>'Takeda Standardized'!H44</f>
        <v>2589.9839999999999</v>
      </c>
      <c r="I63" s="25">
        <f>'Takeda Standardized'!I44</f>
        <v>2681.973</v>
      </c>
      <c r="J63" s="25">
        <f>'Takeda Standardized'!J44</f>
        <v>2704.145</v>
      </c>
      <c r="K63" s="25">
        <f>'Takeda Standardized'!K44</f>
        <v>3104.1889999999999</v>
      </c>
      <c r="L63" s="25">
        <f>'Takeda Standardized'!L44</f>
        <v>2827.1770000000001</v>
      </c>
      <c r="M63" s="25"/>
      <c r="N63" s="25"/>
      <c r="O63" s="25"/>
      <c r="P63" s="25"/>
      <c r="Q63" s="25"/>
    </row>
    <row r="64" spans="2:17" x14ac:dyDescent="0.45">
      <c r="B64" s="34" t="s">
        <v>297</v>
      </c>
      <c r="C64" s="25">
        <f>'Takeda Standardized'!C45</f>
        <v>0</v>
      </c>
      <c r="D64" s="25">
        <f>'Takeda Standardized'!D45</f>
        <v>0</v>
      </c>
      <c r="E64" s="25">
        <f>'Takeda Standardized'!E45</f>
        <v>0</v>
      </c>
      <c r="F64" s="25">
        <f>'Takeda Standardized'!F45</f>
        <v>0</v>
      </c>
      <c r="G64" s="25">
        <f>'Takeda Standardized'!G45</f>
        <v>0</v>
      </c>
      <c r="H64" s="25">
        <f>'Takeda Standardized'!H45</f>
        <v>0</v>
      </c>
      <c r="I64" s="25">
        <f>'Takeda Standardized'!I45</f>
        <v>0</v>
      </c>
      <c r="J64" s="25">
        <f>'Takeda Standardized'!J45</f>
        <v>0</v>
      </c>
      <c r="K64" s="25">
        <f>'Takeda Standardized'!K45</f>
        <v>0</v>
      </c>
      <c r="L64" s="25">
        <f>'Takeda Standardized'!L45</f>
        <v>0</v>
      </c>
      <c r="M64" s="25"/>
      <c r="N64" s="25"/>
      <c r="O64" s="25"/>
      <c r="P64" s="25"/>
      <c r="Q64" s="25"/>
    </row>
    <row r="65" spans="1:20" x14ac:dyDescent="0.45">
      <c r="B65" s="34" t="s">
        <v>298</v>
      </c>
      <c r="C65" s="27">
        <f>'Takeda Standardized'!C43</f>
        <v>765.33900000000006</v>
      </c>
      <c r="D65" s="27">
        <f>'Takeda Standardized'!D43</f>
        <v>1917.1780000000001</v>
      </c>
      <c r="E65" s="27">
        <f>'Takeda Standardized'!E43</f>
        <v>1035.1310000000001</v>
      </c>
      <c r="F65" s="27">
        <f>'Takeda Standardized'!F43</f>
        <v>961.19</v>
      </c>
      <c r="G65" s="27">
        <f>'Takeda Standardized'!G43</f>
        <v>5015.6589999999997</v>
      </c>
      <c r="H65" s="27">
        <f>'Takeda Standardized'!H43</f>
        <v>2253.3110000000001</v>
      </c>
      <c r="I65" s="27">
        <f>'Takeda Standardized'!I43</f>
        <v>938.85299999999995</v>
      </c>
      <c r="J65" s="27">
        <f>'Takeda Standardized'!J43</f>
        <v>2639.6469999999999</v>
      </c>
      <c r="K65" s="27">
        <f>'Takeda Standardized'!K43</f>
        <v>2376.5500000000002</v>
      </c>
      <c r="L65" s="27">
        <f>'Takeda Standardized'!L43</f>
        <v>832.25800000000004</v>
      </c>
      <c r="M65" s="27"/>
      <c r="N65" s="27"/>
      <c r="O65" s="27"/>
      <c r="P65" s="27"/>
      <c r="Q65" s="27"/>
    </row>
    <row r="66" spans="1:20" x14ac:dyDescent="0.45">
      <c r="B66" s="42" t="s">
        <v>299</v>
      </c>
      <c r="C66" s="32">
        <f t="shared" ref="C66:Q66" si="10">SUM(C63:C65)</f>
        <v>2069.6689999999999</v>
      </c>
      <c r="D66" s="32">
        <f t="shared" si="10"/>
        <v>3801.7420000000002</v>
      </c>
      <c r="E66" s="32">
        <f t="shared" si="10"/>
        <v>2687.2889999999998</v>
      </c>
      <c r="F66" s="32">
        <f t="shared" si="10"/>
        <v>2940.3289999999997</v>
      </c>
      <c r="G66" s="32">
        <f t="shared" si="10"/>
        <v>7474.6319999999996</v>
      </c>
      <c r="H66" s="32">
        <f t="shared" si="10"/>
        <v>4843.2950000000001</v>
      </c>
      <c r="I66" s="32">
        <f t="shared" si="10"/>
        <v>3620.826</v>
      </c>
      <c r="J66" s="32">
        <f t="shared" si="10"/>
        <v>5343.7919999999995</v>
      </c>
      <c r="K66" s="32">
        <f t="shared" si="10"/>
        <v>5480.7389999999996</v>
      </c>
      <c r="L66" s="32">
        <f t="shared" si="10"/>
        <v>3659.4350000000004</v>
      </c>
      <c r="M66" s="32">
        <f t="shared" si="10"/>
        <v>0</v>
      </c>
      <c r="N66" s="32">
        <f t="shared" si="10"/>
        <v>0</v>
      </c>
      <c r="O66" s="32">
        <f t="shared" si="10"/>
        <v>0</v>
      </c>
      <c r="P66" s="32">
        <f t="shared" si="10"/>
        <v>0</v>
      </c>
      <c r="Q66" s="32">
        <f t="shared" si="10"/>
        <v>0</v>
      </c>
    </row>
    <row r="68" spans="1:20" ht="14.65" thickBot="1" x14ac:dyDescent="0.5">
      <c r="C68" s="49"/>
      <c r="D68" s="49"/>
      <c r="E68" s="49"/>
      <c r="F68" s="49"/>
      <c r="G68" s="49"/>
      <c r="H68" s="49"/>
      <c r="I68" s="49"/>
      <c r="J68" s="49"/>
      <c r="K68" s="49"/>
      <c r="L68" s="49"/>
      <c r="M68" s="49"/>
      <c r="N68" s="49"/>
      <c r="O68" s="49"/>
      <c r="P68" s="49"/>
      <c r="Q68" s="49"/>
    </row>
    <row r="69" spans="1:20" ht="15" thickTop="1" thickBot="1" x14ac:dyDescent="0.5">
      <c r="B69" s="44" t="s">
        <v>300</v>
      </c>
      <c r="C69" s="44">
        <f t="shared" ref="C69:J69" si="11">SUM(C53:C55,C61,C66)</f>
        <v>32067.745999999999</v>
      </c>
      <c r="D69" s="44">
        <f t="shared" si="11"/>
        <v>33670.612000000001</v>
      </c>
      <c r="E69" s="44">
        <f>SUM(E53:E55,E61,E66)</f>
        <v>32610.758000000002</v>
      </c>
      <c r="F69" s="44">
        <f t="shared" si="11"/>
        <v>45910.703999999998</v>
      </c>
      <c r="G69" s="44">
        <f>SUM(G53:G55,G61,G66)</f>
        <v>106852.08699999998</v>
      </c>
      <c r="H69" s="44">
        <f t="shared" si="11"/>
        <v>97318.175000000003</v>
      </c>
      <c r="I69" s="44">
        <f>SUM(I53:I55,I61,I66)</f>
        <v>96977.608000000007</v>
      </c>
      <c r="J69" s="44">
        <f t="shared" si="11"/>
        <v>95822.136000000013</v>
      </c>
      <c r="K69" s="44">
        <f>SUM(K53:K55,K61,K66)</f>
        <v>91283.467999999993</v>
      </c>
      <c r="L69" s="44">
        <f>SUM(L53:L55,L61,L66)</f>
        <v>92810.714999999997</v>
      </c>
      <c r="M69" s="44"/>
      <c r="N69" s="44"/>
      <c r="O69" s="44"/>
      <c r="P69" s="44"/>
      <c r="Q69" s="44"/>
    </row>
    <row r="70" spans="1:20" s="56" customFormat="1" ht="15" thickTop="1" thickBot="1" x14ac:dyDescent="0.5">
      <c r="B70" s="55" t="s">
        <v>301</v>
      </c>
      <c r="C70" s="55">
        <f t="shared" ref="C70:K70" si="12">C50-C69</f>
        <v>1.0000000038417056E-3</v>
      </c>
      <c r="D70" s="55">
        <f t="shared" si="12"/>
        <v>0</v>
      </c>
      <c r="E70" s="55">
        <f t="shared" si="12"/>
        <v>-1.0000000002037268E-3</v>
      </c>
      <c r="F70" s="55">
        <f t="shared" si="12"/>
        <v>-4.9999999973806553E-3</v>
      </c>
      <c r="G70" s="55">
        <f t="shared" si="12"/>
        <v>1.0000000183936208E-3</v>
      </c>
      <c r="H70" s="55">
        <f t="shared" si="12"/>
        <v>1.999999993131496E-3</v>
      </c>
      <c r="I70" s="55">
        <f t="shared" si="12"/>
        <v>-1.0000000038417056E-3</v>
      </c>
      <c r="J70" s="55">
        <f t="shared" si="12"/>
        <v>9.9999998928979039E-4</v>
      </c>
      <c r="K70" s="55">
        <f t="shared" si="12"/>
        <v>-1.9999999785795808E-3</v>
      </c>
      <c r="L70" s="55">
        <f>L50-L69</f>
        <v>0</v>
      </c>
      <c r="M70" s="55">
        <f>M69-M50</f>
        <v>0</v>
      </c>
      <c r="N70" s="55">
        <f>N69-N50</f>
        <v>0</v>
      </c>
      <c r="O70" s="55">
        <f>O69-O50</f>
        <v>0</v>
      </c>
      <c r="P70" s="55">
        <f>P69-P50</f>
        <v>0</v>
      </c>
      <c r="Q70" s="55">
        <f>Q69-Q50</f>
        <v>0</v>
      </c>
    </row>
    <row r="71" spans="1:20" ht="14.65" thickTop="1" x14ac:dyDescent="0.45">
      <c r="A71" s="24" t="s">
        <v>14</v>
      </c>
      <c r="B71" s="32" t="s">
        <v>302</v>
      </c>
      <c r="C71" s="46"/>
      <c r="D71" s="46"/>
      <c r="E71" s="46"/>
      <c r="F71" s="46"/>
      <c r="G71" s="46"/>
      <c r="H71" s="46"/>
      <c r="I71" s="46"/>
      <c r="J71" s="46"/>
      <c r="K71" s="46"/>
      <c r="L71" s="46"/>
      <c r="M71" s="46"/>
      <c r="N71" s="46"/>
      <c r="O71" s="46"/>
      <c r="P71" s="46"/>
      <c r="Q71" s="46"/>
    </row>
    <row r="72" spans="1:20" x14ac:dyDescent="0.45">
      <c r="B72" s="34" t="s">
        <v>303</v>
      </c>
      <c r="C72" s="25">
        <f>'Takeda Standardized'!C56</f>
        <v>-1323.4739999999999</v>
      </c>
      <c r="D72" s="25">
        <f>'Takeda Standardized'!D56</f>
        <v>1383.1380000000001</v>
      </c>
      <c r="E72" s="25">
        <f>'Takeda Standardized'!E56</f>
        <v>1902.2489999999998</v>
      </c>
      <c r="F72" s="25">
        <f>'Takeda Standardized'!F56</f>
        <v>1060.1369999999999</v>
      </c>
      <c r="G72" s="25">
        <f>'Takeda Standardized'!G56</f>
        <v>618.35900000000004</v>
      </c>
      <c r="H72" s="25">
        <f>'Takeda Standardized'!H56</f>
        <v>2422.2499999999995</v>
      </c>
      <c r="I72" s="25">
        <f>'Takeda Standardized'!I56</f>
        <v>4630.8630000000003</v>
      </c>
      <c r="J72" s="25">
        <f>'Takeda Standardized'!J56</f>
        <v>2625.3069999999998</v>
      </c>
      <c r="K72" s="25">
        <f>'Takeda Standardized'!K56</f>
        <v>2072.3809999999994</v>
      </c>
      <c r="L72" s="25">
        <f>'Takeda Standardized'!L56</f>
        <v>1981.6480000000001</v>
      </c>
      <c r="M72" s="25"/>
      <c r="N72" s="25"/>
      <c r="O72" s="25"/>
      <c r="P72" s="25"/>
      <c r="Q72" s="25"/>
      <c r="T72" s="51"/>
    </row>
    <row r="73" spans="1:20" x14ac:dyDescent="0.45">
      <c r="B73" s="34" t="s">
        <v>304</v>
      </c>
      <c r="C73" s="25">
        <f>'Takeda Standardized'!C60</f>
        <v>516.83500000000004</v>
      </c>
      <c r="D73" s="25">
        <f>'Takeda Standardized'!D60</f>
        <v>-329.983</v>
      </c>
      <c r="E73" s="25">
        <f>'Takeda Standardized'!E60</f>
        <v>-270.89800000000002</v>
      </c>
      <c r="F73" s="25">
        <f>'Takeda Standardized'!F60</f>
        <v>-209.65299999999999</v>
      </c>
      <c r="G73" s="25">
        <f>'Takeda Standardized'!G60</f>
        <v>313.21600000000001</v>
      </c>
      <c r="H73" s="25">
        <f>'Takeda Standardized'!H60</f>
        <v>509.16800000000001</v>
      </c>
      <c r="I73" s="25">
        <f>'Takeda Standardized'!I60</f>
        <v>-375.97</v>
      </c>
      <c r="J73" s="25">
        <f>'Takeda Standardized'!J60</f>
        <v>10.15</v>
      </c>
      <c r="K73" s="25">
        <f>'Takeda Standardized'!K60</f>
        <v>198.501</v>
      </c>
      <c r="L73" s="25">
        <f>'Takeda Standardized'!L60</f>
        <v>-162.56700000000001</v>
      </c>
      <c r="M73" s="25"/>
      <c r="N73" s="25"/>
      <c r="O73" s="25"/>
      <c r="P73" s="25"/>
      <c r="Q73" s="25"/>
      <c r="T73" s="51"/>
    </row>
    <row r="74" spans="1:20" x14ac:dyDescent="0.45">
      <c r="B74" s="34" t="s">
        <v>305</v>
      </c>
      <c r="C74" s="25">
        <f>'Takeda Standardized'!C58</f>
        <v>-95.317999999999998</v>
      </c>
      <c r="D74" s="25">
        <f>'Takeda Standardized'!D58</f>
        <v>-88.179000000000002</v>
      </c>
      <c r="E74" s="25">
        <f>'Takeda Standardized'!E58</f>
        <v>-1699.2069999999999</v>
      </c>
      <c r="F74" s="25">
        <f>'Takeda Standardized'!F58</f>
        <v>264.90599999999995</v>
      </c>
      <c r="G74" s="25">
        <f>'Takeda Standardized'!G58</f>
        <v>-629.52199999999993</v>
      </c>
      <c r="H74" s="25">
        <f>'Takeda Standardized'!H58</f>
        <v>-339.62400000000002</v>
      </c>
      <c r="I74" s="25">
        <f>'Takeda Standardized'!I58</f>
        <v>-1181.258</v>
      </c>
      <c r="J74" s="25">
        <f>'Takeda Standardized'!J58</f>
        <v>62.388999999999996</v>
      </c>
      <c r="K74" s="25">
        <f>'Takeda Standardized'!K58</f>
        <v>73.052000000000007</v>
      </c>
      <c r="L74" s="25">
        <f>'Takeda Standardized'!L58</f>
        <v>18.629999999999995</v>
      </c>
      <c r="M74" s="25"/>
      <c r="N74" s="25"/>
      <c r="O74" s="25"/>
      <c r="P74" s="25"/>
      <c r="Q74" s="25"/>
      <c r="T74" s="51"/>
    </row>
    <row r="75" spans="1:20" x14ac:dyDescent="0.45">
      <c r="B75" s="34" t="s">
        <v>306</v>
      </c>
      <c r="C75" s="27">
        <f>'Takeda Standardized'!C59</f>
        <v>1375.796</v>
      </c>
      <c r="D75" s="27">
        <f>'Takeda Standardized'!D59</f>
        <v>1883.9880000000001</v>
      </c>
      <c r="E75" s="27">
        <f>'Takeda Standardized'!E59</f>
        <v>2281.473</v>
      </c>
      <c r="F75" s="27">
        <f>'Takeda Standardized'!F59</f>
        <v>1313.1100000000004</v>
      </c>
      <c r="G75" s="27">
        <f>'Takeda Standardized'!G59</f>
        <v>4503.9780000000001</v>
      </c>
      <c r="H75" s="27">
        <f>'Takeda Standardized'!H59</f>
        <v>4365.9329999999991</v>
      </c>
      <c r="I75" s="27">
        <f>'Takeda Standardized'!I59</f>
        <v>5098.1629999999996</v>
      </c>
      <c r="J75" s="27">
        <f>'Takeda Standardized'!J59</f>
        <v>5556.9090000000006</v>
      </c>
      <c r="K75" s="27">
        <f>'Takeda Standardized'!K59</f>
        <v>4709.6980000000012</v>
      </c>
      <c r="L75" s="27">
        <f>'Takeda Standardized'!L59</f>
        <v>5530.2740000000003</v>
      </c>
      <c r="M75" s="27"/>
      <c r="N75" s="27"/>
      <c r="O75" s="27"/>
      <c r="P75" s="27"/>
      <c r="Q75" s="27"/>
      <c r="T75" s="51"/>
    </row>
    <row r="76" spans="1:20" ht="28.5" x14ac:dyDescent="0.45">
      <c r="B76" s="42" t="s">
        <v>307</v>
      </c>
      <c r="C76" s="32">
        <f t="shared" ref="C76:Q76" si="13">SUM(C72:C75)</f>
        <v>473.83900000000017</v>
      </c>
      <c r="D76" s="32">
        <f t="shared" si="13"/>
        <v>2848.9640000000004</v>
      </c>
      <c r="E76" s="32">
        <f t="shared" si="13"/>
        <v>2213.6169999999997</v>
      </c>
      <c r="F76" s="32">
        <f t="shared" si="13"/>
        <v>2428.5</v>
      </c>
      <c r="G76" s="32">
        <f t="shared" si="13"/>
        <v>4806.0309999999999</v>
      </c>
      <c r="H76" s="32">
        <f t="shared" si="13"/>
        <v>6957.726999999999</v>
      </c>
      <c r="I76" s="32">
        <f t="shared" si="13"/>
        <v>8171.7979999999998</v>
      </c>
      <c r="J76" s="32">
        <f t="shared" si="13"/>
        <v>8254.755000000001</v>
      </c>
      <c r="K76" s="32">
        <f t="shared" si="13"/>
        <v>7053.6320000000014</v>
      </c>
      <c r="L76" s="32">
        <f t="shared" si="13"/>
        <v>7367.9850000000006</v>
      </c>
      <c r="M76" s="32">
        <f t="shared" si="13"/>
        <v>0</v>
      </c>
      <c r="N76" s="32">
        <f t="shared" si="13"/>
        <v>0</v>
      </c>
      <c r="O76" s="32">
        <f t="shared" si="13"/>
        <v>0</v>
      </c>
      <c r="P76" s="32">
        <f t="shared" si="13"/>
        <v>0</v>
      </c>
      <c r="Q76" s="32">
        <f t="shared" si="13"/>
        <v>0</v>
      </c>
      <c r="T76" s="51"/>
    </row>
    <row r="77" spans="1:20" x14ac:dyDescent="0.45">
      <c r="B77" s="34"/>
    </row>
    <row r="78" spans="1:20" ht="28.5" x14ac:dyDescent="0.45">
      <c r="B78" s="34" t="s">
        <v>308</v>
      </c>
      <c r="C78" s="27">
        <f>'Takeda Standardized'!C63</f>
        <v>1047.847</v>
      </c>
      <c r="D78" s="27">
        <f>'Takeda Standardized'!D63</f>
        <v>-2962.5340000000001</v>
      </c>
      <c r="E78" s="27">
        <f>'Takeda Standardized'!E63</f>
        <v>910.55600000000004</v>
      </c>
      <c r="F78" s="27">
        <f>'Takeda Standardized'!F63</f>
        <v>158.82</v>
      </c>
      <c r="G78" s="27">
        <f>'Takeda Standardized'!G63</f>
        <v>949.29600000000016</v>
      </c>
      <c r="H78" s="27">
        <f>'Takeda Standardized'!H63</f>
        <v>1022.968</v>
      </c>
      <c r="I78" s="27">
        <f>'Takeda Standardized'!I63</f>
        <v>1551.6589999999999</v>
      </c>
      <c r="J78" s="27">
        <f>'Takeda Standardized'!J63</f>
        <v>72.75</v>
      </c>
      <c r="K78" s="27">
        <f>'Takeda Standardized'!K63</f>
        <v>-1134.241</v>
      </c>
      <c r="L78" s="27">
        <f>'Takeda Standardized'!L63</f>
        <v>-17.525000000000006</v>
      </c>
      <c r="M78" s="27"/>
      <c r="N78" s="27"/>
      <c r="O78" s="27"/>
      <c r="P78" s="27"/>
      <c r="Q78" s="27"/>
      <c r="T78" s="51"/>
    </row>
    <row r="79" spans="1:20" ht="28.5" x14ac:dyDescent="0.45">
      <c r="B79" s="42" t="s">
        <v>309</v>
      </c>
      <c r="C79" s="32">
        <f t="shared" ref="C79:L79" si="14">SUM(C78,C76)</f>
        <v>1521.6860000000001</v>
      </c>
      <c r="D79" s="32">
        <f t="shared" si="14"/>
        <v>-113.56999999999971</v>
      </c>
      <c r="E79" s="32">
        <f t="shared" si="14"/>
        <v>3124.1729999999998</v>
      </c>
      <c r="F79" s="32">
        <f t="shared" si="14"/>
        <v>2587.3200000000002</v>
      </c>
      <c r="G79" s="32">
        <f t="shared" si="14"/>
        <v>5755.3270000000002</v>
      </c>
      <c r="H79" s="32">
        <f t="shared" si="14"/>
        <v>7980.6949999999988</v>
      </c>
      <c r="I79" s="32">
        <f t="shared" si="14"/>
        <v>9723.4570000000003</v>
      </c>
      <c r="J79" s="32">
        <f t="shared" si="14"/>
        <v>8327.505000000001</v>
      </c>
      <c r="K79" s="32">
        <f t="shared" si="14"/>
        <v>5919.3910000000014</v>
      </c>
      <c r="L79" s="32">
        <f t="shared" si="14"/>
        <v>7350.4600000000009</v>
      </c>
      <c r="M79" s="32">
        <f>SUM(M76:M78)</f>
        <v>0</v>
      </c>
      <c r="N79" s="32">
        <f>SUM(N76:N78)</f>
        <v>0</v>
      </c>
      <c r="O79" s="32">
        <f>SUM(O76:O78)</f>
        <v>0</v>
      </c>
      <c r="P79" s="32">
        <f>SUM(P76:P78)</f>
        <v>0</v>
      </c>
      <c r="Q79" s="32">
        <f>SUM(Q76:Q78)</f>
        <v>0</v>
      </c>
      <c r="T79" s="51"/>
    </row>
    <row r="80" spans="1:20" x14ac:dyDescent="0.45">
      <c r="B80" s="34"/>
    </row>
    <row r="81" spans="1:18" x14ac:dyDescent="0.45">
      <c r="B81" s="34" t="s">
        <v>310</v>
      </c>
      <c r="C81" s="25">
        <f>'Takeda Standardized'!C61</f>
        <v>59.048000000000002</v>
      </c>
      <c r="D81" s="25">
        <f>'Takeda Standardized'!D61</f>
        <v>69.13</v>
      </c>
      <c r="E81" s="25">
        <f>'Takeda Standardized'!E61</f>
        <v>51.082000000000001</v>
      </c>
      <c r="F81" s="25">
        <f>'Takeda Standardized'!F61</f>
        <v>78.888999999999996</v>
      </c>
      <c r="G81" s="25">
        <f>'Takeda Standardized'!G61</f>
        <v>264.84899999999999</v>
      </c>
      <c r="H81" s="25">
        <f>'Takeda Standardized'!H61</f>
        <v>313.40699999999998</v>
      </c>
      <c r="I81" s="25">
        <f>'Takeda Standardized'!I61</f>
        <v>0</v>
      </c>
      <c r="J81" s="25">
        <f>'Takeda Standardized'!J61</f>
        <v>122.93600000000001</v>
      </c>
      <c r="K81" s="25">
        <f>'Takeda Standardized'!K61</f>
        <v>0</v>
      </c>
      <c r="L81" s="25">
        <f>'Takeda Standardized'!L61</f>
        <v>0</v>
      </c>
      <c r="M81" s="25"/>
      <c r="N81" s="25"/>
      <c r="O81" s="25"/>
      <c r="P81" s="25"/>
      <c r="Q81" s="25"/>
    </row>
    <row r="82" spans="1:18" x14ac:dyDescent="0.45">
      <c r="B82" s="34" t="s">
        <v>311</v>
      </c>
      <c r="C82" s="25">
        <f>'Takeda Standardized'!C62</f>
        <v>0</v>
      </c>
      <c r="D82" s="25">
        <f>'Takeda Standardized'!D62</f>
        <v>0</v>
      </c>
      <c r="E82" s="25">
        <f>'Takeda Standardized'!E62</f>
        <v>0</v>
      </c>
      <c r="F82" s="25">
        <f>'Takeda Standardized'!F62</f>
        <v>0</v>
      </c>
      <c r="G82" s="25">
        <f>'Takeda Standardized'!G62</f>
        <v>0</v>
      </c>
      <c r="H82" s="25">
        <f>'Takeda Standardized'!H62</f>
        <v>0</v>
      </c>
      <c r="I82" s="25">
        <f>'Takeda Standardized'!I62</f>
        <v>0</v>
      </c>
      <c r="J82" s="25">
        <f>'Takeda Standardized'!J62</f>
        <v>0</v>
      </c>
      <c r="K82" s="25">
        <f>'Takeda Standardized'!K62</f>
        <v>0</v>
      </c>
      <c r="L82" s="25">
        <f>'Takeda Standardized'!L62</f>
        <v>0</v>
      </c>
      <c r="M82" s="25"/>
      <c r="N82" s="25"/>
      <c r="O82" s="25"/>
      <c r="P82" s="25"/>
      <c r="Q82" s="25"/>
    </row>
    <row r="83" spans="1:18" ht="28.5" x14ac:dyDescent="0.45">
      <c r="B83" s="34" t="s">
        <v>312</v>
      </c>
      <c r="C83" s="27">
        <f>'Takeda Standardized'!C64</f>
        <v>-829.52300000000002</v>
      </c>
      <c r="D83" s="27">
        <f>'Takeda Standardized'!D64</f>
        <v>-99.786999999999921</v>
      </c>
      <c r="E83" s="27">
        <f>'Takeda Standardized'!E64</f>
        <v>-4756.8900000000003</v>
      </c>
      <c r="F83" s="27">
        <f>'Takeda Standardized'!F64</f>
        <v>-13211.190999999999</v>
      </c>
      <c r="G83" s="27">
        <f>'Takeda Standardized'!G64</f>
        <v>-7915.9630000000052</v>
      </c>
      <c r="H83" s="27">
        <f>'Takeda Standardized'!H64</f>
        <v>1120.6399999999999</v>
      </c>
      <c r="I83" s="27">
        <f>'Takeda Standardized'!I64</f>
        <v>930.81000000000017</v>
      </c>
      <c r="J83" s="27">
        <f>'Takeda Standardized'!J64</f>
        <v>-1409.3529999999998</v>
      </c>
      <c r="K83" s="27">
        <f>'Takeda Standardized'!K64</f>
        <v>-5545.473</v>
      </c>
      <c r="L83" s="27">
        <f>'Takeda Standardized'!L64</f>
        <v>-2497.4720000000002</v>
      </c>
      <c r="M83" s="27"/>
      <c r="N83" s="27"/>
      <c r="O83" s="27"/>
      <c r="P83" s="27"/>
      <c r="Q83" s="27"/>
    </row>
    <row r="84" spans="1:18" x14ac:dyDescent="0.45">
      <c r="B84" s="42" t="s">
        <v>313</v>
      </c>
      <c r="C84" s="32">
        <f t="shared" ref="C84:L84" si="15">SUM(C81:C83,C79)</f>
        <v>751.21100000000013</v>
      </c>
      <c r="D84" s="32">
        <f t="shared" si="15"/>
        <v>-144.22699999999963</v>
      </c>
      <c r="E84" s="32">
        <f t="shared" si="15"/>
        <v>-1581.6350000000002</v>
      </c>
      <c r="F84" s="32">
        <f t="shared" si="15"/>
        <v>-10544.982</v>
      </c>
      <c r="G84" s="32">
        <f t="shared" si="15"/>
        <v>-1895.7870000000048</v>
      </c>
      <c r="H84" s="32">
        <f t="shared" si="15"/>
        <v>9414.7419999999984</v>
      </c>
      <c r="I84" s="32">
        <f t="shared" si="15"/>
        <v>10654.267</v>
      </c>
      <c r="J84" s="32">
        <f t="shared" si="15"/>
        <v>7041.0880000000016</v>
      </c>
      <c r="K84" s="32">
        <f t="shared" si="15"/>
        <v>373.91800000000148</v>
      </c>
      <c r="L84" s="32">
        <f t="shared" si="15"/>
        <v>4852.9880000000012</v>
      </c>
      <c r="M84" s="32">
        <f>SUM(M79:M83)</f>
        <v>0</v>
      </c>
      <c r="N84" s="32">
        <f>SUM(N79:N83)</f>
        <v>0</v>
      </c>
      <c r="O84" s="32">
        <f>SUM(O79:O83)</f>
        <v>0</v>
      </c>
      <c r="P84" s="32">
        <f>SUM(P79:P83)</f>
        <v>0</v>
      </c>
      <c r="Q84" s="32">
        <f>SUM(Q79:Q83)</f>
        <v>0</v>
      </c>
    </row>
    <row r="85" spans="1:18" x14ac:dyDescent="0.45">
      <c r="B85" s="42"/>
      <c r="C85" s="32"/>
      <c r="D85" s="32"/>
      <c r="E85" s="32"/>
      <c r="F85" s="32"/>
      <c r="G85" s="32"/>
      <c r="H85" s="32"/>
      <c r="I85" s="32"/>
      <c r="J85" s="32"/>
      <c r="K85" s="32"/>
      <c r="L85" s="32"/>
      <c r="M85" s="32"/>
      <c r="N85" s="32"/>
      <c r="O85" s="32"/>
      <c r="P85" s="32"/>
      <c r="Q85" s="32"/>
    </row>
    <row r="86" spans="1:18" x14ac:dyDescent="0.45">
      <c r="B86" s="34" t="s">
        <v>314</v>
      </c>
      <c r="C86" s="25">
        <f>'Takeda Standardized'!C68</f>
        <v>-64.463999999999999</v>
      </c>
      <c r="D86" s="25">
        <f>'Takeda Standardized'!D68</f>
        <v>-23.69</v>
      </c>
      <c r="E86" s="25">
        <f>'Takeda Standardized'!E68</f>
        <v>-197.09399999999999</v>
      </c>
      <c r="F86" s="25">
        <f>'Takeda Standardized'!F68</f>
        <v>-82.058000000000007</v>
      </c>
      <c r="G86" s="25">
        <f>'Takeda Standardized'!G68</f>
        <v>-1087.617</v>
      </c>
      <c r="H86" s="25">
        <f>'Takeda Standardized'!H68</f>
        <v>-1761.269</v>
      </c>
      <c r="I86" s="25">
        <f>'Takeda Standardized'!I68</f>
        <v>-877.2</v>
      </c>
      <c r="J86" s="25">
        <f>'Takeda Standardized'!J68</f>
        <v>-766.59500000000003</v>
      </c>
      <c r="K86" s="25">
        <f>'Takeda Standardized'!K68</f>
        <v>-1095.5419999999999</v>
      </c>
      <c r="L86" s="25">
        <f>'Takeda Standardized'!L68</f>
        <v>-548.15</v>
      </c>
      <c r="M86" s="25"/>
      <c r="N86" s="25"/>
      <c r="O86" s="25"/>
      <c r="P86" s="25"/>
      <c r="Q86" s="25"/>
    </row>
    <row r="87" spans="1:18" x14ac:dyDescent="0.45">
      <c r="B87" s="34" t="s">
        <v>315</v>
      </c>
      <c r="C87" s="27">
        <f>'Takeda Standardized'!C67</f>
        <v>-960.9079999999999</v>
      </c>
      <c r="D87" s="27">
        <f>'Takeda Standardized'!D67</f>
        <v>1953.1849999999997</v>
      </c>
      <c r="E87" s="27">
        <f>'Takeda Standardized'!E67</f>
        <v>2989.3590000000004</v>
      </c>
      <c r="F87" s="27">
        <f>'Takeda Standardized'!F67</f>
        <v>10785.721</v>
      </c>
      <c r="G87" s="27">
        <f>'Takeda Standardized'!G67</f>
        <v>7853.4240000000009</v>
      </c>
      <c r="H87" s="27">
        <f>'Takeda Standardized'!H67</f>
        <v>-4739.5010000000011</v>
      </c>
      <c r="I87" s="27">
        <f>'Takeda Standardized'!I67</f>
        <v>-6641.88</v>
      </c>
      <c r="J87" s="27">
        <f>'Takeda Standardized'!J67</f>
        <v>-4460.5540000000001</v>
      </c>
      <c r="K87" s="27">
        <f>'Takeda Standardized'!K67</f>
        <v>-79.045999999999765</v>
      </c>
      <c r="L87" s="27">
        <f>'Takeda Standardized'!L67</f>
        <v>-1246.6389999999999</v>
      </c>
      <c r="M87" s="27"/>
      <c r="N87" s="27"/>
      <c r="O87" s="27"/>
      <c r="P87" s="27"/>
      <c r="Q87" s="27"/>
    </row>
    <row r="88" spans="1:18" x14ac:dyDescent="0.45">
      <c r="B88" s="42" t="s">
        <v>316</v>
      </c>
      <c r="C88" s="32">
        <f t="shared" ref="C88:L88" si="16">SUM(C86:C87,C84)</f>
        <v>-274.16099999999972</v>
      </c>
      <c r="D88" s="32">
        <f t="shared" si="16"/>
        <v>1785.268</v>
      </c>
      <c r="E88" s="32">
        <f t="shared" si="16"/>
        <v>1210.6300000000001</v>
      </c>
      <c r="F88" s="32">
        <f t="shared" si="16"/>
        <v>158.68099999999868</v>
      </c>
      <c r="G88" s="32">
        <f t="shared" si="16"/>
        <v>4870.0199999999959</v>
      </c>
      <c r="H88" s="32">
        <f t="shared" si="16"/>
        <v>2913.971999999997</v>
      </c>
      <c r="I88" s="32">
        <f t="shared" si="16"/>
        <v>3135.1869999999999</v>
      </c>
      <c r="J88" s="32">
        <f t="shared" si="16"/>
        <v>1813.9390000000012</v>
      </c>
      <c r="K88" s="32">
        <f t="shared" si="16"/>
        <v>-800.66999999999825</v>
      </c>
      <c r="L88" s="32">
        <f t="shared" si="16"/>
        <v>3058.1990000000014</v>
      </c>
      <c r="M88" s="32">
        <f>SUM(M84:M87)</f>
        <v>0</v>
      </c>
      <c r="N88" s="32">
        <f>SUM(N84:N87)</f>
        <v>0</v>
      </c>
      <c r="O88" s="32">
        <f>SUM(O84:O87)</f>
        <v>0</v>
      </c>
      <c r="P88" s="32">
        <f>SUM(P84:P87)</f>
        <v>0</v>
      </c>
      <c r="Q88" s="32">
        <f>SUM(Q84:Q87)</f>
        <v>0</v>
      </c>
    </row>
    <row r="89" spans="1:18" x14ac:dyDescent="0.45">
      <c r="B89" s="34"/>
    </row>
    <row r="90" spans="1:18" x14ac:dyDescent="0.45">
      <c r="B90" s="34" t="s">
        <v>317</v>
      </c>
      <c r="C90" s="25">
        <f>'Takeda Standardized'!C69</f>
        <v>-1067.75</v>
      </c>
      <c r="D90" s="25">
        <f>'Takeda Standardized'!D69</f>
        <v>-1181.6569999999999</v>
      </c>
      <c r="E90" s="25">
        <f>'Takeda Standardized'!E69</f>
        <v>0</v>
      </c>
      <c r="F90" s="25">
        <f>'Takeda Standardized'!F69</f>
        <v>-1092.0609999999999</v>
      </c>
      <c r="G90" s="25">
        <f>'Takeda Standardized'!G69</f>
        <v>-2306.819</v>
      </c>
      <c r="H90" s="25">
        <f>'Takeda Standardized'!H69</f>
        <v>-2324.3560000000002</v>
      </c>
      <c r="I90" s="25">
        <f>'Takeda Standardized'!I69</f>
        <v>-2169.83</v>
      </c>
      <c r="J90" s="25">
        <f>'Takeda Standardized'!J69</f>
        <v>-2028.896</v>
      </c>
      <c r="K90" s="25">
        <f>'Takeda Standardized'!K69</f>
        <v>-1902.51</v>
      </c>
      <c r="L90" s="25">
        <f>'Takeda Standardized'!L69</f>
        <v>-1844.021</v>
      </c>
      <c r="M90" s="25"/>
      <c r="N90" s="25"/>
      <c r="O90" s="25"/>
      <c r="P90" s="25"/>
      <c r="Q90" s="25"/>
    </row>
    <row r="91" spans="1:18" x14ac:dyDescent="0.45">
      <c r="B91" s="34" t="s">
        <v>318</v>
      </c>
      <c r="C91" s="25">
        <f>'Takeda Standardized'!C70</f>
        <v>-166.53</v>
      </c>
      <c r="D91" s="25">
        <f>'Takeda Standardized'!D70</f>
        <v>-192.61500000000001</v>
      </c>
      <c r="E91" s="25">
        <f>'Takeda Standardized'!E70</f>
        <v>-148.32</v>
      </c>
      <c r="F91" s="25">
        <f>'Takeda Standardized'!F70</f>
        <v>-9.0250000000000004</v>
      </c>
      <c r="G91" s="25">
        <f>'Takeda Standardized'!G70</f>
        <v>-30.597000000000001</v>
      </c>
      <c r="H91" s="25">
        <f>'Takeda Standardized'!H70</f>
        <v>-17.658000000000001</v>
      </c>
      <c r="I91" s="25">
        <f>'Takeda Standardized'!I70</f>
        <v>-404.70100000000002</v>
      </c>
      <c r="J91" s="25">
        <f>'Takeda Standardized'!J70</f>
        <v>-376.71699999999998</v>
      </c>
      <c r="K91" s="25">
        <f>'Takeda Standardized'!K70</f>
        <v>-15.34</v>
      </c>
      <c r="L91" s="25">
        <f>'Takeda Standardized'!L70</f>
        <v>-11.496</v>
      </c>
      <c r="M91" s="25"/>
      <c r="N91" s="25"/>
      <c r="O91" s="25"/>
      <c r="P91" s="25"/>
      <c r="Q91" s="25"/>
    </row>
    <row r="92" spans="1:18" x14ac:dyDescent="0.45">
      <c r="B92" s="31" t="s">
        <v>319</v>
      </c>
      <c r="C92" s="25">
        <f>'Takeda Standardized'!C71</f>
        <v>-134.48500000000001</v>
      </c>
      <c r="D92" s="25">
        <f>'Takeda Standardized'!D71</f>
        <v>-425.86199999999997</v>
      </c>
      <c r="E92" s="25">
        <f>'Takeda Standardized'!E71</f>
        <v>188.267</v>
      </c>
      <c r="F92" s="25">
        <f>'Takeda Standardized'!F71</f>
        <v>13.591000000000008</v>
      </c>
      <c r="G92" s="25">
        <f>'Takeda Standardized'!G71</f>
        <v>-317.71600000000001</v>
      </c>
      <c r="H92" s="25">
        <f>'Takeda Standardized'!H71</f>
        <v>-160.84700000000001</v>
      </c>
      <c r="I92" s="25">
        <f>'Takeda Standardized'!I71</f>
        <v>260.709</v>
      </c>
      <c r="J92" s="25">
        <f>'Takeda Standardized'!J71</f>
        <v>307.26799999999997</v>
      </c>
      <c r="K92" s="25">
        <f>'Takeda Standardized'!K71</f>
        <v>101.773</v>
      </c>
      <c r="L92" s="25">
        <f>'Takeda Standardized'!L71</f>
        <v>54.210999999999999</v>
      </c>
      <c r="M92" s="25"/>
      <c r="N92" s="25"/>
      <c r="O92" s="25"/>
      <c r="P92" s="25"/>
      <c r="Q92" s="25"/>
    </row>
    <row r="93" spans="1:18" ht="14.65" thickBot="1" x14ac:dyDescent="0.5">
      <c r="B93" s="52" t="s">
        <v>320</v>
      </c>
      <c r="C93" s="72">
        <f t="shared" ref="C93:L93" si="17">SUM(C88,C92)</f>
        <v>-408.64599999999973</v>
      </c>
      <c r="D93" s="72">
        <f t="shared" si="17"/>
        <v>1359.4059999999999</v>
      </c>
      <c r="E93" s="72">
        <f t="shared" si="17"/>
        <v>1398.8970000000002</v>
      </c>
      <c r="F93" s="72">
        <f t="shared" si="17"/>
        <v>172.27199999999868</v>
      </c>
      <c r="G93" s="72">
        <f t="shared" si="17"/>
        <v>4552.3039999999955</v>
      </c>
      <c r="H93" s="72">
        <f t="shared" si="17"/>
        <v>2753.1249999999968</v>
      </c>
      <c r="I93" s="72">
        <f t="shared" si="17"/>
        <v>3395.8959999999997</v>
      </c>
      <c r="J93" s="72">
        <f t="shared" si="17"/>
        <v>2121.2070000000012</v>
      </c>
      <c r="K93" s="72">
        <f t="shared" si="17"/>
        <v>-698.89699999999823</v>
      </c>
      <c r="L93" s="72">
        <f t="shared" si="17"/>
        <v>3112.4100000000012</v>
      </c>
      <c r="M93" s="72">
        <f>SUM(M88:M91)</f>
        <v>0</v>
      </c>
      <c r="N93" s="72">
        <f>SUM(N88:N91)</f>
        <v>0</v>
      </c>
      <c r="O93" s="72">
        <f>SUM(O88:O91)</f>
        <v>0</v>
      </c>
      <c r="P93" s="72">
        <f>SUM(P88:P91)</f>
        <v>0</v>
      </c>
      <c r="Q93" s="72">
        <f>SUM(Q88:Q91)</f>
        <v>0</v>
      </c>
    </row>
    <row r="94" spans="1:18" ht="15" thickTop="1" thickBot="1" x14ac:dyDescent="0.5">
      <c r="B94" s="34"/>
    </row>
    <row r="95" spans="1:18" ht="14.65" thickTop="1" x14ac:dyDescent="0.45">
      <c r="A95" s="24" t="s">
        <v>14</v>
      </c>
      <c r="B95" s="57" t="s">
        <v>321</v>
      </c>
      <c r="C95" s="58"/>
      <c r="D95" s="58"/>
      <c r="E95" s="58"/>
      <c r="F95" s="58"/>
      <c r="G95" s="58"/>
      <c r="H95" s="58"/>
      <c r="I95" s="58"/>
      <c r="J95" s="58"/>
      <c r="K95" s="58"/>
      <c r="L95" s="58"/>
      <c r="M95" s="58"/>
      <c r="N95" s="58"/>
      <c r="O95" s="58"/>
      <c r="P95" s="58"/>
      <c r="Q95" s="58"/>
    </row>
    <row r="96" spans="1:18" x14ac:dyDescent="0.45">
      <c r="B96" s="42" t="s">
        <v>96</v>
      </c>
      <c r="C96" s="32">
        <f t="shared" ref="C96:R96" si="18">C9</f>
        <v>13639.87</v>
      </c>
      <c r="D96" s="32">
        <f t="shared" si="18"/>
        <v>14415.663</v>
      </c>
      <c r="E96" s="32">
        <f t="shared" si="18"/>
        <v>14123.2</v>
      </c>
      <c r="F96" s="32">
        <f t="shared" si="18"/>
        <v>13667.179</v>
      </c>
      <c r="G96" s="32">
        <f t="shared" si="18"/>
        <v>26529.163</v>
      </c>
      <c r="H96" s="32">
        <f t="shared" si="18"/>
        <v>26275.955000000002</v>
      </c>
      <c r="I96" s="32">
        <f t="shared" si="18"/>
        <v>26697.043000000001</v>
      </c>
      <c r="J96" s="32">
        <f t="shared" si="18"/>
        <v>28619.871999999999</v>
      </c>
      <c r="K96" s="32">
        <f t="shared" si="18"/>
        <v>27494.555</v>
      </c>
      <c r="L96" s="32">
        <f t="shared" si="18"/>
        <v>27970.201000000001</v>
      </c>
      <c r="M96" s="32">
        <f t="shared" si="18"/>
        <v>0</v>
      </c>
      <c r="N96" s="32">
        <f t="shared" si="18"/>
        <v>0</v>
      </c>
      <c r="O96" s="32">
        <f t="shared" si="18"/>
        <v>0</v>
      </c>
      <c r="P96" s="32">
        <f t="shared" si="18"/>
        <v>0</v>
      </c>
      <c r="Q96" s="32">
        <f t="shared" si="18"/>
        <v>0</v>
      </c>
      <c r="R96" s="24">
        <f t="shared" si="18"/>
        <v>0</v>
      </c>
    </row>
    <row r="97" spans="2:18" x14ac:dyDescent="0.45">
      <c r="B97" s="42" t="s">
        <v>322</v>
      </c>
      <c r="C97" s="32">
        <f t="shared" ref="C97:R97" si="19">C101</f>
        <v>-813.603909999998</v>
      </c>
      <c r="D97" s="32">
        <f t="shared" si="19"/>
        <v>1121.8539699999999</v>
      </c>
      <c r="E97" s="32">
        <f t="shared" si="19"/>
        <v>1496.5906400000019</v>
      </c>
      <c r="F97" s="32">
        <f t="shared" si="19"/>
        <v>855.18661000000043</v>
      </c>
      <c r="G97" s="32">
        <f t="shared" si="19"/>
        <v>138.06447999999688</v>
      </c>
      <c r="H97" s="32">
        <f t="shared" si="19"/>
        <v>1531.3426699999998</v>
      </c>
      <c r="I97" s="32">
        <f t="shared" si="19"/>
        <v>3404.6621300000038</v>
      </c>
      <c r="J97" s="32">
        <f t="shared" si="19"/>
        <v>2012.1614799999984</v>
      </c>
      <c r="K97" s="32">
        <f t="shared" si="19"/>
        <v>1205.032559999999</v>
      </c>
      <c r="L97" s="32">
        <f t="shared" si="19"/>
        <v>1291.9430500000033</v>
      </c>
      <c r="M97" s="32">
        <f t="shared" si="19"/>
        <v>0</v>
      </c>
      <c r="N97" s="32">
        <f t="shared" si="19"/>
        <v>0</v>
      </c>
      <c r="O97" s="32">
        <f t="shared" si="19"/>
        <v>0</v>
      </c>
      <c r="P97" s="32">
        <f t="shared" si="19"/>
        <v>0</v>
      </c>
      <c r="Q97" s="32">
        <f t="shared" si="19"/>
        <v>0</v>
      </c>
      <c r="R97" s="24">
        <f t="shared" si="19"/>
        <v>0</v>
      </c>
    </row>
    <row r="98" spans="2:18" x14ac:dyDescent="0.45">
      <c r="B98" s="47" t="s">
        <v>323</v>
      </c>
      <c r="C98" s="24">
        <f t="shared" ref="C98:R98" si="20">C18</f>
        <v>-812.04699999999798</v>
      </c>
      <c r="D98" s="24">
        <f t="shared" si="20"/>
        <v>1126.1919999999998</v>
      </c>
      <c r="E98" s="24">
        <f t="shared" si="20"/>
        <v>1488.146000000002</v>
      </c>
      <c r="F98" s="24">
        <f t="shared" si="20"/>
        <v>847.00000000000045</v>
      </c>
      <c r="G98" s="24">
        <f t="shared" si="20"/>
        <v>110.28099999999688</v>
      </c>
      <c r="H98" s="24">
        <f t="shared" si="20"/>
        <v>1483.2109999999998</v>
      </c>
      <c r="I98" s="24">
        <f t="shared" si="20"/>
        <v>3379.0010000000038</v>
      </c>
      <c r="J98" s="24">
        <f t="shared" si="20"/>
        <v>1991.8149999999985</v>
      </c>
      <c r="K98" s="24">
        <f t="shared" si="20"/>
        <v>1176.053999999999</v>
      </c>
      <c r="L98" s="24">
        <f t="shared" si="20"/>
        <v>1272.0430000000033</v>
      </c>
      <c r="M98" s="24">
        <f t="shared" si="20"/>
        <v>0</v>
      </c>
      <c r="N98" s="24">
        <f t="shared" si="20"/>
        <v>0</v>
      </c>
      <c r="O98" s="24">
        <f t="shared" si="20"/>
        <v>0</v>
      </c>
      <c r="P98" s="24">
        <f t="shared" si="20"/>
        <v>0</v>
      </c>
      <c r="Q98" s="24">
        <f t="shared" si="20"/>
        <v>0</v>
      </c>
      <c r="R98" s="24">
        <f t="shared" si="20"/>
        <v>0</v>
      </c>
    </row>
    <row r="99" spans="2:18" x14ac:dyDescent="0.45">
      <c r="B99" s="59" t="s">
        <v>324</v>
      </c>
      <c r="C99" s="24">
        <f t="shared" ref="C99:R99" si="21">-C106</f>
        <v>-3.4908299999999994</v>
      </c>
      <c r="D99" s="24">
        <f t="shared" si="21"/>
        <v>-5.0487299999999999</v>
      </c>
      <c r="E99" s="24">
        <f t="shared" si="21"/>
        <v>2.5318200000000002</v>
      </c>
      <c r="F99" s="24">
        <f t="shared" si="21"/>
        <v>5.7248699999999983</v>
      </c>
      <c r="G99" s="24">
        <f t="shared" si="21"/>
        <v>-4.8450299999999995</v>
      </c>
      <c r="H99" s="24">
        <f t="shared" si="21"/>
        <v>-4.7063999999999995</v>
      </c>
      <c r="I99" s="24">
        <f t="shared" si="21"/>
        <v>-0.65486999999999995</v>
      </c>
      <c r="J99" s="24">
        <f t="shared" si="21"/>
        <v>-2.65137</v>
      </c>
      <c r="K99" s="24">
        <f t="shared" si="21"/>
        <v>-3.8877000000000002</v>
      </c>
      <c r="L99" s="24">
        <f t="shared" si="21"/>
        <v>3.4555500000000001</v>
      </c>
      <c r="M99" s="24">
        <f t="shared" si="21"/>
        <v>0</v>
      </c>
      <c r="N99" s="24">
        <f t="shared" si="21"/>
        <v>0</v>
      </c>
      <c r="O99" s="24">
        <f t="shared" si="21"/>
        <v>0</v>
      </c>
      <c r="P99" s="24">
        <f t="shared" si="21"/>
        <v>0</v>
      </c>
      <c r="Q99" s="24">
        <f t="shared" si="21"/>
        <v>0</v>
      </c>
      <c r="R99" s="24">
        <f t="shared" si="21"/>
        <v>0</v>
      </c>
    </row>
    <row r="100" spans="2:18" x14ac:dyDescent="0.45">
      <c r="B100" s="59" t="s">
        <v>325</v>
      </c>
      <c r="C100" s="27">
        <f t="shared" ref="C100:R100" si="22">C110</f>
        <v>1.9339199999999999</v>
      </c>
      <c r="D100" s="27">
        <f t="shared" si="22"/>
        <v>0.7107</v>
      </c>
      <c r="E100" s="27">
        <f t="shared" si="22"/>
        <v>5.91282</v>
      </c>
      <c r="F100" s="27">
        <f t="shared" si="22"/>
        <v>2.4617400000000003</v>
      </c>
      <c r="G100" s="27">
        <f t="shared" si="22"/>
        <v>32.628509999999999</v>
      </c>
      <c r="H100" s="27">
        <f t="shared" si="22"/>
        <v>52.838069999999995</v>
      </c>
      <c r="I100" s="27">
        <f t="shared" si="22"/>
        <v>26.315999999999999</v>
      </c>
      <c r="J100" s="27">
        <f t="shared" si="22"/>
        <v>22.99785</v>
      </c>
      <c r="K100" s="27">
        <f t="shared" si="22"/>
        <v>32.866259999999997</v>
      </c>
      <c r="L100" s="27">
        <f t="shared" si="22"/>
        <v>16.444499999999998</v>
      </c>
      <c r="M100" s="27">
        <f t="shared" si="22"/>
        <v>0</v>
      </c>
      <c r="N100" s="27">
        <f t="shared" si="22"/>
        <v>0</v>
      </c>
      <c r="O100" s="27">
        <f t="shared" si="22"/>
        <v>0</v>
      </c>
      <c r="P100" s="27">
        <f t="shared" si="22"/>
        <v>0</v>
      </c>
      <c r="Q100" s="27">
        <f t="shared" si="22"/>
        <v>0</v>
      </c>
      <c r="R100" s="24">
        <f t="shared" si="22"/>
        <v>0</v>
      </c>
    </row>
    <row r="101" spans="2:18" x14ac:dyDescent="0.45">
      <c r="B101" s="60" t="s">
        <v>326</v>
      </c>
      <c r="C101" s="32">
        <f t="shared" ref="C101:R101" si="23">SUM(C98:C100)</f>
        <v>-813.603909999998</v>
      </c>
      <c r="D101" s="32">
        <f t="shared" si="23"/>
        <v>1121.8539699999999</v>
      </c>
      <c r="E101" s="32">
        <f t="shared" si="23"/>
        <v>1496.5906400000019</v>
      </c>
      <c r="F101" s="32">
        <f t="shared" si="23"/>
        <v>855.18661000000043</v>
      </c>
      <c r="G101" s="32">
        <f t="shared" si="23"/>
        <v>138.06447999999688</v>
      </c>
      <c r="H101" s="32">
        <f t="shared" si="23"/>
        <v>1531.3426699999998</v>
      </c>
      <c r="I101" s="32">
        <f t="shared" si="23"/>
        <v>3404.6621300000038</v>
      </c>
      <c r="J101" s="32">
        <f t="shared" si="23"/>
        <v>2012.1614799999984</v>
      </c>
      <c r="K101" s="32">
        <f t="shared" si="23"/>
        <v>1205.032559999999</v>
      </c>
      <c r="L101" s="32">
        <f t="shared" si="23"/>
        <v>1291.9430500000033</v>
      </c>
      <c r="M101" s="32">
        <f t="shared" si="23"/>
        <v>0</v>
      </c>
      <c r="N101" s="32">
        <f t="shared" si="23"/>
        <v>0</v>
      </c>
      <c r="O101" s="32">
        <f t="shared" si="23"/>
        <v>0</v>
      </c>
      <c r="P101" s="32">
        <f t="shared" si="23"/>
        <v>0</v>
      </c>
      <c r="Q101" s="32">
        <f t="shared" si="23"/>
        <v>0</v>
      </c>
      <c r="R101" s="24">
        <f t="shared" si="23"/>
        <v>0</v>
      </c>
    </row>
    <row r="102" spans="2:18" x14ac:dyDescent="0.45">
      <c r="B102" s="42" t="s">
        <v>327</v>
      </c>
      <c r="C102" s="28">
        <f t="shared" ref="C102:R102" si="24">C105</f>
        <v>65.286209999999997</v>
      </c>
      <c r="D102" s="28">
        <f t="shared" si="24"/>
        <v>13.33461</v>
      </c>
      <c r="E102" s="28">
        <f t="shared" si="24"/>
        <v>-16.23921</v>
      </c>
      <c r="F102" s="28">
        <f t="shared" si="24"/>
        <v>17.65278</v>
      </c>
      <c r="G102" s="28">
        <f t="shared" si="24"/>
        <v>88.429829999999995</v>
      </c>
      <c r="H102" s="28">
        <f t="shared" si="24"/>
        <v>-17.804069999999999</v>
      </c>
      <c r="I102" s="28">
        <f t="shared" si="24"/>
        <v>-5.2826699999999978</v>
      </c>
      <c r="J102" s="28">
        <f t="shared" si="24"/>
        <v>42.286679999999997</v>
      </c>
      <c r="K102" s="28">
        <f t="shared" si="24"/>
        <v>36.80538</v>
      </c>
      <c r="L102" s="28">
        <f t="shared" si="24"/>
        <v>45.126420000000003</v>
      </c>
      <c r="M102" s="28">
        <f t="shared" si="24"/>
        <v>0</v>
      </c>
      <c r="N102" s="28">
        <f t="shared" si="24"/>
        <v>0</v>
      </c>
      <c r="O102" s="28">
        <f t="shared" si="24"/>
        <v>0</v>
      </c>
      <c r="P102" s="28">
        <f t="shared" si="24"/>
        <v>0</v>
      </c>
      <c r="Q102" s="28">
        <f t="shared" si="24"/>
        <v>0</v>
      </c>
      <c r="R102" s="24">
        <f t="shared" si="24"/>
        <v>0</v>
      </c>
    </row>
    <row r="103" spans="2:18" x14ac:dyDescent="0.45">
      <c r="B103" s="47" t="s">
        <v>328</v>
      </c>
      <c r="C103" s="24">
        <f t="shared" ref="C103:R103" si="25">-C13</f>
        <v>2176.2069999999999</v>
      </c>
      <c r="D103" s="24">
        <f t="shared" si="25"/>
        <v>444.48700000000002</v>
      </c>
      <c r="E103" s="24">
        <f t="shared" si="25"/>
        <v>-541.30700000000002</v>
      </c>
      <c r="F103" s="24">
        <f t="shared" si="25"/>
        <v>588.42600000000004</v>
      </c>
      <c r="G103" s="24">
        <f t="shared" si="25"/>
        <v>2947.6610000000001</v>
      </c>
      <c r="H103" s="24">
        <f t="shared" si="25"/>
        <v>-593.46900000000005</v>
      </c>
      <c r="I103" s="24">
        <f t="shared" si="25"/>
        <v>-176.08899999999994</v>
      </c>
      <c r="J103" s="24">
        <f t="shared" si="25"/>
        <v>1409.556</v>
      </c>
      <c r="K103" s="24">
        <f t="shared" si="25"/>
        <v>1226.846</v>
      </c>
      <c r="L103" s="24">
        <f t="shared" si="25"/>
        <v>1504.2140000000002</v>
      </c>
      <c r="M103" s="24">
        <f t="shared" si="25"/>
        <v>0</v>
      </c>
      <c r="N103" s="24">
        <f t="shared" si="25"/>
        <v>0</v>
      </c>
      <c r="O103" s="24">
        <f t="shared" si="25"/>
        <v>0</v>
      </c>
      <c r="P103" s="24">
        <f t="shared" si="25"/>
        <v>0</v>
      </c>
      <c r="Q103" s="24">
        <f t="shared" si="25"/>
        <v>0</v>
      </c>
      <c r="R103" s="24">
        <f t="shared" si="25"/>
        <v>0</v>
      </c>
    </row>
    <row r="104" spans="2:18" x14ac:dyDescent="0.45">
      <c r="B104" s="47" t="s">
        <v>329</v>
      </c>
      <c r="C104" s="68">
        <f t="shared" ref="C104:L104" si="26">$C$4</f>
        <v>0.03</v>
      </c>
      <c r="D104" s="68">
        <f t="shared" si="26"/>
        <v>0.03</v>
      </c>
      <c r="E104" s="68">
        <f t="shared" si="26"/>
        <v>0.03</v>
      </c>
      <c r="F104" s="68">
        <f t="shared" si="26"/>
        <v>0.03</v>
      </c>
      <c r="G104" s="68">
        <f t="shared" si="26"/>
        <v>0.03</v>
      </c>
      <c r="H104" s="68">
        <f t="shared" si="26"/>
        <v>0.03</v>
      </c>
      <c r="I104" s="68">
        <f t="shared" si="26"/>
        <v>0.03</v>
      </c>
      <c r="J104" s="68">
        <f t="shared" si="26"/>
        <v>0.03</v>
      </c>
      <c r="K104" s="68">
        <f t="shared" si="26"/>
        <v>0.03</v>
      </c>
      <c r="L104" s="68">
        <f t="shared" si="26"/>
        <v>0.03</v>
      </c>
      <c r="M104" s="27"/>
      <c r="N104" s="27"/>
      <c r="O104" s="27"/>
      <c r="P104" s="27"/>
      <c r="Q104" s="27"/>
    </row>
    <row r="105" spans="2:18" x14ac:dyDescent="0.45">
      <c r="B105" s="60" t="s">
        <v>330</v>
      </c>
      <c r="C105" s="32">
        <f t="shared" ref="C105:R105" si="27">C104*C103</f>
        <v>65.286209999999997</v>
      </c>
      <c r="D105" s="32">
        <f t="shared" si="27"/>
        <v>13.33461</v>
      </c>
      <c r="E105" s="32">
        <f t="shared" si="27"/>
        <v>-16.23921</v>
      </c>
      <c r="F105" s="32">
        <f t="shared" si="27"/>
        <v>17.65278</v>
      </c>
      <c r="G105" s="32">
        <f t="shared" si="27"/>
        <v>88.429829999999995</v>
      </c>
      <c r="H105" s="32">
        <f t="shared" si="27"/>
        <v>-17.804069999999999</v>
      </c>
      <c r="I105" s="32">
        <f t="shared" si="27"/>
        <v>-5.2826699999999978</v>
      </c>
      <c r="J105" s="32">
        <f t="shared" si="27"/>
        <v>42.286679999999997</v>
      </c>
      <c r="K105" s="32">
        <f t="shared" si="27"/>
        <v>36.80538</v>
      </c>
      <c r="L105" s="32">
        <f t="shared" si="27"/>
        <v>45.126420000000003</v>
      </c>
      <c r="M105" s="32">
        <f t="shared" si="27"/>
        <v>0</v>
      </c>
      <c r="N105" s="32">
        <f t="shared" si="27"/>
        <v>0</v>
      </c>
      <c r="O105" s="32">
        <f t="shared" si="27"/>
        <v>0</v>
      </c>
      <c r="P105" s="32">
        <f t="shared" si="27"/>
        <v>0</v>
      </c>
      <c r="Q105" s="32">
        <f t="shared" si="27"/>
        <v>0</v>
      </c>
      <c r="R105" s="24">
        <f t="shared" si="27"/>
        <v>0</v>
      </c>
    </row>
    <row r="106" spans="2:18" x14ac:dyDescent="0.45">
      <c r="B106" s="61" t="s">
        <v>331</v>
      </c>
      <c r="C106" s="28">
        <f t="shared" ref="C106:R106" si="28">C109</f>
        <v>3.4908299999999994</v>
      </c>
      <c r="D106" s="28">
        <f t="shared" si="28"/>
        <v>5.0487299999999999</v>
      </c>
      <c r="E106" s="28">
        <f t="shared" si="28"/>
        <v>-2.5318200000000002</v>
      </c>
      <c r="F106" s="28">
        <f t="shared" si="28"/>
        <v>-5.7248699999999983</v>
      </c>
      <c r="G106" s="28">
        <f t="shared" si="28"/>
        <v>4.8450299999999995</v>
      </c>
      <c r="H106" s="28">
        <f t="shared" si="28"/>
        <v>4.7063999999999995</v>
      </c>
      <c r="I106" s="28">
        <f t="shared" si="28"/>
        <v>0.65486999999999995</v>
      </c>
      <c r="J106" s="28">
        <f t="shared" si="28"/>
        <v>2.65137</v>
      </c>
      <c r="K106" s="28">
        <f t="shared" si="28"/>
        <v>3.8877000000000002</v>
      </c>
      <c r="L106" s="28">
        <f t="shared" si="28"/>
        <v>-3.4555500000000001</v>
      </c>
      <c r="M106" s="28">
        <f t="shared" si="28"/>
        <v>0</v>
      </c>
      <c r="N106" s="28">
        <f t="shared" si="28"/>
        <v>0</v>
      </c>
      <c r="O106" s="28">
        <f t="shared" si="28"/>
        <v>0</v>
      </c>
      <c r="P106" s="28">
        <f t="shared" si="28"/>
        <v>0</v>
      </c>
      <c r="Q106" s="28">
        <f t="shared" si="28"/>
        <v>0</v>
      </c>
      <c r="R106" s="24">
        <f t="shared" si="28"/>
        <v>0</v>
      </c>
    </row>
    <row r="107" spans="2:18" x14ac:dyDescent="0.45">
      <c r="B107" s="47" t="s">
        <v>332</v>
      </c>
      <c r="C107" s="24">
        <f t="shared" ref="C107:R107" si="29">C12+C14</f>
        <v>116.36099999999999</v>
      </c>
      <c r="D107" s="24">
        <f t="shared" si="29"/>
        <v>168.291</v>
      </c>
      <c r="E107" s="24">
        <f t="shared" si="29"/>
        <v>-84.394000000000005</v>
      </c>
      <c r="F107" s="24">
        <f t="shared" si="29"/>
        <v>-190.82899999999995</v>
      </c>
      <c r="G107" s="24">
        <f t="shared" si="29"/>
        <v>161.50099999999998</v>
      </c>
      <c r="H107" s="24">
        <f t="shared" si="29"/>
        <v>156.88</v>
      </c>
      <c r="I107" s="24">
        <f t="shared" si="29"/>
        <v>21.829000000000001</v>
      </c>
      <c r="J107" s="24">
        <f t="shared" si="29"/>
        <v>88.379000000000005</v>
      </c>
      <c r="K107" s="24">
        <f t="shared" si="29"/>
        <v>129.59</v>
      </c>
      <c r="L107" s="24">
        <f t="shared" si="29"/>
        <v>-115.185</v>
      </c>
      <c r="M107" s="24">
        <f t="shared" si="29"/>
        <v>0</v>
      </c>
      <c r="N107" s="24">
        <f t="shared" si="29"/>
        <v>0</v>
      </c>
      <c r="O107" s="24">
        <f t="shared" si="29"/>
        <v>0</v>
      </c>
      <c r="P107" s="24">
        <f t="shared" si="29"/>
        <v>0</v>
      </c>
      <c r="Q107" s="24">
        <f t="shared" si="29"/>
        <v>0</v>
      </c>
      <c r="R107" s="24">
        <f t="shared" si="29"/>
        <v>0</v>
      </c>
    </row>
    <row r="108" spans="2:18" x14ac:dyDescent="0.45">
      <c r="B108" s="47" t="s">
        <v>329</v>
      </c>
      <c r="C108" s="68">
        <f t="shared" ref="C108:L108" si="30">$C$4</f>
        <v>0.03</v>
      </c>
      <c r="D108" s="68">
        <f t="shared" si="30"/>
        <v>0.03</v>
      </c>
      <c r="E108" s="68">
        <f t="shared" si="30"/>
        <v>0.03</v>
      </c>
      <c r="F108" s="68">
        <f t="shared" si="30"/>
        <v>0.03</v>
      </c>
      <c r="G108" s="68">
        <f t="shared" si="30"/>
        <v>0.03</v>
      </c>
      <c r="H108" s="68">
        <f t="shared" si="30"/>
        <v>0.03</v>
      </c>
      <c r="I108" s="68">
        <f t="shared" si="30"/>
        <v>0.03</v>
      </c>
      <c r="J108" s="68">
        <f t="shared" si="30"/>
        <v>0.03</v>
      </c>
      <c r="K108" s="68">
        <f t="shared" si="30"/>
        <v>0.03</v>
      </c>
      <c r="L108" s="68">
        <f t="shared" si="30"/>
        <v>0.03</v>
      </c>
      <c r="M108" s="27"/>
      <c r="N108" s="27"/>
      <c r="O108" s="27"/>
      <c r="P108" s="27"/>
      <c r="Q108" s="27"/>
    </row>
    <row r="109" spans="2:18" x14ac:dyDescent="0.45">
      <c r="B109" s="60" t="s">
        <v>333</v>
      </c>
      <c r="C109" s="32">
        <f t="shared" ref="C109:R109" si="31">C108*C107</f>
        <v>3.4908299999999994</v>
      </c>
      <c r="D109" s="32">
        <f t="shared" si="31"/>
        <v>5.0487299999999999</v>
      </c>
      <c r="E109" s="32">
        <f t="shared" si="31"/>
        <v>-2.5318200000000002</v>
      </c>
      <c r="F109" s="32">
        <f t="shared" si="31"/>
        <v>-5.7248699999999983</v>
      </c>
      <c r="G109" s="32">
        <f t="shared" si="31"/>
        <v>4.8450299999999995</v>
      </c>
      <c r="H109" s="32">
        <f t="shared" si="31"/>
        <v>4.7063999999999995</v>
      </c>
      <c r="I109" s="32">
        <f t="shared" si="31"/>
        <v>0.65486999999999995</v>
      </c>
      <c r="J109" s="32">
        <f t="shared" si="31"/>
        <v>2.65137</v>
      </c>
      <c r="K109" s="32">
        <f t="shared" si="31"/>
        <v>3.8877000000000002</v>
      </c>
      <c r="L109" s="32">
        <f t="shared" si="31"/>
        <v>-3.4555500000000001</v>
      </c>
      <c r="M109" s="32">
        <f t="shared" si="31"/>
        <v>0</v>
      </c>
      <c r="N109" s="32">
        <f t="shared" si="31"/>
        <v>0</v>
      </c>
      <c r="O109" s="32">
        <f t="shared" si="31"/>
        <v>0</v>
      </c>
      <c r="P109" s="32">
        <f t="shared" si="31"/>
        <v>0</v>
      </c>
      <c r="Q109" s="32">
        <f t="shared" si="31"/>
        <v>0</v>
      </c>
      <c r="R109" s="24">
        <f t="shared" si="31"/>
        <v>0</v>
      </c>
    </row>
    <row r="110" spans="2:18" x14ac:dyDescent="0.45">
      <c r="B110" s="42" t="s">
        <v>334</v>
      </c>
      <c r="C110" s="28">
        <f t="shared" ref="C110:R110" si="32">C113</f>
        <v>1.9339199999999999</v>
      </c>
      <c r="D110" s="28">
        <f t="shared" si="32"/>
        <v>0.7107</v>
      </c>
      <c r="E110" s="28">
        <f t="shared" si="32"/>
        <v>5.91282</v>
      </c>
      <c r="F110" s="28">
        <f t="shared" si="32"/>
        <v>2.4617400000000003</v>
      </c>
      <c r="G110" s="28">
        <f t="shared" si="32"/>
        <v>32.628509999999999</v>
      </c>
      <c r="H110" s="28">
        <f t="shared" si="32"/>
        <v>52.838069999999995</v>
      </c>
      <c r="I110" s="28">
        <f t="shared" si="32"/>
        <v>26.315999999999999</v>
      </c>
      <c r="J110" s="28">
        <f t="shared" si="32"/>
        <v>22.99785</v>
      </c>
      <c r="K110" s="28">
        <f t="shared" si="32"/>
        <v>32.866259999999997</v>
      </c>
      <c r="L110" s="28">
        <f t="shared" si="32"/>
        <v>16.444499999999998</v>
      </c>
      <c r="M110" s="28">
        <f t="shared" si="32"/>
        <v>0</v>
      </c>
      <c r="N110" s="28">
        <f t="shared" si="32"/>
        <v>0</v>
      </c>
      <c r="O110" s="28">
        <f t="shared" si="32"/>
        <v>0</v>
      </c>
      <c r="P110" s="28">
        <f t="shared" si="32"/>
        <v>0</v>
      </c>
      <c r="Q110" s="28">
        <f t="shared" si="32"/>
        <v>0</v>
      </c>
      <c r="R110" s="24">
        <f t="shared" si="32"/>
        <v>0</v>
      </c>
    </row>
    <row r="111" spans="2:18" x14ac:dyDescent="0.45">
      <c r="B111" s="47" t="s">
        <v>335</v>
      </c>
      <c r="C111" s="24">
        <f t="shared" ref="C111:R111" si="33">-(C15)</f>
        <v>64.463999999999999</v>
      </c>
      <c r="D111" s="24">
        <f t="shared" si="33"/>
        <v>23.69</v>
      </c>
      <c r="E111" s="24">
        <f t="shared" si="33"/>
        <v>197.09399999999999</v>
      </c>
      <c r="F111" s="24">
        <f t="shared" si="33"/>
        <v>82.058000000000007</v>
      </c>
      <c r="G111" s="24">
        <f t="shared" si="33"/>
        <v>1087.617</v>
      </c>
      <c r="H111" s="24">
        <f t="shared" si="33"/>
        <v>1761.269</v>
      </c>
      <c r="I111" s="24">
        <f t="shared" si="33"/>
        <v>877.2</v>
      </c>
      <c r="J111" s="24">
        <f t="shared" si="33"/>
        <v>766.59500000000003</v>
      </c>
      <c r="K111" s="24">
        <f t="shared" si="33"/>
        <v>1095.5419999999999</v>
      </c>
      <c r="L111" s="24">
        <f t="shared" si="33"/>
        <v>548.15</v>
      </c>
      <c r="M111" s="24">
        <f t="shared" si="33"/>
        <v>0</v>
      </c>
      <c r="N111" s="24">
        <f t="shared" si="33"/>
        <v>0</v>
      </c>
      <c r="O111" s="24">
        <f t="shared" si="33"/>
        <v>0</v>
      </c>
      <c r="P111" s="24">
        <f t="shared" si="33"/>
        <v>0</v>
      </c>
      <c r="Q111" s="24">
        <f t="shared" si="33"/>
        <v>0</v>
      </c>
      <c r="R111" s="24">
        <f t="shared" si="33"/>
        <v>0</v>
      </c>
    </row>
    <row r="112" spans="2:18" x14ac:dyDescent="0.45">
      <c r="B112" s="47" t="s">
        <v>329</v>
      </c>
      <c r="C112" s="68">
        <f t="shared" ref="C112:L112" si="34">$C$4</f>
        <v>0.03</v>
      </c>
      <c r="D112" s="68">
        <f t="shared" si="34"/>
        <v>0.03</v>
      </c>
      <c r="E112" s="68">
        <f t="shared" si="34"/>
        <v>0.03</v>
      </c>
      <c r="F112" s="68">
        <f t="shared" si="34"/>
        <v>0.03</v>
      </c>
      <c r="G112" s="68">
        <f t="shared" si="34"/>
        <v>0.03</v>
      </c>
      <c r="H112" s="68">
        <f t="shared" si="34"/>
        <v>0.03</v>
      </c>
      <c r="I112" s="68">
        <f t="shared" si="34"/>
        <v>0.03</v>
      </c>
      <c r="J112" s="68">
        <f t="shared" si="34"/>
        <v>0.03</v>
      </c>
      <c r="K112" s="68">
        <f t="shared" si="34"/>
        <v>0.03</v>
      </c>
      <c r="L112" s="68">
        <f t="shared" si="34"/>
        <v>0.03</v>
      </c>
      <c r="M112" s="27"/>
      <c r="N112" s="27"/>
      <c r="O112" s="27"/>
      <c r="P112" s="27"/>
      <c r="Q112" s="27"/>
    </row>
    <row r="113" spans="1:18" x14ac:dyDescent="0.45">
      <c r="B113" s="60" t="s">
        <v>336</v>
      </c>
      <c r="C113" s="32">
        <f t="shared" ref="C113:R113" si="35">C112*C111</f>
        <v>1.9339199999999999</v>
      </c>
      <c r="D113" s="32">
        <f t="shared" si="35"/>
        <v>0.7107</v>
      </c>
      <c r="E113" s="32">
        <f t="shared" si="35"/>
        <v>5.91282</v>
      </c>
      <c r="F113" s="32">
        <f t="shared" si="35"/>
        <v>2.4617400000000003</v>
      </c>
      <c r="G113" s="32">
        <f t="shared" si="35"/>
        <v>32.628509999999999</v>
      </c>
      <c r="H113" s="32">
        <f t="shared" si="35"/>
        <v>52.838069999999995</v>
      </c>
      <c r="I113" s="32">
        <f t="shared" si="35"/>
        <v>26.315999999999999</v>
      </c>
      <c r="J113" s="32">
        <f t="shared" si="35"/>
        <v>22.99785</v>
      </c>
      <c r="K113" s="32">
        <f t="shared" si="35"/>
        <v>32.866259999999997</v>
      </c>
      <c r="L113" s="32">
        <f t="shared" si="35"/>
        <v>16.444499999999998</v>
      </c>
      <c r="M113" s="32">
        <f t="shared" si="35"/>
        <v>0</v>
      </c>
      <c r="N113" s="32">
        <f t="shared" si="35"/>
        <v>0</v>
      </c>
      <c r="O113" s="32">
        <f t="shared" si="35"/>
        <v>0</v>
      </c>
      <c r="P113" s="32">
        <f t="shared" si="35"/>
        <v>0</v>
      </c>
      <c r="Q113" s="32">
        <f t="shared" si="35"/>
        <v>0</v>
      </c>
      <c r="R113" s="24">
        <f t="shared" si="35"/>
        <v>0</v>
      </c>
    </row>
    <row r="114" spans="1:18" ht="14.65" thickBot="1" x14ac:dyDescent="0.5">
      <c r="B114" s="52" t="s">
        <v>337</v>
      </c>
      <c r="C114" s="44">
        <f t="shared" ref="C114:R114" si="36">C101+C106-C110</f>
        <v>-812.04699999999798</v>
      </c>
      <c r="D114" s="44">
        <f t="shared" si="36"/>
        <v>1126.1919999999998</v>
      </c>
      <c r="E114" s="44">
        <f t="shared" si="36"/>
        <v>1488.146000000002</v>
      </c>
      <c r="F114" s="44">
        <f t="shared" si="36"/>
        <v>847.00000000000045</v>
      </c>
      <c r="G114" s="44">
        <f t="shared" si="36"/>
        <v>110.28099999999688</v>
      </c>
      <c r="H114" s="44">
        <f t="shared" si="36"/>
        <v>1483.2109999999998</v>
      </c>
      <c r="I114" s="44">
        <f t="shared" si="36"/>
        <v>3379.0010000000038</v>
      </c>
      <c r="J114" s="44">
        <f t="shared" si="36"/>
        <v>1991.8149999999985</v>
      </c>
      <c r="K114" s="44">
        <f t="shared" si="36"/>
        <v>1176.053999999999</v>
      </c>
      <c r="L114" s="44">
        <f t="shared" si="36"/>
        <v>1272.0430000000033</v>
      </c>
      <c r="M114" s="44">
        <f t="shared" si="36"/>
        <v>0</v>
      </c>
      <c r="N114" s="44">
        <f t="shared" si="36"/>
        <v>0</v>
      </c>
      <c r="O114" s="44">
        <f t="shared" si="36"/>
        <v>0</v>
      </c>
      <c r="P114" s="44">
        <f t="shared" si="36"/>
        <v>0</v>
      </c>
      <c r="Q114" s="44">
        <f t="shared" si="36"/>
        <v>0</v>
      </c>
      <c r="R114" s="24">
        <f t="shared" si="36"/>
        <v>0</v>
      </c>
    </row>
    <row r="115" spans="1:18" ht="15" thickTop="1" thickBot="1" x14ac:dyDescent="0.5">
      <c r="B115" s="34"/>
    </row>
    <row r="116" spans="1:18" ht="14.65" thickTop="1" x14ac:dyDescent="0.45">
      <c r="A116" s="24" t="s">
        <v>14</v>
      </c>
      <c r="B116" s="57" t="s">
        <v>338</v>
      </c>
      <c r="C116" s="58"/>
      <c r="D116" s="58"/>
      <c r="E116" s="58"/>
      <c r="F116" s="58"/>
      <c r="G116" s="58"/>
      <c r="H116" s="58"/>
      <c r="I116" s="58"/>
      <c r="J116" s="58"/>
      <c r="K116" s="58"/>
      <c r="L116" s="58"/>
      <c r="M116" s="58"/>
      <c r="N116" s="58"/>
      <c r="O116" s="58"/>
      <c r="P116" s="58"/>
      <c r="Q116" s="58"/>
    </row>
    <row r="117" spans="1:18" x14ac:dyDescent="0.45">
      <c r="B117" s="42" t="s">
        <v>339</v>
      </c>
    </row>
    <row r="118" spans="1:18" x14ac:dyDescent="0.45">
      <c r="B118" s="47" t="s">
        <v>340</v>
      </c>
      <c r="C118" s="24">
        <f t="shared" ref="C118:R118" si="37">MIN(C3*C9,C46)</f>
        <v>0</v>
      </c>
      <c r="D118" s="24">
        <f t="shared" si="37"/>
        <v>0</v>
      </c>
      <c r="E118" s="24">
        <f t="shared" si="37"/>
        <v>706.16000000000008</v>
      </c>
      <c r="F118" s="24">
        <f t="shared" si="37"/>
        <v>683.35895000000005</v>
      </c>
      <c r="G118" s="24">
        <f t="shared" si="37"/>
        <v>1326.4581500000002</v>
      </c>
      <c r="H118" s="24">
        <f t="shared" si="37"/>
        <v>1313.7977500000002</v>
      </c>
      <c r="I118" s="24">
        <f t="shared" si="37"/>
        <v>1334.8521500000002</v>
      </c>
      <c r="J118" s="24">
        <f t="shared" si="37"/>
        <v>1430.9936</v>
      </c>
      <c r="K118" s="24">
        <f t="shared" si="37"/>
        <v>1374.72775</v>
      </c>
      <c r="L118" s="24">
        <f t="shared" si="37"/>
        <v>1398.5100500000001</v>
      </c>
      <c r="M118" s="24">
        <f t="shared" si="37"/>
        <v>0</v>
      </c>
      <c r="N118" s="24">
        <f t="shared" si="37"/>
        <v>0</v>
      </c>
      <c r="O118" s="24">
        <f t="shared" si="37"/>
        <v>0</v>
      </c>
      <c r="P118" s="24">
        <f t="shared" si="37"/>
        <v>0</v>
      </c>
      <c r="Q118" s="24">
        <f t="shared" si="37"/>
        <v>0</v>
      </c>
      <c r="R118" s="24">
        <f t="shared" si="37"/>
        <v>0</v>
      </c>
    </row>
    <row r="119" spans="1:18" x14ac:dyDescent="0.45">
      <c r="B119" s="59" t="s">
        <v>341</v>
      </c>
      <c r="C119" s="24">
        <f t="shared" ref="C119:R119" si="38">C44</f>
        <v>3703.4110000000001</v>
      </c>
      <c r="D119" s="24">
        <f t="shared" si="38"/>
        <v>3985.6529999999998</v>
      </c>
      <c r="E119" s="24">
        <f t="shared" si="38"/>
        <v>3783.2049999999999</v>
      </c>
      <c r="F119" s="24">
        <f t="shared" si="38"/>
        <v>4055.9540000000002</v>
      </c>
      <c r="G119" s="24">
        <f t="shared" si="38"/>
        <v>6729.4340000000002</v>
      </c>
      <c r="H119" s="24">
        <f t="shared" si="38"/>
        <v>6269.2929999999997</v>
      </c>
      <c r="I119" s="24">
        <f t="shared" si="38"/>
        <v>5464.3329999999996</v>
      </c>
      <c r="J119" s="24">
        <f t="shared" si="38"/>
        <v>5018.7489999999998</v>
      </c>
      <c r="K119" s="24">
        <f t="shared" si="38"/>
        <v>4596.7939999999999</v>
      </c>
      <c r="L119" s="24">
        <f t="shared" si="38"/>
        <v>4370.6819999999998</v>
      </c>
      <c r="M119" s="24">
        <f t="shared" si="38"/>
        <v>0</v>
      </c>
      <c r="N119" s="24">
        <f t="shared" si="38"/>
        <v>0</v>
      </c>
      <c r="O119" s="24">
        <f t="shared" si="38"/>
        <v>0</v>
      </c>
      <c r="P119" s="24">
        <f t="shared" si="38"/>
        <v>0</v>
      </c>
      <c r="Q119" s="24">
        <f t="shared" si="38"/>
        <v>0</v>
      </c>
      <c r="R119" s="24">
        <f t="shared" si="38"/>
        <v>0</v>
      </c>
    </row>
    <row r="120" spans="1:18" x14ac:dyDescent="0.45">
      <c r="B120" s="47" t="s">
        <v>342</v>
      </c>
      <c r="C120" s="24">
        <f t="shared" ref="C120:R120" si="39">C43</f>
        <v>2056.8420000000001</v>
      </c>
      <c r="D120" s="24">
        <f t="shared" si="39"/>
        <v>1812.037</v>
      </c>
      <c r="E120" s="24">
        <f t="shared" si="39"/>
        <v>1664.35</v>
      </c>
      <c r="F120" s="24">
        <f t="shared" si="39"/>
        <v>1778.3879999999999</v>
      </c>
      <c r="G120" s="24">
        <f t="shared" si="39"/>
        <v>6570.6170000000002</v>
      </c>
      <c r="H120" s="24">
        <f t="shared" si="39"/>
        <v>5856.3879999999999</v>
      </c>
      <c r="I120" s="24">
        <f t="shared" si="39"/>
        <v>6196.0190000000002</v>
      </c>
      <c r="J120" s="24">
        <f t="shared" si="39"/>
        <v>6579.5240000000003</v>
      </c>
      <c r="K120" s="24">
        <f t="shared" si="39"/>
        <v>7506.7979999999998</v>
      </c>
      <c r="L120" s="24">
        <f t="shared" si="39"/>
        <v>7657.5739999999996</v>
      </c>
      <c r="M120" s="24">
        <f t="shared" si="39"/>
        <v>0</v>
      </c>
      <c r="N120" s="24">
        <f t="shared" si="39"/>
        <v>0</v>
      </c>
      <c r="O120" s="24">
        <f t="shared" si="39"/>
        <v>0</v>
      </c>
      <c r="P120" s="24">
        <f t="shared" si="39"/>
        <v>0</v>
      </c>
      <c r="Q120" s="24">
        <f t="shared" si="39"/>
        <v>0</v>
      </c>
      <c r="R120" s="24">
        <f t="shared" si="39"/>
        <v>0</v>
      </c>
    </row>
    <row r="121" spans="1:18" x14ac:dyDescent="0.45">
      <c r="B121" s="47" t="s">
        <v>343</v>
      </c>
      <c r="C121" s="24">
        <f t="shared" ref="C121:R121" si="40">C45</f>
        <v>1807.3420000000001</v>
      </c>
      <c r="D121" s="24">
        <f t="shared" si="40"/>
        <v>3120.596</v>
      </c>
      <c r="E121" s="24">
        <f t="shared" si="40"/>
        <v>463.76800000000003</v>
      </c>
      <c r="F121" s="24">
        <f t="shared" si="40"/>
        <v>12951.037</v>
      </c>
      <c r="G121" s="24">
        <f t="shared" si="40"/>
        <v>2540.6319999999996</v>
      </c>
      <c r="H121" s="24">
        <f t="shared" si="40"/>
        <v>3708.0540000000001</v>
      </c>
      <c r="I121" s="24">
        <f t="shared" si="40"/>
        <v>1731.3890000000001</v>
      </c>
      <c r="J121" s="24">
        <f t="shared" si="40"/>
        <v>1959.7739999999999</v>
      </c>
      <c r="K121" s="24">
        <f t="shared" si="40"/>
        <v>1634.04</v>
      </c>
      <c r="L121" s="24">
        <f t="shared" si="40"/>
        <v>1857.3149999999998</v>
      </c>
      <c r="M121" s="24">
        <f t="shared" si="40"/>
        <v>0</v>
      </c>
      <c r="N121" s="24">
        <f t="shared" si="40"/>
        <v>0</v>
      </c>
      <c r="O121" s="24">
        <f t="shared" si="40"/>
        <v>0</v>
      </c>
      <c r="P121" s="24">
        <f t="shared" si="40"/>
        <v>0</v>
      </c>
      <c r="Q121" s="24">
        <f t="shared" si="40"/>
        <v>0</v>
      </c>
      <c r="R121" s="24">
        <f t="shared" si="40"/>
        <v>0</v>
      </c>
    </row>
    <row r="122" spans="1:18" x14ac:dyDescent="0.45">
      <c r="B122" s="47" t="s">
        <v>344</v>
      </c>
      <c r="C122" s="24">
        <f t="shared" ref="C122:R123" si="41">C63</f>
        <v>1304.33</v>
      </c>
      <c r="D122" s="24">
        <f t="shared" si="41"/>
        <v>1884.5640000000001</v>
      </c>
      <c r="E122" s="24">
        <f t="shared" si="41"/>
        <v>1652.1579999999999</v>
      </c>
      <c r="F122" s="24">
        <f t="shared" si="41"/>
        <v>1979.1389999999999</v>
      </c>
      <c r="G122" s="24">
        <f t="shared" si="41"/>
        <v>2458.973</v>
      </c>
      <c r="H122" s="24">
        <f t="shared" si="41"/>
        <v>2589.9839999999999</v>
      </c>
      <c r="I122" s="24">
        <f t="shared" si="41"/>
        <v>2681.973</v>
      </c>
      <c r="J122" s="24">
        <f t="shared" si="41"/>
        <v>2704.145</v>
      </c>
      <c r="K122" s="24">
        <f t="shared" si="41"/>
        <v>3104.1889999999999</v>
      </c>
      <c r="L122" s="24">
        <f t="shared" si="41"/>
        <v>2827.1770000000001</v>
      </c>
      <c r="M122" s="24">
        <f t="shared" si="41"/>
        <v>0</v>
      </c>
      <c r="N122" s="24">
        <f t="shared" si="41"/>
        <v>0</v>
      </c>
      <c r="O122" s="24">
        <f t="shared" si="41"/>
        <v>0</v>
      </c>
      <c r="P122" s="24">
        <f t="shared" si="41"/>
        <v>0</v>
      </c>
      <c r="Q122" s="24">
        <f t="shared" si="41"/>
        <v>0</v>
      </c>
      <c r="R122" s="24">
        <f t="shared" si="41"/>
        <v>0</v>
      </c>
    </row>
    <row r="123" spans="1:18" x14ac:dyDescent="0.45">
      <c r="B123" s="47" t="s">
        <v>345</v>
      </c>
      <c r="C123" s="27">
        <f t="shared" si="41"/>
        <v>0</v>
      </c>
      <c r="D123" s="27">
        <f t="shared" si="41"/>
        <v>0</v>
      </c>
      <c r="E123" s="27">
        <f t="shared" si="41"/>
        <v>0</v>
      </c>
      <c r="F123" s="27">
        <f t="shared" si="41"/>
        <v>0</v>
      </c>
      <c r="G123" s="27">
        <f t="shared" si="41"/>
        <v>0</v>
      </c>
      <c r="H123" s="27">
        <f t="shared" si="41"/>
        <v>0</v>
      </c>
      <c r="I123" s="27">
        <f t="shared" si="41"/>
        <v>0</v>
      </c>
      <c r="J123" s="27">
        <f t="shared" si="41"/>
        <v>0</v>
      </c>
      <c r="K123" s="27">
        <f t="shared" si="41"/>
        <v>0</v>
      </c>
      <c r="L123" s="27">
        <f t="shared" si="41"/>
        <v>0</v>
      </c>
      <c r="M123" s="27">
        <f t="shared" si="41"/>
        <v>0</v>
      </c>
      <c r="N123" s="27">
        <f t="shared" si="41"/>
        <v>0</v>
      </c>
      <c r="O123" s="27">
        <f t="shared" si="41"/>
        <v>0</v>
      </c>
      <c r="P123" s="27">
        <f t="shared" si="41"/>
        <v>0</v>
      </c>
      <c r="Q123" s="27">
        <f t="shared" si="41"/>
        <v>0</v>
      </c>
      <c r="R123" s="24">
        <f t="shared" si="41"/>
        <v>0</v>
      </c>
    </row>
    <row r="124" spans="1:18" x14ac:dyDescent="0.45">
      <c r="B124" s="60" t="s">
        <v>138</v>
      </c>
      <c r="C124" s="32">
        <f t="shared" ref="C124:R124" si="42">SUM(C118:C121)-SUM(C122:C123)</f>
        <v>6263.2650000000012</v>
      </c>
      <c r="D124" s="32">
        <f t="shared" si="42"/>
        <v>7033.7219999999998</v>
      </c>
      <c r="E124" s="32">
        <f t="shared" si="42"/>
        <v>4965.3250000000007</v>
      </c>
      <c r="F124" s="32">
        <f t="shared" si="42"/>
        <v>17489.598950000003</v>
      </c>
      <c r="G124" s="32">
        <f t="shared" si="42"/>
        <v>14708.168150000003</v>
      </c>
      <c r="H124" s="32">
        <f t="shared" si="42"/>
        <v>14557.548749999998</v>
      </c>
      <c r="I124" s="32">
        <f t="shared" si="42"/>
        <v>12044.620150000001</v>
      </c>
      <c r="J124" s="32">
        <f t="shared" si="42"/>
        <v>12284.895599999998</v>
      </c>
      <c r="K124" s="32">
        <f t="shared" si="42"/>
        <v>12008.170749999999</v>
      </c>
      <c r="L124" s="32">
        <f t="shared" si="42"/>
        <v>12456.904049999999</v>
      </c>
      <c r="M124" s="32">
        <f t="shared" si="42"/>
        <v>0</v>
      </c>
      <c r="N124" s="32">
        <f t="shared" si="42"/>
        <v>0</v>
      </c>
      <c r="O124" s="32">
        <f t="shared" si="42"/>
        <v>0</v>
      </c>
      <c r="P124" s="32">
        <f t="shared" si="42"/>
        <v>0</v>
      </c>
      <c r="Q124" s="32">
        <f t="shared" si="42"/>
        <v>0</v>
      </c>
      <c r="R124" s="24">
        <f t="shared" si="42"/>
        <v>0</v>
      </c>
    </row>
    <row r="125" spans="1:18" x14ac:dyDescent="0.45">
      <c r="B125" s="62" t="s">
        <v>346</v>
      </c>
    </row>
    <row r="126" spans="1:18" x14ac:dyDescent="0.45">
      <c r="B126" s="47" t="s">
        <v>347</v>
      </c>
      <c r="C126" s="24">
        <f t="shared" ref="C126:R126" si="43">C37</f>
        <v>3954.7640000000001</v>
      </c>
      <c r="D126" s="24">
        <f t="shared" si="43"/>
        <v>4254.0320000000002</v>
      </c>
      <c r="E126" s="24">
        <f t="shared" si="43"/>
        <v>4438.1990000000005</v>
      </c>
      <c r="F126" s="24">
        <f t="shared" si="43"/>
        <v>5500.9670000000006</v>
      </c>
      <c r="G126" s="24">
        <f t="shared" si="43"/>
        <v>12759.153</v>
      </c>
      <c r="H126" s="24">
        <f t="shared" si="43"/>
        <v>13714.605</v>
      </c>
      <c r="I126" s="24">
        <f t="shared" si="43"/>
        <v>13773.465</v>
      </c>
      <c r="J126" s="24">
        <f t="shared" si="43"/>
        <v>14178.396000000001</v>
      </c>
      <c r="K126" s="24">
        <f t="shared" si="43"/>
        <v>13900.239</v>
      </c>
      <c r="L126" s="24">
        <f t="shared" si="43"/>
        <v>15294.242</v>
      </c>
      <c r="M126" s="24">
        <f t="shared" si="43"/>
        <v>0</v>
      </c>
      <c r="N126" s="24">
        <f t="shared" si="43"/>
        <v>0</v>
      </c>
      <c r="O126" s="24">
        <f t="shared" si="43"/>
        <v>0</v>
      </c>
      <c r="P126" s="24">
        <f t="shared" si="43"/>
        <v>0</v>
      </c>
      <c r="Q126" s="24">
        <f t="shared" si="43"/>
        <v>0</v>
      </c>
      <c r="R126" s="24">
        <f t="shared" si="43"/>
        <v>0</v>
      </c>
    </row>
    <row r="127" spans="1:18" x14ac:dyDescent="0.45">
      <c r="B127" s="47" t="s">
        <v>348</v>
      </c>
      <c r="C127" s="24">
        <f t="shared" ref="C127:R127" si="44">C38</f>
        <v>12376.487000000001</v>
      </c>
      <c r="D127" s="24">
        <f t="shared" si="44"/>
        <v>11886.276</v>
      </c>
      <c r="E127" s="24">
        <f t="shared" si="44"/>
        <v>15909.263999999999</v>
      </c>
      <c r="F127" s="24">
        <f t="shared" si="44"/>
        <v>16508.123</v>
      </c>
      <c r="G127" s="24">
        <f t="shared" si="44"/>
        <v>68978.881999999998</v>
      </c>
      <c r="H127" s="24">
        <f t="shared" si="44"/>
        <v>60053.080999999998</v>
      </c>
      <c r="I127" s="24">
        <f t="shared" si="44"/>
        <v>60788.896000000001</v>
      </c>
      <c r="J127" s="24">
        <f t="shared" si="44"/>
        <v>60004.245000000003</v>
      </c>
      <c r="K127" s="24">
        <f t="shared" si="44"/>
        <v>59099.311000000002</v>
      </c>
      <c r="L127" s="24">
        <f t="shared" si="44"/>
        <v>58205.587</v>
      </c>
      <c r="M127" s="24">
        <f t="shared" si="44"/>
        <v>0</v>
      </c>
      <c r="N127" s="24">
        <f t="shared" si="44"/>
        <v>0</v>
      </c>
      <c r="O127" s="24">
        <f t="shared" si="44"/>
        <v>0</v>
      </c>
      <c r="P127" s="24">
        <f t="shared" si="44"/>
        <v>0</v>
      </c>
      <c r="Q127" s="24">
        <f t="shared" si="44"/>
        <v>0</v>
      </c>
      <c r="R127" s="24">
        <f t="shared" si="44"/>
        <v>0</v>
      </c>
    </row>
    <row r="128" spans="1:18" x14ac:dyDescent="0.45">
      <c r="B128" s="47" t="s">
        <v>349</v>
      </c>
      <c r="C128" s="24">
        <f t="shared" ref="C128:R128" si="45">C59-C40</f>
        <v>5788.4870000000001</v>
      </c>
      <c r="D128" s="24">
        <f t="shared" si="45"/>
        <v>4376.5360000000001</v>
      </c>
      <c r="E128" s="24">
        <f t="shared" si="45"/>
        <v>4656.3680000000004</v>
      </c>
      <c r="F128" s="24">
        <f t="shared" si="45"/>
        <v>4423.2889999999998</v>
      </c>
      <c r="G128" s="24">
        <f t="shared" si="45"/>
        <v>10034.105</v>
      </c>
      <c r="H128" s="24">
        <f t="shared" si="45"/>
        <v>8513.9539999999997</v>
      </c>
      <c r="I128" s="24">
        <f t="shared" si="45"/>
        <v>12062.603999999999</v>
      </c>
      <c r="J128" s="24">
        <f t="shared" si="45"/>
        <v>9052.1780000000017</v>
      </c>
      <c r="K128" s="24">
        <f t="shared" si="45"/>
        <v>7712.6500000000005</v>
      </c>
      <c r="L128" s="24">
        <f t="shared" si="45"/>
        <v>7616.6890000000003</v>
      </c>
      <c r="M128" s="24">
        <f t="shared" si="45"/>
        <v>0</v>
      </c>
      <c r="N128" s="24">
        <f t="shared" si="45"/>
        <v>0</v>
      </c>
      <c r="O128" s="24">
        <f t="shared" si="45"/>
        <v>0</v>
      </c>
      <c r="P128" s="24">
        <f t="shared" si="45"/>
        <v>0</v>
      </c>
      <c r="Q128" s="24">
        <f t="shared" si="45"/>
        <v>0</v>
      </c>
      <c r="R128" s="24">
        <f t="shared" si="45"/>
        <v>0</v>
      </c>
    </row>
    <row r="129" spans="2:18" ht="28.5" x14ac:dyDescent="0.45">
      <c r="B129" s="47" t="s">
        <v>350</v>
      </c>
      <c r="C129" s="25">
        <f t="shared" ref="C129:R129" si="46">C60</f>
        <v>988.91700000000003</v>
      </c>
      <c r="D129" s="25">
        <f t="shared" si="46"/>
        <v>935.12900000000002</v>
      </c>
      <c r="E129" s="25">
        <f t="shared" si="46"/>
        <v>861.096</v>
      </c>
      <c r="F129" s="25">
        <f t="shared" si="46"/>
        <v>841.31100000000004</v>
      </c>
      <c r="G129" s="25">
        <f t="shared" si="46"/>
        <v>5687.9960000000001</v>
      </c>
      <c r="H129" s="25">
        <f t="shared" si="46"/>
        <v>4562.2120000000004</v>
      </c>
      <c r="I129" s="25">
        <f t="shared" si="46"/>
        <v>4266.0379999999996</v>
      </c>
      <c r="J129" s="25">
        <f t="shared" si="46"/>
        <v>2757.8719999999998</v>
      </c>
      <c r="K129" s="25">
        <f t="shared" si="46"/>
        <v>853.83100000000002</v>
      </c>
      <c r="L129" s="25">
        <f t="shared" si="46"/>
        <v>231.43</v>
      </c>
      <c r="M129" s="25">
        <f t="shared" si="46"/>
        <v>0</v>
      </c>
      <c r="N129" s="27">
        <f t="shared" si="46"/>
        <v>0</v>
      </c>
      <c r="O129" s="27">
        <f t="shared" si="46"/>
        <v>0</v>
      </c>
      <c r="P129" s="27">
        <f t="shared" si="46"/>
        <v>0</v>
      </c>
      <c r="Q129" s="27">
        <f t="shared" si="46"/>
        <v>0</v>
      </c>
      <c r="R129" s="24">
        <f t="shared" si="46"/>
        <v>0</v>
      </c>
    </row>
    <row r="130" spans="2:18" x14ac:dyDescent="0.45">
      <c r="B130" s="60" t="s">
        <v>351</v>
      </c>
      <c r="C130" s="36">
        <f t="shared" ref="C130:R130" si="47">SUM(C126:C127)-SUM(C128:C129)</f>
        <v>9553.8469999999998</v>
      </c>
      <c r="D130" s="36">
        <f t="shared" si="47"/>
        <v>10828.643</v>
      </c>
      <c r="E130" s="36">
        <f t="shared" si="47"/>
        <v>14829.999</v>
      </c>
      <c r="F130" s="36">
        <f t="shared" si="47"/>
        <v>16744.490000000002</v>
      </c>
      <c r="G130" s="36">
        <f t="shared" si="47"/>
        <v>66015.934000000008</v>
      </c>
      <c r="H130" s="36">
        <f t="shared" si="47"/>
        <v>60691.520000000004</v>
      </c>
      <c r="I130" s="36">
        <f t="shared" si="47"/>
        <v>58233.719000000005</v>
      </c>
      <c r="J130" s="36">
        <f t="shared" si="47"/>
        <v>62372.591</v>
      </c>
      <c r="K130" s="36">
        <f t="shared" si="47"/>
        <v>64433.069000000003</v>
      </c>
      <c r="L130" s="36">
        <f t="shared" si="47"/>
        <v>65651.709999999992</v>
      </c>
      <c r="M130" s="36">
        <f t="shared" si="47"/>
        <v>0</v>
      </c>
      <c r="N130" s="36">
        <f t="shared" si="47"/>
        <v>0</v>
      </c>
      <c r="O130" s="36">
        <f t="shared" si="47"/>
        <v>0</v>
      </c>
      <c r="P130" s="36">
        <f t="shared" si="47"/>
        <v>0</v>
      </c>
      <c r="Q130" s="36">
        <f t="shared" si="47"/>
        <v>0</v>
      </c>
      <c r="R130" s="24">
        <f t="shared" si="47"/>
        <v>0</v>
      </c>
    </row>
    <row r="131" spans="2:18" x14ac:dyDescent="0.45">
      <c r="B131" s="62" t="s">
        <v>352</v>
      </c>
      <c r="C131" s="32"/>
      <c r="D131" s="32"/>
      <c r="E131" s="32"/>
      <c r="F131" s="32"/>
      <c r="G131" s="32"/>
      <c r="H131" s="32"/>
      <c r="I131" s="32"/>
      <c r="J131" s="32"/>
      <c r="K131" s="32"/>
      <c r="L131" s="32"/>
      <c r="M131" s="32"/>
      <c r="N131" s="32"/>
      <c r="O131" s="32"/>
      <c r="P131" s="32"/>
      <c r="Q131" s="32"/>
    </row>
    <row r="132" spans="2:18" x14ac:dyDescent="0.45">
      <c r="B132" s="47" t="s">
        <v>353</v>
      </c>
      <c r="C132" s="216">
        <f t="shared" ref="C132:R132" si="48">MAX(0,C46-C118)</f>
        <v>4293.3140000000003</v>
      </c>
      <c r="D132" s="216">
        <f t="shared" si="48"/>
        <v>4545.4650000000001</v>
      </c>
      <c r="E132" s="216">
        <f t="shared" si="48"/>
        <v>2742.8969999999999</v>
      </c>
      <c r="F132" s="216">
        <f t="shared" si="48"/>
        <v>1786.7030499999998</v>
      </c>
      <c r="G132" s="216">
        <f t="shared" si="48"/>
        <v>3498.3318499999996</v>
      </c>
      <c r="H132" s="216">
        <f t="shared" si="48"/>
        <v>3578.4732499999996</v>
      </c>
      <c r="I132" s="216">
        <f t="shared" si="48"/>
        <v>4196.8838500000002</v>
      </c>
      <c r="J132" s="216">
        <f t="shared" si="48"/>
        <v>3430.3994000000002</v>
      </c>
      <c r="K132" s="216">
        <f t="shared" si="48"/>
        <v>475.97225000000003</v>
      </c>
      <c r="L132" s="216">
        <f t="shared" si="48"/>
        <v>1637.2129499999999</v>
      </c>
      <c r="M132" s="216">
        <f t="shared" si="48"/>
        <v>0</v>
      </c>
      <c r="N132" s="216">
        <f t="shared" si="48"/>
        <v>0</v>
      </c>
      <c r="O132" s="216">
        <f t="shared" si="48"/>
        <v>0</v>
      </c>
      <c r="P132" s="216">
        <f t="shared" si="48"/>
        <v>0</v>
      </c>
      <c r="Q132" s="216">
        <f t="shared" si="48"/>
        <v>0</v>
      </c>
      <c r="R132" s="24">
        <f t="shared" si="48"/>
        <v>0</v>
      </c>
    </row>
    <row r="133" spans="2:18" x14ac:dyDescent="0.45">
      <c r="B133" s="47" t="s">
        <v>354</v>
      </c>
      <c r="C133" s="24">
        <f>C39</f>
        <v>2662.136</v>
      </c>
      <c r="D133" s="24">
        <f t="shared" ref="D133:R133" si="49">D39</f>
        <v>2803.9470000000001</v>
      </c>
      <c r="E133" s="24">
        <f t="shared" si="49"/>
        <v>2313.518</v>
      </c>
      <c r="F133" s="24">
        <f t="shared" si="49"/>
        <v>2251.703</v>
      </c>
      <c r="G133" s="24">
        <f t="shared" si="49"/>
        <v>3234.9760000000001</v>
      </c>
      <c r="H133" s="24">
        <f t="shared" si="49"/>
        <v>826.40300000000002</v>
      </c>
      <c r="I133" s="24">
        <f t="shared" si="49"/>
        <v>798.11199999999997</v>
      </c>
      <c r="J133" s="24">
        <f t="shared" si="49"/>
        <v>669.99599999999998</v>
      </c>
      <c r="K133" s="24">
        <f t="shared" si="49"/>
        <v>663.06100000000004</v>
      </c>
      <c r="L133" s="24">
        <f t="shared" si="49"/>
        <v>77.968999999999994</v>
      </c>
      <c r="M133" s="24">
        <f t="shared" si="49"/>
        <v>0</v>
      </c>
      <c r="N133" s="24">
        <f t="shared" si="49"/>
        <v>0</v>
      </c>
      <c r="O133" s="24">
        <f t="shared" si="49"/>
        <v>0</v>
      </c>
      <c r="P133" s="24">
        <f t="shared" si="49"/>
        <v>0</v>
      </c>
      <c r="Q133" s="24">
        <f t="shared" si="49"/>
        <v>0</v>
      </c>
      <c r="R133" s="24">
        <f t="shared" si="49"/>
        <v>0</v>
      </c>
    </row>
    <row r="134" spans="2:18" ht="14.65" thickBot="1" x14ac:dyDescent="0.5">
      <c r="B134" s="60" t="s">
        <v>355</v>
      </c>
      <c r="C134" s="64">
        <f t="shared" ref="C134:R134" si="50">SUM(C132:C133)</f>
        <v>6955.4500000000007</v>
      </c>
      <c r="D134" s="64">
        <f t="shared" si="50"/>
        <v>7349.4120000000003</v>
      </c>
      <c r="E134" s="64">
        <f t="shared" si="50"/>
        <v>5056.415</v>
      </c>
      <c r="F134" s="64">
        <f t="shared" si="50"/>
        <v>4038.4060499999996</v>
      </c>
      <c r="G134" s="64">
        <f t="shared" si="50"/>
        <v>6733.3078499999992</v>
      </c>
      <c r="H134" s="64">
        <f t="shared" si="50"/>
        <v>4404.8762499999993</v>
      </c>
      <c r="I134" s="64">
        <f t="shared" si="50"/>
        <v>4994.9958500000002</v>
      </c>
      <c r="J134" s="64">
        <f t="shared" si="50"/>
        <v>4100.3954000000003</v>
      </c>
      <c r="K134" s="64">
        <f t="shared" si="50"/>
        <v>1139.03325</v>
      </c>
      <c r="L134" s="64">
        <f t="shared" si="50"/>
        <v>1715.1819499999999</v>
      </c>
      <c r="M134" s="64">
        <f t="shared" si="50"/>
        <v>0</v>
      </c>
      <c r="N134" s="64">
        <f t="shared" si="50"/>
        <v>0</v>
      </c>
      <c r="O134" s="64">
        <f t="shared" si="50"/>
        <v>0</v>
      </c>
      <c r="P134" s="64">
        <f t="shared" si="50"/>
        <v>0</v>
      </c>
      <c r="Q134" s="64">
        <f t="shared" si="50"/>
        <v>0</v>
      </c>
      <c r="R134" s="24">
        <f t="shared" si="50"/>
        <v>0</v>
      </c>
    </row>
    <row r="135" spans="2:18" ht="14.65" thickTop="1" x14ac:dyDescent="0.45">
      <c r="B135" s="42" t="s">
        <v>356</v>
      </c>
      <c r="C135" s="32">
        <f t="shared" ref="C135:R135" si="51">SUM(C124,C130,C134)</f>
        <v>22772.562000000002</v>
      </c>
      <c r="D135" s="32">
        <f t="shared" si="51"/>
        <v>25211.776999999998</v>
      </c>
      <c r="E135" s="32">
        <f t="shared" si="51"/>
        <v>24851.739000000001</v>
      </c>
      <c r="F135" s="32">
        <f t="shared" si="51"/>
        <v>38272.495000000003</v>
      </c>
      <c r="G135" s="32">
        <f t="shared" si="51"/>
        <v>87457.41</v>
      </c>
      <c r="H135" s="32">
        <f t="shared" si="51"/>
        <v>79653.945000000007</v>
      </c>
      <c r="I135" s="32">
        <f t="shared" si="51"/>
        <v>75273.335000000006</v>
      </c>
      <c r="J135" s="32">
        <f t="shared" si="51"/>
        <v>78757.881999999998</v>
      </c>
      <c r="K135" s="32">
        <f t="shared" si="51"/>
        <v>77580.273000000001</v>
      </c>
      <c r="L135" s="32">
        <f t="shared" si="51"/>
        <v>79823.795999999988</v>
      </c>
      <c r="M135" s="32">
        <f t="shared" si="51"/>
        <v>0</v>
      </c>
      <c r="N135" s="32">
        <f t="shared" si="51"/>
        <v>0</v>
      </c>
      <c r="O135" s="32">
        <f t="shared" si="51"/>
        <v>0</v>
      </c>
      <c r="P135" s="32">
        <f t="shared" si="51"/>
        <v>0</v>
      </c>
      <c r="Q135" s="32">
        <f t="shared" si="51"/>
        <v>0</v>
      </c>
      <c r="R135" s="24">
        <f t="shared" si="51"/>
        <v>0</v>
      </c>
    </row>
    <row r="136" spans="2:18" x14ac:dyDescent="0.45">
      <c r="B136" s="42"/>
      <c r="C136" s="71"/>
      <c r="D136" s="71"/>
      <c r="E136" s="71"/>
      <c r="F136" s="71"/>
      <c r="G136" s="71"/>
      <c r="H136" s="71"/>
      <c r="I136" s="71"/>
      <c r="J136" s="71"/>
      <c r="K136" s="71"/>
      <c r="L136" s="71"/>
      <c r="M136" s="32"/>
      <c r="N136" s="32"/>
      <c r="O136" s="32"/>
      <c r="P136" s="32"/>
      <c r="Q136" s="32"/>
    </row>
    <row r="137" spans="2:18" x14ac:dyDescent="0.45">
      <c r="B137" s="42" t="s">
        <v>357</v>
      </c>
      <c r="C137" s="71"/>
      <c r="D137" s="71"/>
      <c r="E137" s="71"/>
      <c r="F137" s="71"/>
      <c r="G137" s="71"/>
      <c r="H137" s="71"/>
      <c r="I137" s="71"/>
      <c r="J137" s="71"/>
      <c r="K137" s="71"/>
      <c r="L137" s="71"/>
    </row>
    <row r="138" spans="2:18" x14ac:dyDescent="0.45">
      <c r="B138" s="47" t="s">
        <v>358</v>
      </c>
      <c r="C138" s="24">
        <f t="shared" ref="C138:R138" si="52">C65</f>
        <v>765.33900000000006</v>
      </c>
      <c r="D138" s="24">
        <f t="shared" si="52"/>
        <v>1917.1780000000001</v>
      </c>
      <c r="E138" s="24">
        <f t="shared" si="52"/>
        <v>1035.1310000000001</v>
      </c>
      <c r="F138" s="24">
        <f t="shared" si="52"/>
        <v>961.19</v>
      </c>
      <c r="G138" s="24">
        <f t="shared" si="52"/>
        <v>5015.6589999999997</v>
      </c>
      <c r="H138" s="24">
        <f t="shared" si="52"/>
        <v>2253.3110000000001</v>
      </c>
      <c r="I138" s="24">
        <f t="shared" si="52"/>
        <v>938.85299999999995</v>
      </c>
      <c r="J138" s="24">
        <f t="shared" si="52"/>
        <v>2639.6469999999999</v>
      </c>
      <c r="K138" s="24">
        <f t="shared" si="52"/>
        <v>2376.5500000000002</v>
      </c>
      <c r="L138" s="24">
        <f t="shared" si="52"/>
        <v>832.25800000000004</v>
      </c>
      <c r="M138" s="24">
        <f t="shared" si="52"/>
        <v>0</v>
      </c>
      <c r="N138" s="24">
        <f t="shared" si="52"/>
        <v>0</v>
      </c>
      <c r="O138" s="24">
        <f t="shared" si="52"/>
        <v>0</v>
      </c>
      <c r="P138" s="24">
        <f t="shared" si="52"/>
        <v>0</v>
      </c>
      <c r="Q138" s="24">
        <f t="shared" si="52"/>
        <v>0</v>
      </c>
      <c r="R138" s="24">
        <f t="shared" si="52"/>
        <v>0</v>
      </c>
    </row>
    <row r="139" spans="2:18" x14ac:dyDescent="0.45">
      <c r="B139" s="47" t="s">
        <v>359</v>
      </c>
      <c r="C139" s="24">
        <f t="shared" ref="C139:R139" si="53">C58</f>
        <v>5457.2530000000006</v>
      </c>
      <c r="D139" s="24">
        <f t="shared" si="53"/>
        <v>6675.5819999999994</v>
      </c>
      <c r="E139" s="24">
        <f t="shared" si="53"/>
        <v>8037.6379999999999</v>
      </c>
      <c r="F139" s="24">
        <f t="shared" si="53"/>
        <v>21051.11</v>
      </c>
      <c r="G139" s="24">
        <f t="shared" si="53"/>
        <v>42459.060999999994</v>
      </c>
      <c r="H139" s="24">
        <f t="shared" si="53"/>
        <v>40651.841999999997</v>
      </c>
      <c r="I139" s="24">
        <f t="shared" si="53"/>
        <v>33615.762999999999</v>
      </c>
      <c r="J139" s="24">
        <f t="shared" si="53"/>
        <v>32293.120000000003</v>
      </c>
      <c r="K139" s="24">
        <f t="shared" si="53"/>
        <v>31929.392</v>
      </c>
      <c r="L139" s="24">
        <f t="shared" si="53"/>
        <v>33410.845000000001</v>
      </c>
      <c r="M139" s="24">
        <f t="shared" si="53"/>
        <v>0</v>
      </c>
      <c r="N139" s="24">
        <f t="shared" si="53"/>
        <v>0</v>
      </c>
      <c r="O139" s="24">
        <f t="shared" si="53"/>
        <v>0</v>
      </c>
      <c r="P139" s="24">
        <f t="shared" si="53"/>
        <v>0</v>
      </c>
      <c r="Q139" s="24">
        <f t="shared" si="53"/>
        <v>0</v>
      </c>
      <c r="R139" s="24">
        <f t="shared" si="53"/>
        <v>0</v>
      </c>
    </row>
    <row r="140" spans="2:18" x14ac:dyDescent="0.45">
      <c r="B140" s="60" t="s">
        <v>360</v>
      </c>
      <c r="C140" s="32">
        <f t="shared" ref="C140:R140" si="54">SUM(C138:C139)</f>
        <v>6222.5920000000006</v>
      </c>
      <c r="D140" s="32">
        <f t="shared" si="54"/>
        <v>8592.76</v>
      </c>
      <c r="E140" s="32">
        <f t="shared" si="54"/>
        <v>9072.7690000000002</v>
      </c>
      <c r="F140" s="32">
        <f t="shared" si="54"/>
        <v>22012.3</v>
      </c>
      <c r="G140" s="32">
        <f t="shared" si="54"/>
        <v>47474.719999999994</v>
      </c>
      <c r="H140" s="32">
        <f t="shared" si="54"/>
        <v>42905.152999999998</v>
      </c>
      <c r="I140" s="32">
        <f t="shared" si="54"/>
        <v>34554.616000000002</v>
      </c>
      <c r="J140" s="32">
        <f t="shared" si="54"/>
        <v>34932.767</v>
      </c>
      <c r="K140" s="32">
        <f t="shared" si="54"/>
        <v>34305.942000000003</v>
      </c>
      <c r="L140" s="32">
        <f t="shared" si="54"/>
        <v>34243.103000000003</v>
      </c>
      <c r="M140" s="32">
        <f t="shared" si="54"/>
        <v>0</v>
      </c>
      <c r="N140" s="32">
        <f t="shared" si="54"/>
        <v>0</v>
      </c>
      <c r="O140" s="32">
        <f t="shared" si="54"/>
        <v>0</v>
      </c>
      <c r="P140" s="32">
        <f t="shared" si="54"/>
        <v>0</v>
      </c>
      <c r="Q140" s="32">
        <f t="shared" si="54"/>
        <v>0</v>
      </c>
      <c r="R140" s="24">
        <f t="shared" si="54"/>
        <v>0</v>
      </c>
    </row>
    <row r="141" spans="2:18" x14ac:dyDescent="0.45">
      <c r="B141" s="62" t="s">
        <v>361</v>
      </c>
    </row>
    <row r="142" spans="2:18" x14ac:dyDescent="0.45">
      <c r="B142" s="47" t="s">
        <v>362</v>
      </c>
      <c r="C142" s="24">
        <f t="shared" ref="C142:R142" si="55">C53</f>
        <v>486.07400000000001</v>
      </c>
      <c r="D142" s="24">
        <f t="shared" si="55"/>
        <v>510.72899999999998</v>
      </c>
      <c r="E142" s="24">
        <f t="shared" si="55"/>
        <v>149.34</v>
      </c>
      <c r="F142" s="24">
        <f t="shared" si="55"/>
        <v>31.015000000000001</v>
      </c>
      <c r="G142" s="24">
        <f t="shared" si="55"/>
        <v>34.003</v>
      </c>
      <c r="H142" s="24">
        <f t="shared" si="55"/>
        <v>32.277999999999999</v>
      </c>
      <c r="I142" s="24">
        <f t="shared" si="55"/>
        <v>3.7650000000000001</v>
      </c>
      <c r="J142" s="24">
        <f t="shared" si="55"/>
        <v>3.69</v>
      </c>
      <c r="K142" s="24">
        <f t="shared" si="55"/>
        <v>4.319</v>
      </c>
      <c r="L142" s="24">
        <f t="shared" si="55"/>
        <v>5.6340000000000003</v>
      </c>
      <c r="M142" s="24">
        <f t="shared" si="55"/>
        <v>0</v>
      </c>
      <c r="N142" s="24">
        <f t="shared" si="55"/>
        <v>0</v>
      </c>
      <c r="O142" s="24">
        <f t="shared" si="55"/>
        <v>0</v>
      </c>
      <c r="P142" s="24">
        <f t="shared" si="55"/>
        <v>0</v>
      </c>
      <c r="Q142" s="24">
        <f t="shared" si="55"/>
        <v>0</v>
      </c>
      <c r="R142" s="24">
        <f t="shared" si="55"/>
        <v>0</v>
      </c>
    </row>
    <row r="143" spans="2:18" x14ac:dyDescent="0.45">
      <c r="B143" s="59" t="s">
        <v>363</v>
      </c>
      <c r="C143" s="24">
        <f t="shared" ref="C143:R143" si="56">C55</f>
        <v>16063.895</v>
      </c>
      <c r="D143" s="24">
        <f t="shared" si="56"/>
        <v>16108.288</v>
      </c>
      <c r="E143" s="24">
        <f t="shared" si="56"/>
        <v>15629.631000000001</v>
      </c>
      <c r="F143" s="24">
        <f t="shared" si="56"/>
        <v>16229.185000000001</v>
      </c>
      <c r="G143" s="24">
        <f t="shared" si="56"/>
        <v>39948.686000000002</v>
      </c>
      <c r="H143" s="24">
        <f t="shared" si="56"/>
        <v>36716.51200000001</v>
      </c>
      <c r="I143" s="24">
        <f t="shared" si="56"/>
        <v>40714.955000000002</v>
      </c>
      <c r="J143" s="24">
        <f t="shared" si="56"/>
        <v>43821.423999999999</v>
      </c>
      <c r="K143" s="24">
        <f t="shared" si="56"/>
        <v>43270.013999999996</v>
      </c>
      <c r="L143" s="24">
        <f t="shared" si="56"/>
        <v>45575.059000000001</v>
      </c>
      <c r="M143" s="24">
        <f t="shared" si="56"/>
        <v>0</v>
      </c>
      <c r="N143" s="24">
        <f t="shared" si="56"/>
        <v>0</v>
      </c>
      <c r="O143" s="24">
        <f t="shared" si="56"/>
        <v>0</v>
      </c>
      <c r="P143" s="24">
        <f t="shared" si="56"/>
        <v>0</v>
      </c>
      <c r="Q143" s="24">
        <f t="shared" si="56"/>
        <v>0</v>
      </c>
      <c r="R143" s="24">
        <f t="shared" si="56"/>
        <v>0</v>
      </c>
    </row>
    <row r="144" spans="2:18" ht="14.65" thickBot="1" x14ac:dyDescent="0.5">
      <c r="B144" s="66" t="s">
        <v>364</v>
      </c>
      <c r="C144" s="64">
        <f t="shared" ref="C144:R144" si="57">SUM(C142:C143)</f>
        <v>16549.969000000001</v>
      </c>
      <c r="D144" s="64">
        <f t="shared" si="57"/>
        <v>16619.017</v>
      </c>
      <c r="E144" s="64">
        <f t="shared" si="57"/>
        <v>15778.971000000001</v>
      </c>
      <c r="F144" s="64">
        <f t="shared" si="57"/>
        <v>16260.2</v>
      </c>
      <c r="G144" s="64">
        <f t="shared" si="57"/>
        <v>39982.688999999998</v>
      </c>
      <c r="H144" s="64">
        <f t="shared" si="57"/>
        <v>36748.790000000008</v>
      </c>
      <c r="I144" s="64">
        <f t="shared" si="57"/>
        <v>40718.720000000001</v>
      </c>
      <c r="J144" s="64">
        <f t="shared" si="57"/>
        <v>43825.114000000001</v>
      </c>
      <c r="K144" s="64">
        <f t="shared" si="57"/>
        <v>43274.332999999999</v>
      </c>
      <c r="L144" s="64">
        <f t="shared" si="57"/>
        <v>45580.692999999999</v>
      </c>
      <c r="M144" s="64">
        <f t="shared" si="57"/>
        <v>0</v>
      </c>
      <c r="N144" s="64">
        <f t="shared" si="57"/>
        <v>0</v>
      </c>
      <c r="O144" s="64">
        <f t="shared" si="57"/>
        <v>0</v>
      </c>
      <c r="P144" s="64">
        <f t="shared" si="57"/>
        <v>0</v>
      </c>
      <c r="Q144" s="64">
        <f t="shared" si="57"/>
        <v>0</v>
      </c>
      <c r="R144" s="24">
        <f t="shared" si="57"/>
        <v>0</v>
      </c>
    </row>
    <row r="145" spans="1:18" ht="15" thickTop="1" thickBot="1" x14ac:dyDescent="0.5">
      <c r="B145" s="52" t="s">
        <v>365</v>
      </c>
      <c r="C145" s="44">
        <f t="shared" ref="C145:R145" si="58">SUM(C140,C144)</f>
        <v>22772.561000000002</v>
      </c>
      <c r="D145" s="44">
        <f t="shared" si="58"/>
        <v>25211.777000000002</v>
      </c>
      <c r="E145" s="44">
        <f t="shared" si="58"/>
        <v>24851.74</v>
      </c>
      <c r="F145" s="44">
        <f t="shared" si="58"/>
        <v>38272.5</v>
      </c>
      <c r="G145" s="44">
        <f t="shared" si="58"/>
        <v>87457.408999999985</v>
      </c>
      <c r="H145" s="44">
        <f t="shared" si="58"/>
        <v>79653.942999999999</v>
      </c>
      <c r="I145" s="44">
        <f t="shared" si="58"/>
        <v>75273.33600000001</v>
      </c>
      <c r="J145" s="44">
        <f t="shared" si="58"/>
        <v>78757.880999999994</v>
      </c>
      <c r="K145" s="44">
        <f t="shared" si="58"/>
        <v>77580.274999999994</v>
      </c>
      <c r="L145" s="44">
        <f t="shared" si="58"/>
        <v>79823.796000000002</v>
      </c>
      <c r="M145" s="44">
        <f t="shared" si="58"/>
        <v>0</v>
      </c>
      <c r="N145" s="44">
        <f t="shared" si="58"/>
        <v>0</v>
      </c>
      <c r="O145" s="44">
        <f t="shared" si="58"/>
        <v>0</v>
      </c>
      <c r="P145" s="44">
        <f t="shared" si="58"/>
        <v>0</v>
      </c>
      <c r="Q145" s="44">
        <f t="shared" si="58"/>
        <v>0</v>
      </c>
      <c r="R145" s="24">
        <f t="shared" si="58"/>
        <v>0</v>
      </c>
    </row>
    <row r="146" spans="1:18" ht="14.65" thickTop="1" x14ac:dyDescent="0.45">
      <c r="A146" s="24" t="s">
        <v>14</v>
      </c>
      <c r="B146" s="34"/>
    </row>
    <row r="147" spans="1:18" x14ac:dyDescent="0.45">
      <c r="B147" s="34"/>
    </row>
  </sheetData>
  <dataValidations count="1">
    <dataValidation type="list" allowBlank="1" showInputMessage="1" showErrorMessage="1" sqref="B27" xr:uid="{B18176B7-D16E-4B6E-8D36-574A78C53AD1}">
      <formula1>B$237:B$254</formula1>
    </dataValidation>
  </dataValidation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D1FAB-207C-4CE0-9ACF-695AB48AB4A4}">
  <sheetPr>
    <tabColor theme="3" tint="-0.249977111117893"/>
  </sheetPr>
  <dimension ref="A1"/>
  <sheetViews>
    <sheetView workbookViewId="0"/>
  </sheetViews>
  <sheetFormatPr defaultColWidth="8.6640625" defaultRowHeight="12.75" x14ac:dyDescent="0.3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A8737-305D-4368-9731-B9491C549181}">
  <dimension ref="B2:R85"/>
  <sheetViews>
    <sheetView showGridLines="0" topLeftCell="B1" zoomScale="75" zoomScaleNormal="100" workbookViewId="0">
      <pane xSplit="1" ySplit="9" topLeftCell="C43" activePane="bottomRight" state="frozen"/>
      <selection pane="topRight" activeCell="C1" sqref="C1"/>
      <selection pane="bottomLeft" activeCell="B10" sqref="B10"/>
      <selection pane="bottomRight" activeCell="E77" sqref="E77"/>
    </sheetView>
  </sheetViews>
  <sheetFormatPr defaultColWidth="9.1328125" defaultRowHeight="14.25" x14ac:dyDescent="0.45"/>
  <cols>
    <col min="1" max="1" width="3.33203125" style="1" customWidth="1"/>
    <col min="2" max="2" width="41.33203125" style="1" customWidth="1"/>
    <col min="3" max="16" width="14" style="1" customWidth="1"/>
    <col min="17" max="16384" width="9.1328125" style="1"/>
  </cols>
  <sheetData>
    <row r="2" spans="2:18" x14ac:dyDescent="0.45">
      <c r="B2" s="4" t="s">
        <v>368</v>
      </c>
    </row>
    <row r="3" spans="2:18" x14ac:dyDescent="0.45">
      <c r="B3" s="7" t="s">
        <v>369</v>
      </c>
      <c r="C3" s="21">
        <v>2015</v>
      </c>
      <c r="D3" s="21">
        <f>C3+1</f>
        <v>2016</v>
      </c>
      <c r="E3" s="21">
        <f t="shared" ref="E3:Q3" si="0">D3+1</f>
        <v>2017</v>
      </c>
      <c r="F3" s="21">
        <f t="shared" si="0"/>
        <v>2018</v>
      </c>
      <c r="G3" s="21">
        <f t="shared" si="0"/>
        <v>2019</v>
      </c>
      <c r="H3" s="21">
        <f t="shared" si="0"/>
        <v>2020</v>
      </c>
      <c r="I3" s="21">
        <f t="shared" si="0"/>
        <v>2021</v>
      </c>
      <c r="J3" s="21">
        <f t="shared" si="0"/>
        <v>2022</v>
      </c>
      <c r="K3" s="21">
        <f t="shared" si="0"/>
        <v>2023</v>
      </c>
      <c r="L3" s="22">
        <f t="shared" si="0"/>
        <v>2024</v>
      </c>
      <c r="M3" s="22">
        <f t="shared" si="0"/>
        <v>2025</v>
      </c>
      <c r="N3" s="22">
        <f t="shared" si="0"/>
        <v>2026</v>
      </c>
      <c r="O3" s="22">
        <f t="shared" si="0"/>
        <v>2027</v>
      </c>
      <c r="P3" s="22">
        <f t="shared" si="0"/>
        <v>2028</v>
      </c>
      <c r="Q3" s="22">
        <f t="shared" si="0"/>
        <v>2029</v>
      </c>
    </row>
    <row r="4" spans="2:18" x14ac:dyDescent="0.45">
      <c r="B4" s="6" t="s">
        <v>368</v>
      </c>
      <c r="C4" s="9"/>
      <c r="E4" s="94">
        <f>'BionTech Adjusted'!E17/AVERAGE(SUM('BionTech Adjusted'!D52:D54), SUM('BionTech Adjusted'!E52:E54))</f>
        <v>10.514925373134339</v>
      </c>
      <c r="F4" s="94">
        <f>'BionTech Adjusted'!F17/AVERAGE(SUM('BionTech Adjusted'!E52:E54), SUM('BionTech Adjusted'!F52:F54))</f>
        <v>-0.44117297549292944</v>
      </c>
      <c r="G4" s="94">
        <f>'BionTech Adjusted'!G17/AVERAGE(SUM('BionTech Adjusted'!F52:F54), SUM('BionTech Adjusted'!G52:G54))</f>
        <v>-0.47127385955407824</v>
      </c>
      <c r="H4" s="94">
        <f>'BionTech Adjusted'!H17/AVERAGE(SUM('BionTech Adjusted'!G52:G54), SUM('BionTech Adjusted'!H52:H54))</f>
        <v>1.6297716389712787E-2</v>
      </c>
      <c r="I4" s="94">
        <f>'BionTech Adjusted'!I17/AVERAGE(SUM('BionTech Adjusted'!H52:H54), SUM('BionTech Adjusted'!I52:I54))</f>
        <v>1.5517696279823605</v>
      </c>
      <c r="J4" s="94">
        <f>'BionTech Adjusted'!J17/AVERAGE(SUM('BionTech Adjusted'!I52:I54), SUM('BionTech Adjusted'!J52:J54))</f>
        <v>0.59058570923306608</v>
      </c>
      <c r="K4" s="94">
        <f>'BionTech Adjusted'!K17/AVERAGE(SUM('BionTech Adjusted'!J52:J54), SUM('BionTech Adjusted'!K52:K54))</f>
        <v>4.6167016116025458E-2</v>
      </c>
      <c r="L4" s="9"/>
      <c r="M4" s="9"/>
      <c r="N4" s="9"/>
      <c r="O4" s="9"/>
      <c r="P4" s="9"/>
      <c r="R4" s="14"/>
    </row>
    <row r="5" spans="2:18" x14ac:dyDescent="0.45">
      <c r="B5" s="6"/>
      <c r="C5" s="9"/>
      <c r="D5" s="88"/>
      <c r="E5" s="88"/>
      <c r="F5" s="88"/>
      <c r="G5" s="88"/>
      <c r="H5" s="88"/>
      <c r="I5" s="88"/>
      <c r="J5" s="88"/>
      <c r="K5" s="88"/>
      <c r="L5" s="9"/>
      <c r="M5" s="9"/>
      <c r="N5" s="9"/>
      <c r="O5" s="9"/>
      <c r="P5" s="9"/>
      <c r="R5" s="14"/>
    </row>
    <row r="6" spans="2:18" x14ac:dyDescent="0.45">
      <c r="B6" s="4" t="s">
        <v>15</v>
      </c>
      <c r="D6" s="89"/>
      <c r="E6" s="89"/>
      <c r="F6" s="89"/>
      <c r="G6" s="89"/>
      <c r="H6" s="89"/>
      <c r="I6" s="89"/>
      <c r="J6" s="89"/>
      <c r="K6" s="89"/>
    </row>
    <row r="7" spans="2:18" x14ac:dyDescent="0.45">
      <c r="B7" s="7" t="s">
        <v>369</v>
      </c>
      <c r="C7" s="8"/>
      <c r="D7" s="90"/>
      <c r="E7" s="90"/>
      <c r="F7" s="90"/>
      <c r="G7" s="90"/>
      <c r="H7" s="90"/>
      <c r="I7" s="90"/>
      <c r="J7" s="90"/>
      <c r="K7" s="90"/>
      <c r="L7" s="8"/>
      <c r="M7" s="8"/>
      <c r="N7" s="8"/>
      <c r="O7" s="8"/>
      <c r="P7" s="8"/>
    </row>
    <row r="8" spans="2:18" x14ac:dyDescent="0.45">
      <c r="B8" s="6" t="s">
        <v>16</v>
      </c>
      <c r="C8" s="9"/>
      <c r="D8" s="88"/>
      <c r="E8" s="93">
        <f>'BionTech Adjusted'!E17/'BionTech Adjusted'!E8</f>
        <v>-1.3953212766648264</v>
      </c>
      <c r="F8" s="93">
        <f>'BionTech Adjusted'!F17/'BionTech Adjusted'!F8</f>
        <v>-0.37831079757005681</v>
      </c>
      <c r="G8" s="93">
        <f>'BionTech Adjusted'!G17/'BionTech Adjusted'!G8</f>
        <v>-1.6500920810313076</v>
      </c>
      <c r="H8" s="93">
        <f>'BionTech Adjusted'!H17/'BionTech Adjusted'!H8</f>
        <v>3.1515654157163744E-2</v>
      </c>
      <c r="I8" s="93">
        <f>'BionTech Adjusted'!I17/'BionTech Adjusted'!I8</f>
        <v>0.54237565013938149</v>
      </c>
      <c r="J8" s="93">
        <f>'BionTech Adjusted'!J17/'BionTech Adjusted'!J8</f>
        <v>0.54500710547294717</v>
      </c>
      <c r="K8" s="93">
        <f>'BionTech Adjusted'!K17/'BionTech Adjusted'!K8</f>
        <v>0.24359780047132756</v>
      </c>
      <c r="L8" s="9"/>
      <c r="M8" s="9"/>
      <c r="N8" s="9"/>
      <c r="O8" s="9"/>
      <c r="P8" s="9"/>
    </row>
    <row r="9" spans="2:18" x14ac:dyDescent="0.45">
      <c r="B9" s="6" t="s">
        <v>17</v>
      </c>
      <c r="C9" s="10"/>
      <c r="D9" s="91"/>
      <c r="E9" s="91">
        <f>'BionTech Adjusted'!E8/AVERAGE('BionTech Adjusted'!D49:E49)</f>
        <v>0.16110959993304319</v>
      </c>
      <c r="F9" s="91">
        <f>'BionTech Adjusted'!F8/AVERAGE('BionTech Adjusted'!E49:F49)</f>
        <v>0.24827308385042701</v>
      </c>
      <c r="G9" s="91">
        <f>'BionTech Adjusted'!G8/AVERAGE('BionTech Adjusted'!F49:G49)</f>
        <v>0.14972773954542606</v>
      </c>
      <c r="H9" s="91">
        <f>'BionTech Adjusted'!H8/AVERAGE('BionTech Adjusted'!G49:H49)</f>
        <v>0.30953900637529697</v>
      </c>
      <c r="I9" s="91">
        <f>'BionTech Adjusted'!I8/AVERAGE('BionTech Adjusted'!H49:I49)</f>
        <v>2.0911655481723912</v>
      </c>
      <c r="J9" s="91">
        <f>'BionTech Adjusted'!J8/AVERAGE('BionTech Adjusted'!I49:J49)</f>
        <v>0.88522854827038666</v>
      </c>
      <c r="K9" s="91">
        <f>'BionTech Adjusted'!K8/AVERAGE('BionTech Adjusted'!J49:K49)</f>
        <v>0.16501963902224026</v>
      </c>
      <c r="L9" s="10"/>
      <c r="M9" s="10"/>
      <c r="N9" s="10"/>
      <c r="O9" s="10"/>
      <c r="P9" s="10"/>
    </row>
    <row r="10" spans="2:18" x14ac:dyDescent="0.45">
      <c r="B10" s="6" t="s">
        <v>18</v>
      </c>
      <c r="C10" s="9"/>
      <c r="D10" s="88"/>
      <c r="E10" s="88">
        <f>E8*E9</f>
        <v>-0.22479965266153326</v>
      </c>
      <c r="F10" s="88">
        <f t="shared" ref="F10:K10" si="1">F8*F9</f>
        <v>-9.3924388366632638E-2</v>
      </c>
      <c r="G10" s="88">
        <f t="shared" si="1"/>
        <v>-0.24706455733462571</v>
      </c>
      <c r="H10" s="88">
        <f t="shared" si="1"/>
        <v>9.7553242730759621E-3</v>
      </c>
      <c r="I10" s="88">
        <f t="shared" si="1"/>
        <v>1.1341972737390769</v>
      </c>
      <c r="J10" s="88">
        <f t="shared" si="1"/>
        <v>0.48245584877486253</v>
      </c>
      <c r="K10" s="88">
        <f t="shared" si="1"/>
        <v>4.019842110039018E-2</v>
      </c>
      <c r="L10" s="9"/>
      <c r="M10" s="9"/>
      <c r="N10" s="9"/>
      <c r="O10" s="9"/>
      <c r="P10" s="9"/>
    </row>
    <row r="11" spans="2:18" x14ac:dyDescent="0.45">
      <c r="B11" s="6" t="s">
        <v>370</v>
      </c>
      <c r="C11" s="10"/>
      <c r="D11" s="91"/>
      <c r="E11" s="91">
        <f>AVERAGE('BionTech Adjusted'!D49:E49)/AVERAGE(SUM('BionTech Adjusted'!D52:D54),SUM('BionTech Adjusted'!E52:E54))</f>
        <v>-46.774651333496514</v>
      </c>
      <c r="F11" s="91">
        <f>AVERAGE('BionTech Adjusted'!E49:F49)/AVERAGE(SUM('BionTech Adjusted'!E52:E54),SUM('BionTech Adjusted'!F52:F54))</f>
        <v>4.6971077817490432</v>
      </c>
      <c r="G11" s="91">
        <f>AVERAGE('BionTech Adjusted'!F49:G49)/AVERAGE(SUM('BionTech Adjusted'!F52:F54),SUM('BionTech Adjusted'!G52:G54))</f>
        <v>1.9074927809891489</v>
      </c>
      <c r="H11" s="91">
        <f>AVERAGE('BionTech Adjusted'!G49:H49)/AVERAGE(SUM('BionTech Adjusted'!G52:G54),SUM('BionTech Adjusted'!H52:H54))</f>
        <v>1.6706483488912187</v>
      </c>
      <c r="I11" s="91">
        <f>AVERAGE('BionTech Adjusted'!H49:I49)/AVERAGE(SUM('BionTech Adjusted'!H52:H54),SUM('BionTech Adjusted'!I52:I54))</f>
        <v>1.3681655421959218</v>
      </c>
      <c r="J11" s="91">
        <f>AVERAGE('BionTech Adjusted'!I49:J49)/AVERAGE(SUM('BionTech Adjusted'!I52:I54),SUM('BionTech Adjusted'!J52:J54))</f>
        <v>1.2241238462188533</v>
      </c>
      <c r="K11" s="91">
        <f>AVERAGE('BionTech Adjusted'!J49:K49)/AVERAGE(SUM('BionTech Adjusted'!J52:J54),SUM('BionTech Adjusted'!K52:K54))</f>
        <v>1.1484783444784934</v>
      </c>
      <c r="L11" s="10"/>
      <c r="M11" s="10"/>
      <c r="N11" s="10"/>
      <c r="O11" s="10"/>
      <c r="P11" s="10"/>
    </row>
    <row r="12" spans="2:18" x14ac:dyDescent="0.45">
      <c r="B12" s="6" t="s">
        <v>20</v>
      </c>
      <c r="C12" s="9"/>
      <c r="D12" s="88"/>
      <c r="E12" s="93">
        <f>E10*E11</f>
        <v>10.514925373134339</v>
      </c>
      <c r="F12" s="93">
        <f t="shared" ref="F12:K12" si="2">F10*F11</f>
        <v>-0.4411729754929295</v>
      </c>
      <c r="G12" s="93">
        <f t="shared" si="2"/>
        <v>-0.47127385955407819</v>
      </c>
      <c r="H12" s="93">
        <f t="shared" si="2"/>
        <v>1.6297716389712783E-2</v>
      </c>
      <c r="I12" s="93">
        <f t="shared" si="2"/>
        <v>1.5517696279823605</v>
      </c>
      <c r="J12" s="93">
        <f t="shared" si="2"/>
        <v>0.59058570923306619</v>
      </c>
      <c r="K12" s="93">
        <f t="shared" si="2"/>
        <v>4.6167016116025451E-2</v>
      </c>
      <c r="L12" s="9"/>
      <c r="M12" s="9"/>
      <c r="N12" s="9"/>
      <c r="O12" s="9"/>
      <c r="P12" s="9"/>
    </row>
    <row r="13" spans="2:18" x14ac:dyDescent="0.45">
      <c r="D13" s="89"/>
      <c r="E13" s="89"/>
      <c r="F13" s="89"/>
      <c r="G13" s="89"/>
      <c r="H13" s="89"/>
      <c r="I13" s="89"/>
      <c r="J13" s="89"/>
      <c r="K13" s="89"/>
    </row>
    <row r="14" spans="2:18" x14ac:dyDescent="0.45">
      <c r="B14" s="4" t="s">
        <v>371</v>
      </c>
      <c r="D14" s="89"/>
      <c r="E14" s="89"/>
      <c r="F14" s="89"/>
      <c r="G14" s="89"/>
      <c r="H14" s="89"/>
      <c r="I14" s="89"/>
      <c r="J14" s="89"/>
      <c r="K14" s="89"/>
    </row>
    <row r="15" spans="2:18" x14ac:dyDescent="0.45">
      <c r="B15" s="7" t="s">
        <v>369</v>
      </c>
      <c r="C15" s="8"/>
      <c r="D15" s="90"/>
      <c r="E15" s="90"/>
      <c r="F15" s="90"/>
      <c r="G15" s="90"/>
      <c r="H15" s="90"/>
      <c r="I15" s="90"/>
      <c r="J15" s="90"/>
      <c r="K15" s="90"/>
      <c r="L15" s="8"/>
      <c r="M15" s="8"/>
      <c r="N15" s="8"/>
      <c r="O15" s="8"/>
      <c r="P15" s="8"/>
    </row>
    <row r="16" spans="2:18" x14ac:dyDescent="0.45">
      <c r="B16" s="6" t="s">
        <v>22</v>
      </c>
      <c r="C16" s="9"/>
      <c r="D16" s="88"/>
      <c r="E16" s="93">
        <f>'BionTech Adjusted'!E100/'BionTech Adjusted'!E95</f>
        <v>-1.2713877073930968</v>
      </c>
      <c r="F16" s="93">
        <f>'BionTech Adjusted'!F100/'BionTech Adjusted'!F95</f>
        <v>-0.3933545757397609</v>
      </c>
      <c r="G16" s="93">
        <f>'BionTech Adjusted'!G100/'BionTech Adjusted'!G95</f>
        <v>-1.6560865561694289</v>
      </c>
      <c r="H16" s="93">
        <f>'BionTech Adjusted'!H100/'BionTech Adjusted'!H95</f>
        <v>7.2266224341696189E-2</v>
      </c>
      <c r="I16" s="93">
        <f>'BionTech Adjusted'!I100/'BionTech Adjusted'!I95</f>
        <v>0.54625377436540612</v>
      </c>
      <c r="J16" s="93">
        <f>'BionTech Adjusted'!J100/'BionTech Adjusted'!J95</f>
        <v>0.53943052233891364</v>
      </c>
      <c r="K16" s="93">
        <f>'BionTech Adjusted'!K100/'BionTech Adjusted'!K95</f>
        <v>0.2033603037444357</v>
      </c>
      <c r="L16" s="9"/>
      <c r="M16" s="9"/>
      <c r="N16" s="9"/>
      <c r="O16" s="9"/>
      <c r="P16" s="9"/>
    </row>
    <row r="17" spans="2:16" x14ac:dyDescent="0.45">
      <c r="B17" s="6" t="s">
        <v>23</v>
      </c>
      <c r="C17" s="10"/>
      <c r="D17" s="91"/>
      <c r="E17" s="91">
        <f>'BionTech Adjusted'!E95/AVERAGE('BionTech Adjusted'!D123+'BionTech Adjusted'!D129,'BionTech Adjusted'!E123+'BionTech Adjusted'!E129)</f>
        <v>-0.251862915886299</v>
      </c>
      <c r="F17" s="91">
        <f>'BionTech Adjusted'!F95/AVERAGE('BionTech Adjusted'!E123+'BionTech Adjusted'!E129,'BionTech Adjusted'!F123+'BionTech Adjusted'!F129)</f>
        <v>-0.71795306137408332</v>
      </c>
      <c r="G17" s="91">
        <f>'BionTech Adjusted'!G95/AVERAGE('BionTech Adjusted'!F123+'BionTech Adjusted'!F129,'BionTech Adjusted'!G123+'BionTech Adjusted'!G129)</f>
        <v>-2.5810975011957802</v>
      </c>
      <c r="H17" s="91">
        <f>'BionTech Adjusted'!H95/AVERAGE('BionTech Adjusted'!G123+'BionTech Adjusted'!G129,'BionTech Adjusted'!H123+'BionTech Adjusted'!H129)</f>
        <v>2.0104251988853665</v>
      </c>
      <c r="I17" s="91">
        <f>'BionTech Adjusted'!I95/AVERAGE('BionTech Adjusted'!H123+'BionTech Adjusted'!H129,'BionTech Adjusted'!I123+'BionTech Adjusted'!I129)</f>
        <v>3.2012382072985068</v>
      </c>
      <c r="J17" s="91">
        <f>'BionTech Adjusted'!J95/AVERAGE('BionTech Adjusted'!I123+'BionTech Adjusted'!I129,'BionTech Adjusted'!J123+'BionTech Adjusted'!J129)</f>
        <v>1.8605481010518825</v>
      </c>
      <c r="K17" s="91">
        <f>'BionTech Adjusted'!K95/AVERAGE('BionTech Adjusted'!J123+'BionTech Adjusted'!J129,'BionTech Adjusted'!K123+'BionTech Adjusted'!K129)</f>
        <v>0.50939764628675932</v>
      </c>
      <c r="L17" s="10"/>
      <c r="M17" s="10"/>
      <c r="N17" s="10"/>
      <c r="O17" s="10"/>
      <c r="P17" s="10"/>
    </row>
    <row r="18" spans="2:16" x14ac:dyDescent="0.45">
      <c r="B18" s="6" t="s">
        <v>24</v>
      </c>
      <c r="C18" s="9"/>
      <c r="D18" s="88"/>
      <c r="E18" s="93">
        <f t="shared" ref="E18:K18" si="3">E16*E17</f>
        <v>0.32021541520602209</v>
      </c>
      <c r="F18" s="93">
        <f t="shared" si="3"/>
        <v>0.28241012185786507</v>
      </c>
      <c r="G18" s="93">
        <f>G16*G17</f>
        <v>4.2745208718928378</v>
      </c>
      <c r="H18" s="93">
        <f t="shared" si="3"/>
        <v>0.14528583844484907</v>
      </c>
      <c r="I18" s="93">
        <f t="shared" si="3"/>
        <v>1.7486884533795557</v>
      </c>
      <c r="J18" s="93">
        <f t="shared" si="3"/>
        <v>1.0036364339870909</v>
      </c>
      <c r="K18" s="93">
        <f t="shared" si="3"/>
        <v>0.10359126007557599</v>
      </c>
      <c r="L18" s="9"/>
      <c r="M18" s="9"/>
      <c r="N18" s="9"/>
      <c r="O18" s="9"/>
      <c r="P18" s="9"/>
    </row>
    <row r="19" spans="2:16" x14ac:dyDescent="0.45">
      <c r="B19" s="4"/>
      <c r="C19" s="9"/>
      <c r="D19" s="88"/>
      <c r="E19" s="88"/>
      <c r="F19" s="88"/>
      <c r="G19" s="88"/>
      <c r="H19" s="88"/>
      <c r="I19" s="88"/>
      <c r="J19" s="88"/>
      <c r="K19" s="88"/>
      <c r="L19" s="9"/>
      <c r="M19" s="9"/>
      <c r="N19" s="9"/>
      <c r="O19" s="9"/>
      <c r="P19" s="9"/>
    </row>
    <row r="20" spans="2:16" x14ac:dyDescent="0.45">
      <c r="B20" s="4" t="s">
        <v>372</v>
      </c>
      <c r="D20" s="89"/>
      <c r="E20" s="89"/>
      <c r="F20" s="89"/>
      <c r="G20" s="89"/>
      <c r="H20" s="89"/>
      <c r="I20" s="89"/>
      <c r="J20" s="89"/>
      <c r="K20" s="89"/>
    </row>
    <row r="21" spans="2:16" x14ac:dyDescent="0.45">
      <c r="B21" s="7"/>
      <c r="C21" s="8"/>
      <c r="D21" s="90"/>
      <c r="E21" s="90"/>
      <c r="F21" s="90"/>
      <c r="G21" s="90"/>
      <c r="H21" s="90"/>
      <c r="I21" s="90"/>
      <c r="J21" s="90"/>
      <c r="K21" s="90"/>
      <c r="L21" s="8"/>
      <c r="M21" s="8"/>
      <c r="N21" s="8"/>
      <c r="O21" s="8"/>
      <c r="P21" s="8"/>
    </row>
    <row r="22" spans="2:16" x14ac:dyDescent="0.45">
      <c r="B22" s="3" t="s">
        <v>373</v>
      </c>
      <c r="D22" s="89"/>
      <c r="E22" s="89"/>
      <c r="F22" s="89"/>
      <c r="G22" s="89"/>
      <c r="H22" s="89"/>
      <c r="I22" s="89"/>
      <c r="J22" s="89"/>
      <c r="K22" s="89"/>
    </row>
    <row r="23" spans="2:16" x14ac:dyDescent="0.45">
      <c r="B23" s="6" t="s">
        <v>96</v>
      </c>
      <c r="C23" s="9"/>
      <c r="D23" s="88"/>
      <c r="E23" s="97">
        <f>'BionTech Adjusted'!E8/'BionTech Adjusted'!E8</f>
        <v>1</v>
      </c>
      <c r="F23" s="97">
        <f>'BionTech Adjusted'!F8/'BionTech Adjusted'!F8</f>
        <v>1</v>
      </c>
      <c r="G23" s="97">
        <f>'BionTech Adjusted'!G8/'BionTech Adjusted'!G8</f>
        <v>1</v>
      </c>
      <c r="H23" s="97">
        <f>'BionTech Adjusted'!H8/'BionTech Adjusted'!H8</f>
        <v>1</v>
      </c>
      <c r="I23" s="97">
        <f>'BionTech Adjusted'!I8/'BionTech Adjusted'!I8</f>
        <v>1</v>
      </c>
      <c r="J23" s="97">
        <f>'BionTech Adjusted'!J8/'BionTech Adjusted'!J8</f>
        <v>1</v>
      </c>
      <c r="K23" s="97">
        <f>'BionTech Adjusted'!K8/'BionTech Adjusted'!K8</f>
        <v>1</v>
      </c>
      <c r="L23" s="9"/>
      <c r="M23" s="9"/>
      <c r="N23" s="9"/>
      <c r="O23" s="9"/>
      <c r="P23" s="9"/>
    </row>
    <row r="24" spans="2:16" x14ac:dyDescent="0.45">
      <c r="B24" s="6" t="s">
        <v>374</v>
      </c>
      <c r="C24" s="9"/>
      <c r="D24" s="88"/>
      <c r="E24" s="97">
        <f>'BionTech Adjusted'!E9/'BionTech Adjusted'!E8</f>
        <v>-1.9948050261372119</v>
      </c>
      <c r="F24" s="97">
        <f>'BionTech Adjusted'!F9/'BionTech Adjusted'!F8</f>
        <v>-1.4221359984322948</v>
      </c>
      <c r="G24" s="97">
        <f>'BionTech Adjusted'!G9/'BionTech Adjusted'!G8</f>
        <v>-2.6712707182320443</v>
      </c>
      <c r="H24" s="97">
        <f>'BionTech Adjusted'!H9/'BionTech Adjusted'!H8</f>
        <v>-1.1708480199046236</v>
      </c>
      <c r="I24" s="97">
        <f>'BionTech Adjusted'!I9/'BionTech Adjusted'!I8</f>
        <v>-0.19460180115615464</v>
      </c>
      <c r="J24" s="97">
        <f>'BionTech Adjusted'!J9/'BionTech Adjusted'!J8</f>
        <v>-0.26965558675031481</v>
      </c>
      <c r="K24" s="97">
        <f>'BionTech Adjusted'!K9/'BionTech Adjusted'!K8</f>
        <v>-0.81921969101859127</v>
      </c>
      <c r="L24" s="9"/>
      <c r="M24" s="9"/>
      <c r="N24" s="9"/>
      <c r="O24" s="9"/>
      <c r="P24" s="9"/>
    </row>
    <row r="25" spans="2:16" x14ac:dyDescent="0.45">
      <c r="B25" s="6" t="s">
        <v>256</v>
      </c>
      <c r="C25" s="13"/>
      <c r="D25" s="91"/>
      <c r="E25" s="127">
        <f>'BionTech Adjusted'!E12/'BionTech Adjusted'!E8</f>
        <v>0</v>
      </c>
      <c r="F25" s="127">
        <f>'BionTech Adjusted'!F12/'BionTech Adjusted'!F8</f>
        <v>0</v>
      </c>
      <c r="G25" s="127">
        <f>'BionTech Adjusted'!G12/'BionTech Adjusted'!G8</f>
        <v>0</v>
      </c>
      <c r="H25" s="127">
        <f>'BionTech Adjusted'!H12/'BionTech Adjusted'!H8</f>
        <v>0</v>
      </c>
      <c r="I25" s="127">
        <f>'BionTech Adjusted'!I12/'BionTech Adjusted'!I8</f>
        <v>0</v>
      </c>
      <c r="J25" s="127">
        <f>'BionTech Adjusted'!J12/'BionTech Adjusted'!J8</f>
        <v>0</v>
      </c>
      <c r="K25" s="127">
        <f>'BionTech Adjusted'!K12/'BionTech Adjusted'!K8</f>
        <v>0</v>
      </c>
      <c r="L25" s="13"/>
      <c r="M25" s="13"/>
      <c r="N25" s="13"/>
      <c r="O25" s="13"/>
      <c r="P25" s="13"/>
    </row>
    <row r="26" spans="2:16" x14ac:dyDescent="0.45">
      <c r="B26" s="6" t="s">
        <v>375</v>
      </c>
      <c r="C26" s="9"/>
      <c r="D26" s="88"/>
      <c r="E26" s="97">
        <f>SUM(E23:E25)</f>
        <v>-0.99480502613721189</v>
      </c>
      <c r="F26" s="97">
        <f t="shared" ref="F26:K26" si="4">SUM(F23:F25)</f>
        <v>-0.42213599843229477</v>
      </c>
      <c r="G26" s="97">
        <f t="shared" si="4"/>
        <v>-1.6712707182320443</v>
      </c>
      <c r="H26" s="97">
        <f t="shared" si="4"/>
        <v>-0.17084801990462362</v>
      </c>
      <c r="I26" s="97">
        <f t="shared" si="4"/>
        <v>0.80539819884384534</v>
      </c>
      <c r="J26" s="97">
        <f t="shared" si="4"/>
        <v>0.73034441324968524</v>
      </c>
      <c r="K26" s="97">
        <f t="shared" si="4"/>
        <v>0.18078030898140873</v>
      </c>
      <c r="L26" s="9"/>
      <c r="M26" s="9"/>
      <c r="N26" s="9"/>
      <c r="O26" s="9"/>
      <c r="P26" s="9"/>
    </row>
    <row r="27" spans="2:16" x14ac:dyDescent="0.45">
      <c r="B27" s="6" t="s">
        <v>376</v>
      </c>
      <c r="C27" s="9"/>
      <c r="D27" s="88"/>
      <c r="E27" s="97">
        <f>('BionTech Adjusted'!E11+'BionTech Adjusted'!E13)/'BionTech Adjusted'!E8</f>
        <v>3.4627747654144614E-2</v>
      </c>
      <c r="F27" s="97">
        <f>('BionTech Adjusted'!F11+'BionTech Adjusted'!F13)/'BionTech Adjusted'!F8</f>
        <v>6.3068783068783066E-2</v>
      </c>
      <c r="G27" s="97">
        <f>('BionTech Adjusted'!G11+'BionTech Adjusted'!G13)/'BionTech Adjusted'!G8</f>
        <v>3.7753222836095758E-2</v>
      </c>
      <c r="H27" s="97">
        <f>('BionTech Adjusted'!H11+'BionTech Adjusted'!H13)/'BionTech Adjusted'!H8</f>
        <v>3.3174372797014308E-3</v>
      </c>
      <c r="I27" s="97">
        <f>('BionTech Adjusted'!I11+'BionTech Adjusted'!I13)/'BionTech Adjusted'!I8</f>
        <v>3.5675328165592542E-3</v>
      </c>
      <c r="J27" s="97">
        <f>('BionTech Adjusted'!J11+'BionTech Adjusted'!J13)/'BionTech Adjusted'!J8</f>
        <v>1.9080794426536343E-2</v>
      </c>
      <c r="K27" s="97">
        <f>('BionTech Adjusted'!K11+'BionTech Adjusted'!K13)/'BionTech Adjusted'!K8</f>
        <v>0.13605655930871957</v>
      </c>
      <c r="L27" s="9"/>
      <c r="M27" s="9"/>
      <c r="N27" s="9"/>
      <c r="O27" s="9"/>
      <c r="P27" s="9"/>
    </row>
    <row r="28" spans="2:16" x14ac:dyDescent="0.45">
      <c r="B28" s="6" t="s">
        <v>258</v>
      </c>
      <c r="C28" s="9"/>
      <c r="D28" s="88"/>
      <c r="E28" s="97">
        <f>'BionTech Adjusted'!E14/'BionTech Adjusted'!E8</f>
        <v>-0.43441345498230466</v>
      </c>
      <c r="F28" s="97">
        <f>'BionTech Adjusted'!F14/'BionTech Adjusted'!F8</f>
        <v>-1.4540466392318244E-2</v>
      </c>
      <c r="G28" s="97">
        <f>'BionTech Adjusted'!G14/'BionTech Adjusted'!G8</f>
        <v>-1.8416206261510127E-2</v>
      </c>
      <c r="H28" s="97">
        <f>'BionTech Adjusted'!H14/'BionTech Adjusted'!H8</f>
        <v>-0.13477088948787061</v>
      </c>
      <c r="I28" s="97">
        <f>'BionTech Adjusted'!I14/'BionTech Adjusted'!I8</f>
        <v>-1.6077610965025531E-2</v>
      </c>
      <c r="J28" s="97">
        <f>'BionTech Adjusted'!J14/'BionTech Adjusted'!J8</f>
        <v>-1.0918165748154309E-3</v>
      </c>
      <c r="K28" s="97">
        <f>'BionTech Adjusted'!K14/'BionTech Adjusted'!K8</f>
        <v>-6.2581827703587327E-3</v>
      </c>
      <c r="L28" s="9"/>
      <c r="M28" s="9"/>
      <c r="N28" s="9"/>
      <c r="O28" s="9"/>
      <c r="P28" s="9"/>
    </row>
    <row r="29" spans="2:16" x14ac:dyDescent="0.45">
      <c r="B29" s="6" t="s">
        <v>260</v>
      </c>
      <c r="C29" s="17"/>
      <c r="D29" s="91"/>
      <c r="E29" s="127">
        <f>'BionTech Adjusted'!E16/'BionTech Adjusted'!E8</f>
        <v>-7.3054319945452771E-4</v>
      </c>
      <c r="F29" s="127">
        <f>'BionTech Adjusted'!F16/'BionTech Adjusted'!F8</f>
        <v>-4.7031158142269254E-3</v>
      </c>
      <c r="G29" s="127">
        <f>'BionTech Adjusted'!G16/'BionTech Adjusted'!G8</f>
        <v>1.8416206261510127E-3</v>
      </c>
      <c r="H29" s="127">
        <f>'BionTech Adjusted'!H16/'BionTech Adjusted'!H8</f>
        <v>0.33381712626995647</v>
      </c>
      <c r="I29" s="127">
        <f>'BionTech Adjusted'!I16/'BionTech Adjusted'!I8</f>
        <v>-0.25051247055599757</v>
      </c>
      <c r="J29" s="127">
        <f>'BionTech Adjusted'!J16/'BionTech Adjusted'!J8</f>
        <v>-0.20332628562845886</v>
      </c>
      <c r="K29" s="127">
        <f>'BionTech Adjusted'!K16/'BionTech Adjusted'!K8</f>
        <v>-6.6980885048442004E-2</v>
      </c>
      <c r="L29" s="13"/>
      <c r="M29" s="13"/>
      <c r="N29" s="13"/>
      <c r="O29" s="13"/>
      <c r="P29" s="13"/>
    </row>
    <row r="30" spans="2:16" x14ac:dyDescent="0.45">
      <c r="B30" s="6" t="s">
        <v>323</v>
      </c>
      <c r="C30" s="15"/>
      <c r="D30" s="88"/>
      <c r="E30" s="97">
        <f t="shared" ref="E30:K30" si="5">SUM(E26:E29)</f>
        <v>-1.3953212766648264</v>
      </c>
      <c r="F30" s="97">
        <f t="shared" si="5"/>
        <v>-0.37831079757005692</v>
      </c>
      <c r="G30" s="97">
        <f t="shared" si="5"/>
        <v>-1.6500920810313076</v>
      </c>
      <c r="H30" s="97">
        <f t="shared" si="5"/>
        <v>3.1515654157163675E-2</v>
      </c>
      <c r="I30" s="97">
        <f t="shared" si="5"/>
        <v>0.54237565013938149</v>
      </c>
      <c r="J30" s="97">
        <f t="shared" si="5"/>
        <v>0.54500710547294728</v>
      </c>
      <c r="K30" s="97">
        <f t="shared" si="5"/>
        <v>0.24359780047132756</v>
      </c>
      <c r="L30" s="9"/>
      <c r="M30" s="9"/>
      <c r="N30" s="9"/>
      <c r="O30" s="9"/>
      <c r="P30" s="9"/>
    </row>
    <row r="31" spans="2:16" ht="28.5" x14ac:dyDescent="0.45">
      <c r="B31" s="3" t="s">
        <v>377</v>
      </c>
      <c r="C31" s="15"/>
      <c r="D31" s="88"/>
      <c r="E31" s="88"/>
      <c r="F31" s="88"/>
      <c r="G31" s="88"/>
      <c r="H31" s="88"/>
      <c r="I31" s="88"/>
      <c r="J31" s="88"/>
      <c r="K31" s="88"/>
      <c r="L31" s="9"/>
      <c r="M31" s="9"/>
      <c r="N31" s="9"/>
      <c r="O31" s="9"/>
      <c r="P31" s="9"/>
    </row>
    <row r="32" spans="2:16" x14ac:dyDescent="0.45">
      <c r="B32" s="6" t="s">
        <v>378</v>
      </c>
      <c r="C32" s="9"/>
      <c r="D32" s="88"/>
      <c r="E32" s="97">
        <f>('BionTech Adjusted'!E24/'BionTech Adjusted'!E8)</f>
        <v>-0.15097892788726908</v>
      </c>
      <c r="F32" s="97">
        <f>('BionTech Adjusted'!F24/'BionTech Adjusted'!F8)</f>
        <v>-0.10738781109151478</v>
      </c>
      <c r="G32" s="97">
        <f>('BionTech Adjusted'!G24/'BionTech Adjusted'!G8)</f>
        <v>-0.1602209944751381</v>
      </c>
      <c r="H32" s="97">
        <f>('BionTech Adjusted'!H24/'BionTech Adjusted'!H8)</f>
        <v>-0.12295251917893427</v>
      </c>
      <c r="I32" s="97">
        <f>('BionTech Adjusted'!I24/'BionTech Adjusted'!I8)</f>
        <v>-0.15342498959250028</v>
      </c>
      <c r="J32" s="97">
        <f>('BionTech Adjusted'!J24/'BionTech Adjusted'!J8)</f>
        <v>-0.17301537786096383</v>
      </c>
      <c r="K32" s="97">
        <f>('BionTech Adjusted'!K24/'BionTech Adjusted'!K8)</f>
        <v>-0.15705682115737102</v>
      </c>
      <c r="L32" s="9"/>
      <c r="M32" s="9"/>
      <c r="N32" s="9"/>
      <c r="O32" s="9"/>
      <c r="P32" s="9"/>
    </row>
    <row r="33" spans="2:16" x14ac:dyDescent="0.45">
      <c r="B33" s="6" t="s">
        <v>379</v>
      </c>
      <c r="C33" s="9"/>
      <c r="D33" s="88"/>
      <c r="E33" s="97">
        <f>('BionTech Adjusted'!E25/'BionTech Adjusted'!E8)</f>
        <v>-0.48865222896847305</v>
      </c>
      <c r="F33" s="97">
        <f>('BionTech Adjusted'!F25/'BionTech Adjusted'!F8)</f>
        <v>-0.23045267489711932</v>
      </c>
      <c r="G33" s="97">
        <f>('BionTech Adjusted'!G25/'BionTech Adjusted'!G8)</f>
        <v>-0.44383057090239408</v>
      </c>
      <c r="H33" s="97">
        <f>('BionTech Adjusted'!H25/'BionTech Adjusted'!H8)</f>
        <v>-0.22496371552975325</v>
      </c>
      <c r="I33" s="97">
        <f>('BionTech Adjusted'!I25/'BionTech Adjusted'!I8)</f>
        <v>-1.7242197010017547E-2</v>
      </c>
      <c r="J33" s="97">
        <f>('BionTech Adjusted'!J25/'BionTech Adjusted'!J8)</f>
        <v>-3.1264080967730763E-2</v>
      </c>
      <c r="K33" s="97">
        <f>('BionTech Adjusted'!K25/'BionTech Adjusted'!K8)</f>
        <v>-0.14603299293008642</v>
      </c>
      <c r="L33" s="9"/>
      <c r="M33" s="9"/>
      <c r="N33" s="9"/>
      <c r="O33" s="9"/>
      <c r="P33" s="9"/>
    </row>
    <row r="34" spans="2:16" ht="28.5" x14ac:dyDescent="0.45">
      <c r="B34" s="3" t="s">
        <v>380</v>
      </c>
      <c r="C34" s="9"/>
      <c r="D34" s="88"/>
      <c r="E34" s="88"/>
      <c r="F34" s="88"/>
      <c r="G34" s="88"/>
      <c r="H34" s="88"/>
      <c r="I34" s="88"/>
      <c r="J34" s="88"/>
      <c r="K34" s="88"/>
      <c r="L34" s="9"/>
      <c r="M34" s="9"/>
      <c r="N34" s="9"/>
      <c r="O34" s="9"/>
      <c r="P34" s="9"/>
    </row>
    <row r="35" spans="2:16" hidden="1" x14ac:dyDescent="0.45">
      <c r="B35" s="6" t="s">
        <v>381</v>
      </c>
      <c r="C35" s="9"/>
      <c r="D35" s="88"/>
      <c r="E35" s="92" t="s">
        <v>56</v>
      </c>
      <c r="F35" s="92" t="s">
        <v>56</v>
      </c>
      <c r="G35" s="92" t="s">
        <v>56</v>
      </c>
      <c r="H35" s="92" t="s">
        <v>56</v>
      </c>
      <c r="I35" s="92" t="s">
        <v>56</v>
      </c>
      <c r="J35" s="92" t="s">
        <v>56</v>
      </c>
      <c r="K35" s="92" t="s">
        <v>56</v>
      </c>
      <c r="L35" s="9"/>
      <c r="M35" s="9"/>
      <c r="N35" s="9"/>
      <c r="O35" s="9"/>
      <c r="P35" s="9"/>
    </row>
    <row r="36" spans="2:16" hidden="1" x14ac:dyDescent="0.45">
      <c r="B36" s="6" t="s">
        <v>382</v>
      </c>
      <c r="C36" s="9"/>
      <c r="D36" s="88"/>
      <c r="E36" s="92" t="s">
        <v>56</v>
      </c>
      <c r="F36" s="92" t="s">
        <v>56</v>
      </c>
      <c r="G36" s="92" t="s">
        <v>56</v>
      </c>
      <c r="H36" s="92" t="s">
        <v>56</v>
      </c>
      <c r="I36" s="92" t="s">
        <v>56</v>
      </c>
      <c r="J36" s="92" t="s">
        <v>56</v>
      </c>
      <c r="K36" s="92" t="s">
        <v>56</v>
      </c>
      <c r="L36" s="9"/>
      <c r="M36" s="9"/>
      <c r="N36" s="9"/>
      <c r="O36" s="9"/>
      <c r="P36" s="9"/>
    </row>
    <row r="37" spans="2:16" x14ac:dyDescent="0.45">
      <c r="B37" s="6" t="s">
        <v>383</v>
      </c>
      <c r="C37" s="9"/>
      <c r="D37" s="88"/>
      <c r="E37" s="97">
        <f>SUM('BionTech Standardized'!E25:E26)/'BionTech Standardized'!E5</f>
        <v>0.17093087437903828</v>
      </c>
      <c r="F37" s="97">
        <f>SUM('BionTech Standardized'!F25:F26)/'BionTech Standardized'!F5</f>
        <v>0.17232216343327456</v>
      </c>
      <c r="G37" s="97">
        <f>SUM('BionTech Standardized'!G25:G26)/'BionTech Standardized'!G5</f>
        <v>0.31215469613259667</v>
      </c>
      <c r="H37" s="97">
        <f>SUM('BionTech Standardized'!H25:H26)/'BionTech Standardized'!H5</f>
        <v>8.0240514202778362E-2</v>
      </c>
      <c r="I37" s="97">
        <f>SUM('BionTech Standardized'!I25:I26)/'BionTech Standardized'!I5</f>
        <v>3.9627543250407076E-3</v>
      </c>
      <c r="J37" s="97">
        <f>SUM('BionTech Standardized'!J25:J26)/'BionTech Standardized'!J5</f>
        <v>7.1228033690340026E-3</v>
      </c>
      <c r="K37" s="97">
        <f>SUM('BionTech Standardized'!K25:K26)/'BionTech Standardized'!K5</f>
        <v>4.8023042681330196E-2</v>
      </c>
      <c r="L37" s="9"/>
      <c r="M37" s="9"/>
      <c r="N37" s="9"/>
      <c r="O37" s="9"/>
      <c r="P37" s="9"/>
    </row>
    <row r="38" spans="2:16" ht="28.5" x14ac:dyDescent="0.45">
      <c r="B38" s="6" t="s">
        <v>384</v>
      </c>
      <c r="C38" s="9"/>
      <c r="D38" s="88"/>
      <c r="E38" s="97">
        <f>SUM('BionTech Standardized'!E25:E26)/SUM('BionTech Standardized'!D35:D36)</f>
        <v>0.14670883959424813</v>
      </c>
      <c r="F38" s="97">
        <f>SUM('BionTech Standardized'!F25:F26)/SUM('BionTech Standardized'!E35:E36)</f>
        <v>0.11879518853548618</v>
      </c>
      <c r="G38" s="97">
        <f>SUM('BionTech Standardized'!G25:G26)/SUM('BionTech Standardized'!F35:F36)</f>
        <v>0.16616995411944629</v>
      </c>
      <c r="H38" s="97">
        <f>SUM('BionTech Standardized'!H25:H26)/SUM('BionTech Standardized'!G35:G36)</f>
        <v>0.16295011284400579</v>
      </c>
      <c r="I38" s="97">
        <f>SUM('BionTech Standardized'!I25:I26)/SUM('BionTech Standardized'!H35:H36)</f>
        <v>0.15331294597349643</v>
      </c>
      <c r="J38" s="97">
        <f>SUM('BionTech Standardized'!J25:J26)/SUM('BionTech Standardized'!I35:I36)</f>
        <v>0.16725447639717853</v>
      </c>
      <c r="K38" s="97">
        <f>SUM('BionTech Standardized'!K25:K26)/SUM('BionTech Standardized'!J35:J36)</f>
        <v>0.17511696744008404</v>
      </c>
      <c r="L38" s="9"/>
      <c r="M38" s="9"/>
      <c r="N38" s="9"/>
      <c r="O38" s="9"/>
      <c r="P38" s="9"/>
    </row>
    <row r="39" spans="2:16" x14ac:dyDescent="0.45">
      <c r="B39" s="6" t="s">
        <v>10</v>
      </c>
      <c r="C39" s="9"/>
      <c r="D39" s="88"/>
      <c r="E39" s="11">
        <f>1/E38</f>
        <v>6.8162218634248264</v>
      </c>
      <c r="F39" s="11">
        <f t="shared" ref="F39:K39" si="6">1/F38</f>
        <v>8.4178493449781655</v>
      </c>
      <c r="G39" s="11">
        <f t="shared" si="6"/>
        <v>6.017935103244838</v>
      </c>
      <c r="H39" s="11">
        <f t="shared" si="6"/>
        <v>6.1368475452196387</v>
      </c>
      <c r="I39" s="11">
        <f t="shared" si="6"/>
        <v>6.522606382978724</v>
      </c>
      <c r="J39" s="11">
        <f t="shared" si="6"/>
        <v>5.9789132197891321</v>
      </c>
      <c r="K39" s="11">
        <f t="shared" si="6"/>
        <v>5.710468920392584</v>
      </c>
      <c r="L39" s="9"/>
      <c r="M39" s="9"/>
      <c r="N39" s="9"/>
      <c r="O39" s="9"/>
      <c r="P39" s="9"/>
    </row>
    <row r="40" spans="2:16" x14ac:dyDescent="0.45">
      <c r="B40" s="6" t="s">
        <v>8</v>
      </c>
      <c r="C40" s="9"/>
      <c r="D40" s="88"/>
      <c r="E40" s="97">
        <f>'BionTech Standardized'!D35/SUM('BionTech Standardized'!D35:D36)</f>
        <v>0.84416453015271431</v>
      </c>
      <c r="F40" s="97">
        <f>'BionTech Standardized'!E35/SUM('BionTech Standardized'!E35:E36)</f>
        <v>0.54859017172994418</v>
      </c>
      <c r="G40" s="97">
        <f>'BionTech Standardized'!F35/SUM('BionTech Standardized'!F35:F36)</f>
        <v>0.56843849260813306</v>
      </c>
      <c r="H40" s="97">
        <f>'BionTech Standardized'!G35/SUM('BionTech Standardized'!G35:G36)</f>
        <v>0.62342944723279548</v>
      </c>
      <c r="I40" s="97">
        <f>'BionTech Standardized'!H35/SUM('BionTech Standardized'!H35:H36)</f>
        <v>0.66666666666666663</v>
      </c>
      <c r="J40" s="97">
        <f>'BionTech Standardized'!I35/SUM('BionTech Standardized'!I35:I36)</f>
        <v>0.72544763971785131</v>
      </c>
      <c r="K40" s="97">
        <f>'BionTech Standardized'!J35/SUM('BionTech Standardized'!J35:J36)</f>
        <v>0.79022247684522107</v>
      </c>
      <c r="L40" s="9"/>
      <c r="M40" s="9"/>
      <c r="N40" s="9"/>
      <c r="O40" s="9"/>
      <c r="P40" s="9"/>
    </row>
    <row r="41" spans="2:16" x14ac:dyDescent="0.45">
      <c r="B41" s="6" t="s">
        <v>385</v>
      </c>
      <c r="C41" s="9"/>
      <c r="D41" s="88"/>
      <c r="E41" s="97">
        <f>'BionTech Standardized'!E10/'BionTech Standardized'!E5</f>
        <v>3.3458878535017368E-2</v>
      </c>
      <c r="F41" s="97">
        <f>'BionTech Standardized'!F10/'BionTech Standardized'!F5</f>
        <v>3.6652949245541841E-2</v>
      </c>
      <c r="G41" s="97">
        <f>'BionTech Standardized'!G10/'BionTech Standardized'!G5</f>
        <v>1.8416206261510127E-2</v>
      </c>
      <c r="H41" s="97">
        <f>'BionTech Standardized'!H10/'BionTech Standardized'!H5</f>
        <v>0.51441011818370308</v>
      </c>
      <c r="I41" s="97">
        <f>'BionTech Standardized'!I10/'BionTech Standardized'!I5</f>
        <v>2.6084619559775934E-2</v>
      </c>
      <c r="J41" s="97">
        <f>'BionTech Standardized'!J10/'BionTech Standardized'!J5</f>
        <v>2.341339988215313E-2</v>
      </c>
      <c r="K41" s="97">
        <f>'BionTech Standardized'!K10/'BionTech Standardized'!K5</f>
        <v>-4.9227546478135639E-2</v>
      </c>
      <c r="L41" s="9"/>
      <c r="M41" s="9"/>
      <c r="N41" s="9"/>
      <c r="O41" s="9"/>
      <c r="P41" s="9"/>
    </row>
    <row r="42" spans="2:16" x14ac:dyDescent="0.45">
      <c r="B42" s="6"/>
      <c r="C42" s="9"/>
      <c r="D42" s="88"/>
      <c r="E42" s="88"/>
      <c r="F42" s="88"/>
      <c r="G42" s="88"/>
      <c r="H42" s="88"/>
      <c r="I42" s="88"/>
      <c r="J42" s="88"/>
      <c r="K42" s="88"/>
      <c r="L42" s="9"/>
      <c r="M42" s="9"/>
      <c r="N42" s="9"/>
      <c r="O42" s="9"/>
      <c r="P42" s="9"/>
    </row>
    <row r="43" spans="2:16" x14ac:dyDescent="0.45">
      <c r="B43" s="5" t="s">
        <v>25</v>
      </c>
      <c r="C43" s="9"/>
      <c r="D43" s="88"/>
      <c r="E43" s="88"/>
      <c r="F43" s="88"/>
      <c r="G43" s="88"/>
      <c r="H43" s="88"/>
      <c r="I43" s="88"/>
      <c r="J43" s="88"/>
      <c r="K43" s="88"/>
      <c r="L43" s="9"/>
      <c r="M43" s="9"/>
      <c r="N43" s="9"/>
      <c r="O43" s="9"/>
      <c r="P43" s="9"/>
    </row>
    <row r="44" spans="2:16" x14ac:dyDescent="0.45">
      <c r="B44" s="6" t="s">
        <v>26</v>
      </c>
      <c r="C44" s="9"/>
      <c r="D44" s="16"/>
      <c r="E44" s="18">
        <f>1+E32</f>
        <v>0.84902107211273092</v>
      </c>
      <c r="F44" s="16">
        <f t="shared" ref="F44:J44" si="7">1+F32</f>
        <v>0.89261218890848526</v>
      </c>
      <c r="G44" s="16">
        <f>1+G32</f>
        <v>0.83977900552486195</v>
      </c>
      <c r="H44" s="16">
        <f t="shared" si="7"/>
        <v>0.87704748082106576</v>
      </c>
      <c r="I44" s="16">
        <f t="shared" si="7"/>
        <v>0.84657501040749972</v>
      </c>
      <c r="J44" s="16">
        <f t="shared" si="7"/>
        <v>0.82698462213903623</v>
      </c>
      <c r="K44" s="16">
        <f>1+K32</f>
        <v>0.84294317884262893</v>
      </c>
      <c r="L44" s="9"/>
      <c r="M44" s="9"/>
      <c r="N44" s="9"/>
      <c r="O44" s="9"/>
      <c r="P44" s="9"/>
    </row>
    <row r="45" spans="2:16" x14ac:dyDescent="0.45">
      <c r="B45" s="6" t="s">
        <v>27</v>
      </c>
      <c r="C45" s="9"/>
      <c r="D45" s="88"/>
      <c r="E45" s="93">
        <f t="shared" ref="E45:K45" si="8">SUM(E26:E27)-E37</f>
        <v>-1.1311081528621056</v>
      </c>
      <c r="F45" s="93">
        <f t="shared" si="8"/>
        <v>-0.53138937879678627</v>
      </c>
      <c r="G45" s="93">
        <f t="shared" si="8"/>
        <v>-1.9456721915285453</v>
      </c>
      <c r="H45" s="93">
        <f t="shared" si="8"/>
        <v>-0.24777109682770054</v>
      </c>
      <c r="I45" s="93">
        <f t="shared" si="8"/>
        <v>0.80500297733536397</v>
      </c>
      <c r="J45" s="93">
        <f t="shared" si="8"/>
        <v>0.74230240430718752</v>
      </c>
      <c r="K45" s="93">
        <f t="shared" si="8"/>
        <v>0.26881382560879813</v>
      </c>
      <c r="L45" s="9"/>
      <c r="M45" s="9"/>
      <c r="N45" s="9"/>
      <c r="O45" s="9"/>
      <c r="P45" s="9"/>
    </row>
    <row r="46" spans="2:16" x14ac:dyDescent="0.45">
      <c r="D46" s="89"/>
      <c r="E46" s="89"/>
      <c r="F46" s="89"/>
      <c r="G46" s="89"/>
      <c r="H46" s="89"/>
      <c r="I46" s="89"/>
      <c r="J46" s="89"/>
      <c r="K46" s="89"/>
    </row>
    <row r="47" spans="2:16" x14ac:dyDescent="0.45">
      <c r="B47" s="4" t="s">
        <v>28</v>
      </c>
      <c r="D47" s="89"/>
      <c r="E47" s="89"/>
      <c r="F47" s="89"/>
      <c r="G47" s="89"/>
      <c r="H47" s="89"/>
      <c r="I47" s="89"/>
      <c r="J47" s="89"/>
      <c r="K47" s="89"/>
    </row>
    <row r="48" spans="2:16" x14ac:dyDescent="0.45">
      <c r="B48" s="7" t="s">
        <v>369</v>
      </c>
      <c r="C48" s="8"/>
      <c r="D48" s="90"/>
      <c r="E48" s="90"/>
      <c r="F48" s="90"/>
      <c r="G48" s="90"/>
      <c r="H48" s="90"/>
      <c r="I48" s="90"/>
      <c r="J48" s="90"/>
      <c r="K48" s="90"/>
      <c r="L48" s="8"/>
      <c r="M48" s="8"/>
      <c r="N48" s="8"/>
      <c r="O48" s="8"/>
      <c r="P48" s="8"/>
    </row>
    <row r="49" spans="2:17" x14ac:dyDescent="0.45">
      <c r="B49" s="6" t="s">
        <v>386</v>
      </c>
      <c r="C49" s="9"/>
      <c r="D49" s="16"/>
      <c r="E49" s="16">
        <f>AVERAGE('BionTech Adjusted'!D123:E123)/'BionTech Adjusted'!E95</f>
        <v>-1.4676945680054547</v>
      </c>
      <c r="F49" s="16">
        <f>AVERAGE('BionTech Adjusted'!E123:F123)/'BionTech Adjusted'!F95</f>
        <v>-0.86925083284342519</v>
      </c>
      <c r="G49" s="16">
        <f>AVERAGE('BionTech Adjusted'!F123:G123)/'BionTech Adjusted'!G95</f>
        <v>-0.78419544198895019</v>
      </c>
      <c r="H49" s="16">
        <f>AVERAGE('BionTech Adjusted'!G123:H123)/'BionTech Adjusted'!H95</f>
        <v>-0.21163591125855277</v>
      </c>
      <c r="I49" s="16">
        <f>AVERAGE('BionTech Adjusted'!H123:I123)/'BionTech Adjusted'!I95</f>
        <v>0.28600731423271691</v>
      </c>
      <c r="J49" s="16">
        <f>AVERAGE('BionTech Adjusted'!I123:J123)/'BionTech Adjusted'!J95</f>
        <v>0.48984336187076122</v>
      </c>
      <c r="K49" s="16">
        <f>AVERAGE('BionTech Adjusted'!J123:K123)/'BionTech Adjusted'!K95</f>
        <v>1.5475360041895783</v>
      </c>
      <c r="L49" s="9"/>
      <c r="M49" s="9"/>
      <c r="N49" s="9"/>
      <c r="O49" s="9"/>
      <c r="P49" s="9"/>
    </row>
    <row r="50" spans="2:17" x14ac:dyDescent="0.45">
      <c r="B50" s="6" t="s">
        <v>387</v>
      </c>
      <c r="C50" s="9"/>
      <c r="D50" s="16"/>
      <c r="E50" s="93">
        <f>AVERAGE('BionTech Adjusted'!D129:E129)/'BionTech Adjusted'!E95</f>
        <v>-2.5027192441313026</v>
      </c>
      <c r="F50" s="93">
        <f>AVERAGE('BionTech Adjusted'!E129:F129)/'BionTech Adjusted'!F95</f>
        <v>-0.52359788359788351</v>
      </c>
      <c r="G50" s="93">
        <f>AVERAGE('BionTech Adjusted'!F129:G129)/'BionTech Adjusted'!G95</f>
        <v>0.39676335174953981</v>
      </c>
      <c r="H50" s="93">
        <f>AVERAGE('BionTech Adjusted'!G129:H129)/'BionTech Adjusted'!H95</f>
        <v>0.70904312668463609</v>
      </c>
      <c r="I50" s="93">
        <f>AVERAGE('BionTech Adjusted'!H129:I129)/'BionTech Adjusted'!I95</f>
        <v>2.6371813855939119E-2</v>
      </c>
      <c r="J50" s="93">
        <f>AVERAGE('BionTech Adjusted'!I129:J129)/'BionTech Adjusted'!J95</f>
        <v>4.763266437905099E-2</v>
      </c>
      <c r="K50" s="93">
        <f>AVERAGE('BionTech Adjusted'!J129:K129)/'BionTech Adjusted'!K95</f>
        <v>0.41556690233045296</v>
      </c>
      <c r="L50" s="9">
        <f>K50</f>
        <v>0.41556690233045296</v>
      </c>
      <c r="M50" s="9">
        <f t="shared" ref="M50:Q51" si="9">L50</f>
        <v>0.41556690233045296</v>
      </c>
      <c r="N50" s="9">
        <f t="shared" si="9"/>
        <v>0.41556690233045296</v>
      </c>
      <c r="O50" s="9">
        <f t="shared" si="9"/>
        <v>0.41556690233045296</v>
      </c>
      <c r="P50" s="9">
        <f t="shared" si="9"/>
        <v>0.41556690233045296</v>
      </c>
      <c r="Q50" s="9">
        <f t="shared" si="9"/>
        <v>0.41556690233045296</v>
      </c>
    </row>
    <row r="51" spans="2:17" ht="15" customHeight="1" x14ac:dyDescent="0.45">
      <c r="B51" s="6" t="s">
        <v>388</v>
      </c>
      <c r="C51" s="9"/>
      <c r="D51" s="16"/>
      <c r="E51" s="93">
        <f>+AVERAGE('BionTech Adjusted'!D133:E133)/'BionTech Adjusted'!E95</f>
        <v>3.8377146985291728</v>
      </c>
      <c r="F51" s="93">
        <f>+AVERAGE('BionTech Adjusted'!E133:F133)/'BionTech Adjusted'!F95</f>
        <v>2.2503599843229467</v>
      </c>
      <c r="G51" s="93">
        <f>+AVERAGE('BionTech Adjusted'!F133:G133)/'BionTech Adjusted'!G95</f>
        <v>4.2304477440147323</v>
      </c>
      <c r="H51" s="93">
        <f>+AVERAGE('BionTech Adjusted'!G133:H133)/'BionTech Adjusted'!H95</f>
        <v>1.7621853618080034</v>
      </c>
      <c r="I51" s="93">
        <f>+AVERAGE('BionTech Adjusted'!H133:I133)/'BionTech Adjusted'!I95</f>
        <v>5.1411731228295753E-2</v>
      </c>
      <c r="J51" s="93">
        <f>+AVERAGE('BionTech Adjusted'!I133:J133)/'BionTech Adjusted'!J95</f>
        <v>0.40018644645477347</v>
      </c>
      <c r="K51" s="93">
        <f>+AVERAGE('BionTech Adjusted'!J133:K133)/'BionTech Adjusted'!K95</f>
        <v>3.3698114689709353</v>
      </c>
      <c r="L51" s="9">
        <f>K51</f>
        <v>3.3698114689709353</v>
      </c>
      <c r="M51" s="9">
        <f t="shared" si="9"/>
        <v>3.3698114689709353</v>
      </c>
      <c r="N51" s="9">
        <f t="shared" si="9"/>
        <v>3.3698114689709353</v>
      </c>
      <c r="O51" s="9">
        <f t="shared" si="9"/>
        <v>3.3698114689709353</v>
      </c>
      <c r="P51" s="9">
        <f t="shared" si="9"/>
        <v>3.3698114689709353</v>
      </c>
      <c r="Q51" s="9">
        <f t="shared" si="9"/>
        <v>3.3698114689709353</v>
      </c>
    </row>
    <row r="52" spans="2:17" x14ac:dyDescent="0.45">
      <c r="B52" s="6" t="s">
        <v>389</v>
      </c>
      <c r="C52" s="9"/>
      <c r="D52" s="16"/>
      <c r="E52" s="16">
        <f>AVERAGE('BionTech Adjusted'!D125:E125)/'BionTech Adjusted'!E95</f>
        <v>1.3158300594175136</v>
      </c>
      <c r="F52" s="16">
        <f>AVERAGE('BionTech Adjusted'!E125:F125)/'BionTech Adjusted'!F95</f>
        <v>0.85238879090730946</v>
      </c>
      <c r="G52" s="16">
        <f>AVERAGE('BionTech Adjusted'!F125:G125)/'BionTech Adjusted'!G95</f>
        <v>1.215598526703499</v>
      </c>
      <c r="H52" s="16">
        <f>AVERAGE('BionTech Adjusted'!G125:H125)/'BionTech Adjusted'!H95</f>
        <v>0.49249637155297532</v>
      </c>
      <c r="I52" s="16">
        <f>AVERAGE('BionTech Adjusted'!H125:I125)/'BionTech Adjusted'!I95</f>
        <v>2.2706793067287775E-2</v>
      </c>
      <c r="J52" s="16">
        <f>AVERAGE('BionTech Adjusted'!I125:J125)/'BionTech Adjusted'!J95</f>
        <v>3.9351611151548768E-2</v>
      </c>
      <c r="K52" s="16">
        <f>AVERAGE('BionTech Adjusted'!J125:K125)/'BionTech Adjusted'!K95</f>
        <v>0.24647813563760146</v>
      </c>
      <c r="L52" s="9"/>
      <c r="M52" s="9"/>
      <c r="N52" s="9"/>
      <c r="O52" s="9"/>
      <c r="P52" s="9"/>
    </row>
    <row r="53" spans="2:17" x14ac:dyDescent="0.45">
      <c r="B53" s="6" t="s">
        <v>390</v>
      </c>
      <c r="C53" s="11"/>
      <c r="D53" s="88"/>
      <c r="E53" s="88">
        <f t="shared" ref="E53:K54" si="10">1/E49</f>
        <v>-0.68134066978183672</v>
      </c>
      <c r="F53" s="88">
        <f t="shared" si="10"/>
        <v>-1.1504159239386385</v>
      </c>
      <c r="G53" s="88">
        <f t="shared" si="10"/>
        <v>-1.2751923136198113</v>
      </c>
      <c r="H53" s="88">
        <f t="shared" si="10"/>
        <v>-4.7250960106591426</v>
      </c>
      <c r="I53" s="88">
        <f t="shared" si="10"/>
        <v>3.4964140783697766</v>
      </c>
      <c r="J53" s="88">
        <f t="shared" si="10"/>
        <v>2.0414689221895324</v>
      </c>
      <c r="K53" s="88">
        <f t="shared" si="10"/>
        <v>0.64618851987465409</v>
      </c>
      <c r="L53" s="11"/>
      <c r="M53" s="11"/>
      <c r="N53" s="11"/>
      <c r="O53" s="11"/>
      <c r="P53" s="11"/>
    </row>
    <row r="54" spans="2:17" x14ac:dyDescent="0.45">
      <c r="B54" s="6" t="s">
        <v>391</v>
      </c>
      <c r="C54" s="11"/>
      <c r="D54" s="88"/>
      <c r="E54" s="88">
        <f t="shared" si="10"/>
        <v>-0.39956539365928812</v>
      </c>
      <c r="F54" s="88">
        <f t="shared" si="10"/>
        <v>-1.9098625707356511</v>
      </c>
      <c r="G54" s="88">
        <f t="shared" si="10"/>
        <v>2.5203940726643985</v>
      </c>
      <c r="H54" s="88">
        <f t="shared" si="10"/>
        <v>1.4103514474159398</v>
      </c>
      <c r="I54" s="88">
        <f t="shared" si="10"/>
        <v>37.919272654610857</v>
      </c>
      <c r="J54" s="88">
        <f t="shared" si="10"/>
        <v>20.993996725486628</v>
      </c>
      <c r="K54" s="88">
        <f t="shared" si="10"/>
        <v>2.4063514066979619</v>
      </c>
      <c r="L54" s="11"/>
      <c r="M54" s="11"/>
      <c r="N54" s="11"/>
      <c r="O54" s="11"/>
      <c r="P54" s="11"/>
    </row>
    <row r="55" spans="2:17" x14ac:dyDescent="0.45">
      <c r="B55" s="6" t="s">
        <v>29</v>
      </c>
      <c r="C55" s="11"/>
      <c r="D55" s="88"/>
      <c r="E55" s="88">
        <f t="shared" ref="E55:K55" si="11">1/E52</f>
        <v>0.75997655840350387</v>
      </c>
      <c r="F55" s="88">
        <f t="shared" si="11"/>
        <v>1.1731735689949283</v>
      </c>
      <c r="G55" s="88">
        <f t="shared" si="11"/>
        <v>0.82264002302786077</v>
      </c>
      <c r="H55" s="88">
        <f t="shared" si="11"/>
        <v>2.0304718121003154</v>
      </c>
      <c r="I55" s="88">
        <f t="shared" si="11"/>
        <v>44.039684381527046</v>
      </c>
      <c r="J55" s="88">
        <f t="shared" si="11"/>
        <v>25.411920140927769</v>
      </c>
      <c r="K55" s="88">
        <f t="shared" si="11"/>
        <v>4.0571549984064594</v>
      </c>
      <c r="L55" s="11"/>
      <c r="M55" s="11"/>
      <c r="N55" s="11"/>
      <c r="O55" s="11"/>
      <c r="P55" s="11"/>
    </row>
    <row r="56" spans="2:17" x14ac:dyDescent="0.45">
      <c r="B56" s="6" t="s">
        <v>392</v>
      </c>
      <c r="C56" s="11"/>
      <c r="D56" s="88"/>
      <c r="E56" s="88">
        <f>'BionTech Adjusted'!E95/AVERAGE('BionTech Adjusted'!D118:E118)</f>
        <v>15.925025853154084</v>
      </c>
      <c r="F56" s="88">
        <f>'BionTech Adjusted'!F95/AVERAGE('BionTech Adjusted'!E118:F118)</f>
        <v>10.851443882107771</v>
      </c>
      <c r="G56" s="88">
        <f>'BionTech Adjusted'!G95/AVERAGE('BionTech Adjusted'!F118:G118)</f>
        <v>7.0402904281870935</v>
      </c>
      <c r="H56" s="88">
        <f>'BionTech Adjusted'!H95/AVERAGE('BionTech Adjusted'!G118:H118)</f>
        <v>5.4370311082051481</v>
      </c>
      <c r="I56" s="88">
        <f>'BionTech Adjusted'!I95/AVERAGE('BionTech Adjusted'!H118:I118)</f>
        <v>3.024850165774037</v>
      </c>
      <c r="J56" s="88">
        <f>'BionTech Adjusted'!J95/AVERAGE('BionTech Adjusted'!I118:J118)</f>
        <v>1.7729640042402171</v>
      </c>
      <c r="K56" s="88">
        <f>'BionTech Adjusted'!K95/AVERAGE('BionTech Adjusted'!J118:K118)</f>
        <v>0.82117553460268999</v>
      </c>
      <c r="L56" s="11"/>
      <c r="M56" s="11"/>
      <c r="N56" s="11"/>
      <c r="O56" s="11"/>
      <c r="P56" s="11"/>
    </row>
    <row r="57" spans="2:17" x14ac:dyDescent="0.45">
      <c r="B57" s="6" t="s">
        <v>30</v>
      </c>
      <c r="C57" s="12"/>
      <c r="D57" s="88"/>
      <c r="E57" s="88">
        <f t="shared" ref="E57:K57" si="12">360*(1/E56)</f>
        <v>22.605928763920911</v>
      </c>
      <c r="F57" s="88">
        <f t="shared" si="12"/>
        <v>33.175308641975299</v>
      </c>
      <c r="G57" s="88">
        <f t="shared" si="12"/>
        <v>51.134254143646402</v>
      </c>
      <c r="H57" s="88">
        <f t="shared" si="12"/>
        <v>66.21260626166287</v>
      </c>
      <c r="I57" s="88">
        <f t="shared" si="12"/>
        <v>119.01415946924388</v>
      </c>
      <c r="J57" s="88">
        <f t="shared" si="12"/>
        <v>203.04980763231782</v>
      </c>
      <c r="K57" s="88">
        <f t="shared" si="12"/>
        <v>438.39591516103684</v>
      </c>
      <c r="L57" s="12"/>
      <c r="M57" s="12"/>
      <c r="N57" s="12"/>
      <c r="O57" s="12"/>
      <c r="P57" s="12"/>
    </row>
    <row r="58" spans="2:17" x14ac:dyDescent="0.45">
      <c r="B58" s="6" t="s">
        <v>393</v>
      </c>
      <c r="C58" s="11"/>
      <c r="D58" s="88"/>
      <c r="E58" s="88">
        <f>-'BionTech Adjusted'!E24/AVERAGE('BionTech Adjusted'!D119:E119)</f>
        <v>2.6043125175021005</v>
      </c>
      <c r="F58" s="88">
        <f>-'BionTech Adjusted'!F24/AVERAGE('BionTech Adjusted'!E119:F119)</f>
        <v>2.8349715468184171</v>
      </c>
      <c r="G58" s="88">
        <f>-'BionTech Adjusted'!G24/AVERAGE('BionTech Adjusted'!F119:G119)</f>
        <v>1.9873222545828335</v>
      </c>
      <c r="H58" s="88">
        <f>-'BionTech Adjusted'!H24/AVERAGE('BionTech Adjusted'!G119:H119)</f>
        <v>1.5641898129830394</v>
      </c>
      <c r="I58" s="88">
        <f>-'BionTech Adjusted'!I24/AVERAGE('BionTech Adjusted'!H119:I119)</f>
        <v>10.277091422520297</v>
      </c>
      <c r="J58" s="88">
        <f>-'BionTech Adjusted'!J24/AVERAGE('BionTech Adjusted'!I119:J119)</f>
        <v>6.3581360789725077</v>
      </c>
      <c r="K58" s="88">
        <f>-'BionTech Adjusted'!K24/AVERAGE('BionTech Adjusted'!J119:K119)</f>
        <v>1.5045779505832184</v>
      </c>
      <c r="L58" s="11"/>
      <c r="M58" s="11"/>
      <c r="N58" s="11"/>
      <c r="O58" s="11"/>
      <c r="P58" s="11"/>
    </row>
    <row r="59" spans="2:17" x14ac:dyDescent="0.45">
      <c r="B59" s="6" t="s">
        <v>31</v>
      </c>
      <c r="C59" s="12"/>
      <c r="D59" s="88"/>
      <c r="E59" s="88">
        <f t="shared" ref="E59:K59" si="13">360*(1/E58)</f>
        <v>138.23225806451612</v>
      </c>
      <c r="F59" s="88">
        <f t="shared" si="13"/>
        <v>126.98540145985402</v>
      </c>
      <c r="G59" s="88">
        <f t="shared" si="13"/>
        <v>181.148275862069</v>
      </c>
      <c r="H59" s="88">
        <f t="shared" si="13"/>
        <v>230.15109612141651</v>
      </c>
      <c r="I59" s="88">
        <f t="shared" si="13"/>
        <v>35.029366306027818</v>
      </c>
      <c r="J59" s="88">
        <f>360*(1/J58)</f>
        <v>56.620367278798</v>
      </c>
      <c r="K59" s="88">
        <f t="shared" si="13"/>
        <v>239.26975658552851</v>
      </c>
      <c r="L59" s="12"/>
      <c r="M59" s="12"/>
      <c r="N59" s="12"/>
      <c r="O59" s="12"/>
      <c r="P59" s="12"/>
    </row>
    <row r="60" spans="2:17" x14ac:dyDescent="0.45">
      <c r="B60" s="6" t="s">
        <v>394</v>
      </c>
      <c r="C60" s="11"/>
      <c r="D60" s="88"/>
      <c r="E60" s="88">
        <f>-'BionTech Adjusted'!E24/AVERAGE('BionTech Adjusted'!D121:E121)</f>
        <v>0.31656341480019062</v>
      </c>
      <c r="F60" s="88">
        <f>-'BionTech Adjusted'!F24/AVERAGE('BionTech Adjusted'!E121:F121)</f>
        <v>0.29068842232571956</v>
      </c>
      <c r="G60" s="88">
        <f>-'BionTech Adjusted'!G24/AVERAGE('BionTech Adjusted'!F121:G121)</f>
        <v>0.55931467879586627</v>
      </c>
      <c r="H60" s="88">
        <f>-'BionTech Adjusted'!H24/AVERAGE('BionTech Adjusted'!G121:H121)</f>
        <v>0.96581377546865577</v>
      </c>
      <c r="I60" s="88">
        <f>-'BionTech Adjusted'!I24/AVERAGE('BionTech Adjusted'!H121:I121)</f>
        <v>22.199771254288979</v>
      </c>
      <c r="J60" s="88">
        <f>-'BionTech Adjusted'!J24/AVERAGE('BionTech Adjusted'!I121:J121)</f>
        <v>16.451524306509199</v>
      </c>
      <c r="K60" s="88">
        <f>-'BionTech Adjusted'!K24/AVERAGE('BionTech Adjusted'!J121:K121)</f>
        <v>2.1494355850206053</v>
      </c>
      <c r="L60" s="11"/>
      <c r="M60" s="11"/>
      <c r="N60" s="11"/>
      <c r="O60" s="11"/>
      <c r="P60" s="11"/>
    </row>
    <row r="61" spans="2:17" x14ac:dyDescent="0.45">
      <c r="B61" s="6" t="s">
        <v>32</v>
      </c>
      <c r="C61" s="12"/>
      <c r="D61" s="88"/>
      <c r="E61" s="88">
        <f t="shared" ref="E61:K61" si="14">360*(1/E60)</f>
        <v>1137.2129032258065</v>
      </c>
      <c r="F61" s="88">
        <f t="shared" si="14"/>
        <v>1238.439416058394</v>
      </c>
      <c r="G61" s="88">
        <f t="shared" si="14"/>
        <v>643.64482758620682</v>
      </c>
      <c r="H61" s="88">
        <f t="shared" si="14"/>
        <v>372.74266441821248</v>
      </c>
      <c r="I61" s="88">
        <f t="shared" si="14"/>
        <v>16.21638330757342</v>
      </c>
      <c r="J61" s="88">
        <f t="shared" si="14"/>
        <v>21.882470784641068</v>
      </c>
      <c r="K61" s="88">
        <f t="shared" si="14"/>
        <v>167.48582860953653</v>
      </c>
      <c r="L61" s="12"/>
      <c r="M61" s="12"/>
      <c r="N61" s="12"/>
      <c r="O61" s="12"/>
      <c r="P61" s="12"/>
    </row>
    <row r="62" spans="2:17" x14ac:dyDescent="0.45">
      <c r="B62" s="6" t="s">
        <v>33</v>
      </c>
      <c r="C62" s="12"/>
      <c r="D62" s="88"/>
      <c r="E62" s="88">
        <f t="shared" ref="E62:K62" si="15">E57+E59-E61</f>
        <v>-976.37471639736941</v>
      </c>
      <c r="F62" s="88">
        <f t="shared" si="15"/>
        <v>-1078.2787059565646</v>
      </c>
      <c r="G62" s="88">
        <f t="shared" si="15"/>
        <v>-411.36229758049143</v>
      </c>
      <c r="H62" s="88">
        <f t="shared" si="15"/>
        <v>-76.3789620351331</v>
      </c>
      <c r="I62" s="88">
        <f t="shared" si="15"/>
        <v>137.82714246769828</v>
      </c>
      <c r="J62" s="88">
        <f t="shared" si="15"/>
        <v>237.78770412647478</v>
      </c>
      <c r="K62" s="88">
        <f t="shared" si="15"/>
        <v>510.1798431370288</v>
      </c>
      <c r="L62" s="12"/>
      <c r="M62" s="12"/>
      <c r="N62" s="12"/>
      <c r="O62" s="12"/>
      <c r="P62" s="12"/>
    </row>
    <row r="64" spans="2:17" x14ac:dyDescent="0.45">
      <c r="B64" s="4" t="s">
        <v>395</v>
      </c>
    </row>
    <row r="65" spans="2:16" x14ac:dyDescent="0.45">
      <c r="B65" s="7" t="s">
        <v>369</v>
      </c>
      <c r="C65" s="8"/>
      <c r="D65" s="8"/>
      <c r="E65" s="8"/>
      <c r="F65" s="8"/>
      <c r="G65" s="8"/>
      <c r="H65" s="8"/>
      <c r="I65" s="8"/>
      <c r="J65" s="8"/>
      <c r="K65" s="8"/>
      <c r="L65" s="8"/>
      <c r="M65" s="8"/>
      <c r="N65" s="8"/>
      <c r="O65" s="8"/>
      <c r="P65" s="8"/>
    </row>
    <row r="66" spans="2:16" x14ac:dyDescent="0.45">
      <c r="B66" s="6" t="s">
        <v>396</v>
      </c>
      <c r="C66" s="11"/>
      <c r="D66" s="11"/>
      <c r="E66" s="11">
        <f>AVERAGE('BionTech Adjusted'!D46:E46)/AVERAGE('BionTech Adjusted'!D65:E65)</f>
        <v>2.356501533599777</v>
      </c>
      <c r="F66" s="11">
        <f>AVERAGE('BionTech Adjusted'!E46:F46)/AVERAGE('BionTech Adjusted'!E65:F65)</f>
        <v>2.2377812516466729</v>
      </c>
      <c r="G66" s="11">
        <f>AVERAGE('BionTech Adjusted'!F46:G46)/AVERAGE('BionTech Adjusted'!F65:G65)</f>
        <v>3.8123536022825748</v>
      </c>
      <c r="H66" s="11">
        <f>AVERAGE('BionTech Adjusted'!G46:H46)/AVERAGE('BionTech Adjusted'!G65:H65)</f>
        <v>2.9905515345189491</v>
      </c>
      <c r="I66" s="11">
        <f>AVERAGE('BionTech Adjusted'!H46:I46)/AVERAGE('BionTech Adjusted'!H65:I65)</f>
        <v>4.090395894428152</v>
      </c>
      <c r="J66" s="11">
        <f>AVERAGE('BionTech Adjusted'!I46:J46)/AVERAGE('BionTech Adjusted'!I65:J65)</f>
        <v>5.7380952380952381</v>
      </c>
      <c r="K66" s="11">
        <f>AVERAGE('BionTech Adjusted'!J46:K46)/AVERAGE('BionTech Adjusted'!J65:K65)</f>
        <v>8.2022856007154932</v>
      </c>
      <c r="L66" s="11"/>
      <c r="M66" s="11"/>
      <c r="N66" s="11"/>
      <c r="O66" s="11"/>
      <c r="P66" s="11"/>
    </row>
    <row r="67" spans="2:16" x14ac:dyDescent="0.45">
      <c r="B67" s="6" t="s">
        <v>397</v>
      </c>
      <c r="C67" s="11"/>
      <c r="D67" s="11"/>
      <c r="E67" s="11">
        <f>AVERAGE('BionTech Adjusted'!D43+'BionTech Adjusted'!D45,'BionTech Adjusted'!E43+'BionTech Adjusted'!E45)/AVERAGE('BionTech Adjusted'!D65:E65)</f>
        <v>2.2470582767915235</v>
      </c>
      <c r="F67" s="11">
        <f>AVERAGE('BionTech Adjusted'!E43+'BionTech Adjusted'!E45,'BionTech Adjusted'!F43+'BionTech Adjusted'!F45)/AVERAGE('BionTech Adjusted'!E65:F65)</f>
        <v>2.1327314562731634</v>
      </c>
      <c r="G67" s="11">
        <f>AVERAGE('BionTech Adjusted'!F43+'BionTech Adjusted'!F45,'BionTech Adjusted'!G43+'BionTech Adjusted'!G45)/AVERAGE('BionTech Adjusted'!F65:G65)</f>
        <v>3.638401895081794</v>
      </c>
      <c r="H67" s="11">
        <f>AVERAGE('BionTech Adjusted'!G43+'BionTech Adjusted'!G45,'BionTech Adjusted'!H43+'BionTech Adjusted'!H45)/AVERAGE('BionTech Adjusted'!G65:H65)</f>
        <v>2.5623630973658256</v>
      </c>
      <c r="I67" s="11">
        <f>AVERAGE('BionTech Adjusted'!H43+'BionTech Adjusted'!H45,'BionTech Adjusted'!I43+'BionTech Adjusted'!I45)/AVERAGE('BionTech Adjusted'!H65:I65)</f>
        <v>3.7756842619745847</v>
      </c>
      <c r="J67" s="11">
        <f>AVERAGE('BionTech Adjusted'!I43+'BionTech Adjusted'!I45,'BionTech Adjusted'!J43+'BionTech Adjusted'!J45)/AVERAGE('BionTech Adjusted'!I65:J65)</f>
        <v>5.4436326973786269</v>
      </c>
      <c r="K67" s="11">
        <f>AVERAGE('BionTech Adjusted'!J43+'BionTech Adjusted'!J45,'BionTech Adjusted'!K43+'BionTech Adjusted'!K45)/AVERAGE('BionTech Adjusted'!J65:K65)</f>
        <v>6.9243963032892788</v>
      </c>
      <c r="L67" s="11"/>
      <c r="M67" s="11"/>
      <c r="N67" s="11"/>
      <c r="O67" s="11"/>
      <c r="P67" s="11"/>
    </row>
    <row r="68" spans="2:16" x14ac:dyDescent="0.45">
      <c r="B68" s="6" t="s">
        <v>398</v>
      </c>
      <c r="C68" s="11"/>
      <c r="D68" s="11"/>
      <c r="E68" s="11">
        <f>AVERAGE('BionTech Adjusted'!D45:E45)/AVERAGE('BionTech Adjusted'!D65:E65)</f>
        <v>2.2111069802026213</v>
      </c>
      <c r="F68" s="11">
        <f>AVERAGE('BionTech Adjusted'!E45:F45)/AVERAGE('BionTech Adjusted'!E65:F65)</f>
        <v>2.0501326120176349</v>
      </c>
      <c r="G68" s="11">
        <f>AVERAGE('BionTech Adjusted'!F45:G45)/AVERAGE('BionTech Adjusted'!F65:G65)</f>
        <v>3.5216583479336876</v>
      </c>
      <c r="H68" s="11">
        <f>AVERAGE('BionTech Adjusted'!G45:H45)/AVERAGE('BionTech Adjusted'!G65:H65)</f>
        <v>2.3239502675564609</v>
      </c>
      <c r="I68" s="11">
        <f>AVERAGE('BionTech Adjusted'!H45:I45)/AVERAGE('BionTech Adjusted'!H65:I65)</f>
        <v>0.70940860215053758</v>
      </c>
      <c r="J68" s="11">
        <f>AVERAGE('BionTech Adjusted'!I45:J45)/AVERAGE('BionTech Adjusted'!I65:J65)</f>
        <v>2.4147355359081746</v>
      </c>
      <c r="K68" s="11">
        <f>AVERAGE('BionTech Adjusted'!J45:K45)/AVERAGE('BionTech Adjusted'!J65:K65)</f>
        <v>5.0757825698101966</v>
      </c>
      <c r="L68" s="11"/>
      <c r="M68" s="11"/>
      <c r="N68" s="11"/>
      <c r="O68" s="11"/>
      <c r="P68" s="11"/>
    </row>
    <row r="69" spans="2:16" x14ac:dyDescent="0.45">
      <c r="B69" s="6" t="s">
        <v>399</v>
      </c>
      <c r="C69" s="11"/>
      <c r="D69" s="11"/>
      <c r="E69" s="11">
        <f>'BionTech Adjusted'!E78/AVERAGE('BionTech Adjusted'!D65:E65)</f>
        <v>-0.50787247885491227</v>
      </c>
      <c r="F69" s="11">
        <f>'BionTech Adjusted'!F78/AVERAGE('BionTech Adjusted'!E65:F65)</f>
        <v>-0.42734442239123183</v>
      </c>
      <c r="G69" s="11">
        <f>'BionTech Adjusted'!G78/AVERAGE('BionTech Adjusted'!F65:G65)</f>
        <v>-1.4969935253894797</v>
      </c>
      <c r="H69" s="11">
        <f>'BionTech Adjusted'!H78/AVERAGE('BionTech Adjusted'!G65:H65)</f>
        <v>-3.0370547556783506E-2</v>
      </c>
      <c r="I69" s="11">
        <f>'BionTech Adjusted'!I78/AVERAGE('BionTech Adjusted'!H65:I65)</f>
        <v>0.44022482893450665</v>
      </c>
      <c r="J69" s="11">
        <f>'BionTech Adjusted'!J78/AVERAGE('BionTech Adjusted'!I65:J65)</f>
        <v>4.2095858538855273</v>
      </c>
      <c r="K69" s="11">
        <f>'BionTech Adjusted'!K78/AVERAGE('BionTech Adjusted'!J65:K65)</f>
        <v>2.0346218821425022</v>
      </c>
      <c r="L69" s="11"/>
      <c r="M69" s="11"/>
      <c r="N69" s="11"/>
      <c r="O69" s="11"/>
      <c r="P69" s="11"/>
    </row>
    <row r="71" spans="2:16" x14ac:dyDescent="0.45">
      <c r="B71" s="4" t="s">
        <v>34</v>
      </c>
    </row>
    <row r="72" spans="2:16" x14ac:dyDescent="0.45">
      <c r="B72" s="7" t="s">
        <v>369</v>
      </c>
      <c r="C72" s="8"/>
      <c r="D72" s="8"/>
      <c r="E72" s="8"/>
      <c r="F72" s="8"/>
      <c r="G72" s="8"/>
      <c r="H72" s="8"/>
      <c r="I72" s="8"/>
      <c r="J72" s="8"/>
      <c r="K72" s="8"/>
      <c r="L72" s="8"/>
      <c r="M72" s="8"/>
      <c r="N72" s="8"/>
      <c r="O72" s="8"/>
      <c r="P72" s="8"/>
    </row>
    <row r="73" spans="2:16" x14ac:dyDescent="0.45">
      <c r="B73" s="6" t="s">
        <v>400</v>
      </c>
      <c r="C73" s="11"/>
      <c r="D73" s="11"/>
      <c r="E73" s="11">
        <f>AVERAGE('BionTech Adjusted'!D60+'BionTech Adjusted'!D65,'BionTech Adjusted'!E60+'BionTech Adjusted'!E65)/AVERAGE('BionTech Adjusted'!D143:E143)</f>
        <v>-47.774651333496514</v>
      </c>
      <c r="F73" s="11">
        <f>AVERAGE('BionTech Adjusted'!E60+'BionTech Adjusted'!E65,'BionTech Adjusted'!F60+'BionTech Adjusted'!F65)/AVERAGE('BionTech Adjusted'!E143:F143)</f>
        <v>3.6971077817490428</v>
      </c>
      <c r="G73" s="11">
        <f>AVERAGE('BionTech Adjusted'!F60+'BionTech Adjusted'!F65,'BionTech Adjusted'!G60+'BionTech Adjusted'!G65)/AVERAGE('BionTech Adjusted'!F143:G143)</f>
        <v>0.90749278098914909</v>
      </c>
      <c r="H73" s="11">
        <f>AVERAGE('BionTech Adjusted'!G60+'BionTech Adjusted'!G65,'BionTech Adjusted'!H60+'BionTech Adjusted'!H65)/AVERAGE('BionTech Adjusted'!G143:H143)</f>
        <v>0.67064834889121905</v>
      </c>
      <c r="I73" s="11">
        <f>AVERAGE('BionTech Adjusted'!H60+'BionTech Adjusted'!H65,'BionTech Adjusted'!I60+'BionTech Adjusted'!I65)/AVERAGE('BionTech Adjusted'!H143:I143)</f>
        <v>0.36816554219592179</v>
      </c>
      <c r="J73" s="11">
        <f>AVERAGE('BionTech Adjusted'!I60+'BionTech Adjusted'!I65,'BionTech Adjusted'!J60+'BionTech Adjusted'!J65)/AVERAGE('BionTech Adjusted'!I143:J143)</f>
        <v>0.22412384621885303</v>
      </c>
      <c r="K73" s="11">
        <f>AVERAGE('BionTech Adjusted'!J60+'BionTech Adjusted'!J65,'BionTech Adjusted'!K60+'BionTech Adjusted'!K65)/AVERAGE('BionTech Adjusted'!J143:K143)</f>
        <v>0.14847834447849334</v>
      </c>
      <c r="L73" s="11"/>
      <c r="M73" s="11"/>
      <c r="N73" s="11"/>
      <c r="O73" s="11"/>
      <c r="P73" s="11"/>
    </row>
    <row r="74" spans="2:16" x14ac:dyDescent="0.45">
      <c r="B74" s="6" t="s">
        <v>35</v>
      </c>
      <c r="C74" s="11"/>
      <c r="D74" s="11"/>
      <c r="E74" s="11">
        <f>AVERAGE('BionTech Adjusted'!D139:E139)/AVERAGE('BionTech Adjusted'!D143:E143)</f>
        <v>0</v>
      </c>
      <c r="F74" s="11">
        <f>AVERAGE('BionTech Adjusted'!E139:F139)/AVERAGE('BionTech Adjusted'!E143:F143)</f>
        <v>0</v>
      </c>
      <c r="G74" s="11">
        <f>AVERAGE('BionTech Adjusted'!F139:G139)/AVERAGE('BionTech Adjusted'!F143:G143)</f>
        <v>9.758288055627147E-2</v>
      </c>
      <c r="H74" s="11">
        <f>AVERAGE('BionTech Adjusted'!G139:H139)/AVERAGE('BionTech Adjusted'!G143:H143)</f>
        <v>0.16850498474233519</v>
      </c>
      <c r="I74" s="11">
        <f>AVERAGE('BionTech Adjusted'!H139:I139)/AVERAGE('BionTech Adjusted'!H143:I143)</f>
        <v>4.0827710979608758E-2</v>
      </c>
      <c r="J74" s="11">
        <f>AVERAGE('BionTech Adjusted'!I139:J139)/AVERAGE('BionTech Adjusted'!I143:J143)</f>
        <v>1.6078599531132141E-2</v>
      </c>
      <c r="K74" s="11">
        <f>AVERAGE('BionTech Adjusted'!J139:K139)/AVERAGE('BionTech Adjusted'!J143:K143)</f>
        <v>1.0701834919295806E-2</v>
      </c>
      <c r="L74" s="11"/>
      <c r="M74" s="11"/>
      <c r="N74" s="11"/>
      <c r="O74" s="11"/>
      <c r="P74" s="11"/>
    </row>
    <row r="75" spans="2:16" x14ac:dyDescent="0.45">
      <c r="B75" s="6" t="s">
        <v>36</v>
      </c>
      <c r="C75" s="11"/>
      <c r="D75" s="11"/>
      <c r="E75" s="11">
        <f>AVERAGE('BionTech Adjusted'!D139:E139)/AVERAGE('BionTech Adjusted'!D144:E144)</f>
        <v>0</v>
      </c>
      <c r="F75" s="11">
        <f>AVERAGE('BionTech Adjusted'!E139:F139)/AVERAGE('BionTech Adjusted'!E144:F144)</f>
        <v>0</v>
      </c>
      <c r="G75" s="11">
        <f>AVERAGE('BionTech Adjusted'!F139:G139)/AVERAGE('BionTech Adjusted'!F144:G144)</f>
        <v>8.8907072335908707E-2</v>
      </c>
      <c r="H75" s="11">
        <f>AVERAGE('BionTech Adjusted'!G139:H139)/AVERAGE('BionTech Adjusted'!G144:H144)</f>
        <v>0.14420561909668869</v>
      </c>
      <c r="I75" s="11">
        <f>AVERAGE('BionTech Adjusted'!H139:I139)/AVERAGE('BionTech Adjusted'!H144:I144)</f>
        <v>3.9226195218402135E-2</v>
      </c>
      <c r="J75" s="11">
        <f>AVERAGE('BionTech Adjusted'!I139:J139)/AVERAGE('BionTech Adjusted'!I144:J144)</f>
        <v>1.5824169053999939E-2</v>
      </c>
      <c r="K75" s="11">
        <f>AVERAGE('BionTech Adjusted'!J139:K139)/AVERAGE('BionTech Adjusted'!J144:K144)</f>
        <v>1.0588518343939035E-2</v>
      </c>
      <c r="L75" s="11"/>
      <c r="M75" s="11"/>
      <c r="N75" s="11"/>
      <c r="O75" s="11"/>
      <c r="P75" s="11"/>
    </row>
    <row r="76" spans="2:16" x14ac:dyDescent="0.45">
      <c r="B76" s="6" t="s">
        <v>37</v>
      </c>
      <c r="C76" s="11"/>
      <c r="D76" s="11"/>
      <c r="E76" s="11">
        <f>('BionTech Adjusted'!E17-'BionTech Adjusted'!E16-'BionTech Adjusted'!E14+-'BionTech Adjusted'!E14)/'BionTech Adjusted'!E14</f>
        <v>1.2102843902985898</v>
      </c>
      <c r="F76" s="11">
        <f>('BionTech Adjusted'!F17-'BionTech Adjusted'!F16-'BionTech Adjusted'!F14+-'BionTech Adjusted'!F14)/'BionTech Adjusted'!F14</f>
        <v>23.694339622641511</v>
      </c>
      <c r="G76" s="11">
        <f>('BionTech Adjusted'!G17-'BionTech Adjusted'!G16-'BionTech Adjusted'!G14+-'BionTech Adjusted'!G14)/'BionTech Adjusted'!G14</f>
        <v>87.7</v>
      </c>
      <c r="H76" s="11">
        <f>('BionTech Adjusted'!H17-'BionTech Adjusted'!H16-'BionTech Adjusted'!H14+-'BionTech Adjusted'!H14)/'BionTech Adjusted'!H14</f>
        <v>0.24307692307692194</v>
      </c>
      <c r="I76" s="11">
        <f>('BionTech Adjusted'!I17-'BionTech Adjusted'!I16-'BionTech Adjusted'!I14+-'BionTech Adjusted'!I14)/'BionTech Adjusted'!I14</f>
        <v>-51.316289741068502</v>
      </c>
      <c r="J76" s="11">
        <f>('BionTech Adjusted'!J17-'BionTech Adjusted'!J16-'BionTech Adjusted'!J14+-'BionTech Adjusted'!J14)/'BionTech Adjusted'!J14</f>
        <v>-687.40211640211635</v>
      </c>
      <c r="K76" s="11">
        <f>('BionTech Adjusted'!K17-'BionTech Adjusted'!K16-'BionTech Adjusted'!K14+-'BionTech Adjusted'!K14)/'BionTech Adjusted'!K14</f>
        <v>-51.627615062761514</v>
      </c>
      <c r="L76" s="11"/>
      <c r="M76" s="11"/>
      <c r="N76" s="11"/>
      <c r="O76" s="11"/>
      <c r="P76" s="11"/>
    </row>
    <row r="77" spans="2:16" x14ac:dyDescent="0.45">
      <c r="B77" s="6" t="s">
        <v>401</v>
      </c>
      <c r="C77" s="11"/>
      <c r="D77" s="11"/>
      <c r="E77" s="11">
        <f>('BionTech Adjusted'!E78-E76)/-E78</f>
        <v>765.43802656908042</v>
      </c>
      <c r="F77" s="11">
        <f>('BionTech Adjusted'!F78-F76)/-F78</f>
        <v>-428.68120554677375</v>
      </c>
      <c r="G77" s="11">
        <f>('BionTech Adjusted'!G78-G76)/-G78</f>
        <v>1396.4184285263491</v>
      </c>
      <c r="H77" s="11">
        <f>('BionTech Adjusted'!H78-H76)/-H78</f>
        <v>1.3559506806191153</v>
      </c>
      <c r="I77" s="11">
        <f>('BionTech Adjusted'!I78-I76)/-I78</f>
        <v>0.2774954842122434</v>
      </c>
      <c r="J77" s="11">
        <f>('BionTech Adjusted'!J78-J76)/-J78</f>
        <v>3.4154683219408839</v>
      </c>
      <c r="K77" s="11">
        <f>('BionTech Adjusted'!K78-K76)/-K78</f>
        <v>10.979911084032363</v>
      </c>
      <c r="L77" s="11"/>
      <c r="M77" s="11"/>
      <c r="N77" s="11"/>
      <c r="O77" s="11"/>
      <c r="P77" s="11"/>
    </row>
    <row r="78" spans="2:16" x14ac:dyDescent="0.45">
      <c r="B78" s="6" t="s">
        <v>402</v>
      </c>
      <c r="C78" s="11"/>
      <c r="D78" s="11"/>
      <c r="E78" s="11">
        <f>'BionTech Adjusted'!E72-(1-'BionTech Adjusted'!E103)*('BionTech Adjusted'!E85/'BionTech Adjusted'!E103)</f>
        <v>7.2967741935483721E-2</v>
      </c>
      <c r="F78" s="11">
        <f>'BionTech Adjusted'!F72-(1-'BionTech Adjusted'!F103)*('BionTech Adjusted'!F85/'BionTech Adjusted'!F103)</f>
        <v>-0.19716129032258106</v>
      </c>
      <c r="G78" s="11">
        <f>'BionTech Adjusted'!G72-(1-'BionTech Adjusted'!G103)*('BionTech Adjusted'!G85/'BionTech Adjusted'!G103)</f>
        <v>0.2044516129032258</v>
      </c>
      <c r="H78" s="11">
        <f>'BionTech Adjusted'!H72-(1-'BionTech Adjusted'!H103)*('BionTech Adjusted'!H85/'BionTech Adjusted'!H103)</f>
        <v>8.5129032258064505</v>
      </c>
      <c r="I78" s="11">
        <f>'BionTech Adjusted'!I72-(1-'BionTech Adjusted'!I103)*('BionTech Adjusted'!I85/'BionTech Adjusted'!I103)</f>
        <v>-3430.7451612903228</v>
      </c>
      <c r="J78" s="11">
        <f>'BionTech Adjusted'!J72-(1-'BionTech Adjusted'!J103)*('BionTech Adjusted'!J85/'BionTech Adjusted'!J103)</f>
        <v>-4174.2451612903233</v>
      </c>
      <c r="K78" s="11">
        <f>'BionTech Adjusted'!K72-(1-'BionTech Adjusted'!K103)*('BionTech Adjusted'!K85/'BionTech Adjusted'!K103)</f>
        <v>-470.88064516129032</v>
      </c>
      <c r="L78" s="11"/>
      <c r="M78" s="11"/>
      <c r="N78" s="11"/>
      <c r="O78" s="11"/>
      <c r="P78" s="11"/>
    </row>
    <row r="79" spans="2:16" x14ac:dyDescent="0.45">
      <c r="B79" s="6" t="s">
        <v>403</v>
      </c>
      <c r="C79" s="19"/>
      <c r="D79" s="19"/>
      <c r="E79" s="19">
        <f>'BionTech Adjusted'!E85/'BionTech Adjusted'!E103</f>
        <v>-0.17096774193548367</v>
      </c>
      <c r="F79" s="19">
        <f>'BionTech Adjusted'!F85/'BionTech Adjusted'!F103</f>
        <v>-0.15483870967741878</v>
      </c>
      <c r="G79" s="19">
        <f>'BionTech Adjusted'!G85/'BionTech Adjusted'!G103</f>
        <v>-6.4516129032258064E-3</v>
      </c>
      <c r="H79" s="19">
        <f>'BionTech Adjusted'!H85/'BionTech Adjusted'!H103</f>
        <v>-11.612903225806452</v>
      </c>
      <c r="I79" s="19">
        <f>'BionTech Adjusted'!I85/'BionTech Adjusted'!I103</f>
        <v>-39.354838709677416</v>
      </c>
      <c r="J79" s="19">
        <f>'BionTech Adjusted'!J85/'BionTech Adjusted'!J103</f>
        <v>-69.354838709677423</v>
      </c>
      <c r="K79" s="19">
        <f>'BionTech Adjusted'!K85/'BionTech Adjusted'!K103</f>
        <v>-17.41935483870968</v>
      </c>
      <c r="L79" s="19"/>
      <c r="M79" s="19"/>
      <c r="N79" s="19"/>
      <c r="O79" s="19"/>
      <c r="P79" s="19"/>
    </row>
    <row r="80" spans="2:16" x14ac:dyDescent="0.45">
      <c r="C80" s="16"/>
      <c r="D80" s="16"/>
      <c r="E80" s="16"/>
      <c r="F80" s="16"/>
      <c r="G80" s="16"/>
      <c r="H80" s="16"/>
      <c r="I80" s="16"/>
      <c r="J80" s="16"/>
      <c r="K80" s="16"/>
      <c r="L80" s="11"/>
      <c r="M80" s="11"/>
      <c r="N80" s="11"/>
      <c r="O80" s="11"/>
      <c r="P80" s="11"/>
    </row>
    <row r="81" spans="2:16" x14ac:dyDescent="0.45">
      <c r="B81" s="4" t="s">
        <v>38</v>
      </c>
    </row>
    <row r="82" spans="2:16" x14ac:dyDescent="0.45">
      <c r="B82" s="7" t="s">
        <v>369</v>
      </c>
      <c r="C82" s="8"/>
      <c r="D82" s="8"/>
      <c r="E82" s="8"/>
      <c r="F82" s="8"/>
      <c r="G82" s="8"/>
      <c r="H82" s="8"/>
      <c r="I82" s="8"/>
      <c r="J82" s="8"/>
      <c r="K82" s="8"/>
      <c r="L82" s="8"/>
      <c r="M82" s="8"/>
      <c r="N82" s="8"/>
      <c r="O82" s="8"/>
      <c r="P82" s="8"/>
    </row>
    <row r="83" spans="2:16" x14ac:dyDescent="0.45">
      <c r="B83" s="6" t="s">
        <v>39</v>
      </c>
      <c r="C83" s="9"/>
      <c r="D83" s="9"/>
      <c r="E83" s="9">
        <f>E4</f>
        <v>10.514925373134339</v>
      </c>
      <c r="F83" s="9">
        <f t="shared" ref="F83:K83" si="16">F4</f>
        <v>-0.44117297549292944</v>
      </c>
      <c r="G83" s="9">
        <f t="shared" si="16"/>
        <v>-0.47127385955407824</v>
      </c>
      <c r="H83" s="9">
        <f t="shared" si="16"/>
        <v>1.6297716389712787E-2</v>
      </c>
      <c r="I83" s="9">
        <f t="shared" si="16"/>
        <v>1.5517696279823605</v>
      </c>
      <c r="J83" s="9">
        <f t="shared" si="16"/>
        <v>0.59058570923306608</v>
      </c>
      <c r="K83" s="9">
        <f t="shared" si="16"/>
        <v>4.6167016116025458E-2</v>
      </c>
      <c r="L83" s="9"/>
      <c r="M83" s="9"/>
      <c r="N83" s="9"/>
      <c r="O83" s="9"/>
      <c r="P83" s="9"/>
    </row>
    <row r="84" spans="2:16" x14ac:dyDescent="0.45">
      <c r="B84" s="6" t="s">
        <v>404</v>
      </c>
      <c r="C84" s="13"/>
      <c r="D84" s="13"/>
      <c r="E84" s="13">
        <f>-'BionTech Adjusted'!E89/'BionTech Adjusted'!E113</f>
        <v>0</v>
      </c>
      <c r="F84" s="13">
        <f>-'BionTech Adjusted'!F89/'BionTech Adjusted'!F113</f>
        <v>0</v>
      </c>
      <c r="G84" s="13">
        <f>-'BionTech Adjusted'!G89/'BionTech Adjusted'!G113</f>
        <v>0</v>
      </c>
      <c r="H84" s="13">
        <f>-'BionTech Adjusted'!H89/'BionTech Adjusted'!H113</f>
        <v>0</v>
      </c>
      <c r="I84" s="13">
        <f>-'BionTech Adjusted'!I89/'BionTech Adjusted'!I113</f>
        <v>0</v>
      </c>
      <c r="J84" s="13">
        <f>-'BionTech Adjusted'!J89/'BionTech Adjusted'!J113</f>
        <v>5.133341812939881E-2</v>
      </c>
      <c r="K84" s="13">
        <f>-'BionTech Adjusted'!K89/'BionTech Adjusted'!K113</f>
        <v>0</v>
      </c>
      <c r="L84" s="13"/>
      <c r="M84" s="13"/>
      <c r="N84" s="13"/>
      <c r="O84" s="13"/>
      <c r="P84" s="13"/>
    </row>
    <row r="85" spans="2:16" x14ac:dyDescent="0.45">
      <c r="B85" s="6" t="s">
        <v>38</v>
      </c>
      <c r="C85" s="9"/>
      <c r="D85" s="9"/>
      <c r="E85" s="9">
        <f t="shared" ref="E85:K85" si="17">(1-E84)*E83</f>
        <v>10.514925373134339</v>
      </c>
      <c r="F85" s="9">
        <f t="shared" si="17"/>
        <v>-0.44117297549292944</v>
      </c>
      <c r="G85" s="9">
        <f t="shared" si="17"/>
        <v>-0.47127385955407824</v>
      </c>
      <c r="H85" s="9">
        <f t="shared" si="17"/>
        <v>1.6297716389712787E-2</v>
      </c>
      <c r="I85" s="9">
        <f t="shared" si="17"/>
        <v>1.5517696279823605</v>
      </c>
      <c r="J85" s="9">
        <f t="shared" si="17"/>
        <v>0.56026892607975753</v>
      </c>
      <c r="K85" s="9">
        <f t="shared" si="17"/>
        <v>4.6167016116025458E-2</v>
      </c>
      <c r="L85" s="9"/>
      <c r="M85" s="9"/>
      <c r="N85" s="9"/>
      <c r="O85" s="9"/>
      <c r="P85" s="9"/>
    </row>
  </sheetData>
  <pageMargins left="0.7" right="0.7" top="0.75" bottom="0.75" header="0.3" footer="0.3"/>
  <pageSetup paperSize="9" orientation="portrait" verticalDpi="0" r:id="rId1"/>
  <ignoredErrors>
    <ignoredError sqref="E58:K60"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F829B-DBBE-4E1B-B66B-9E2F4F29AE29}">
  <dimension ref="B2:R84"/>
  <sheetViews>
    <sheetView showGridLines="0" topLeftCell="A51" workbookViewId="0">
      <selection activeCell="B61" sqref="B61"/>
    </sheetView>
  </sheetViews>
  <sheetFormatPr defaultColWidth="9.1328125" defaultRowHeight="14.25" x14ac:dyDescent="0.45"/>
  <cols>
    <col min="1" max="1" width="3.33203125" style="1" customWidth="1"/>
    <col min="2" max="2" width="41.33203125" style="1" customWidth="1"/>
    <col min="3" max="16" width="14" style="1" customWidth="1"/>
    <col min="17" max="16384" width="9.1328125" style="1"/>
  </cols>
  <sheetData>
    <row r="2" spans="2:18" x14ac:dyDescent="0.45">
      <c r="B2" s="4" t="s">
        <v>368</v>
      </c>
    </row>
    <row r="3" spans="2:18" x14ac:dyDescent="0.45">
      <c r="B3" s="7" t="s">
        <v>369</v>
      </c>
      <c r="C3" s="21">
        <v>2015</v>
      </c>
      <c r="D3" s="21">
        <f t="shared" ref="D3:Q3" si="0">C3+1</f>
        <v>2016</v>
      </c>
      <c r="E3" s="21">
        <f t="shared" si="0"/>
        <v>2017</v>
      </c>
      <c r="F3" s="21">
        <f t="shared" si="0"/>
        <v>2018</v>
      </c>
      <c r="G3" s="21">
        <f t="shared" si="0"/>
        <v>2019</v>
      </c>
      <c r="H3" s="21">
        <f t="shared" si="0"/>
        <v>2020</v>
      </c>
      <c r="I3" s="21">
        <f t="shared" si="0"/>
        <v>2021</v>
      </c>
      <c r="J3" s="21">
        <f t="shared" si="0"/>
        <v>2022</v>
      </c>
      <c r="K3" s="21">
        <f t="shared" si="0"/>
        <v>2023</v>
      </c>
      <c r="L3" s="22">
        <f t="shared" si="0"/>
        <v>2024</v>
      </c>
      <c r="M3" s="22">
        <f t="shared" si="0"/>
        <v>2025</v>
      </c>
      <c r="N3" s="22">
        <f t="shared" si="0"/>
        <v>2026</v>
      </c>
      <c r="O3" s="22">
        <f t="shared" si="0"/>
        <v>2027</v>
      </c>
      <c r="P3" s="22">
        <f t="shared" si="0"/>
        <v>2028</v>
      </c>
      <c r="Q3" s="22">
        <f t="shared" si="0"/>
        <v>2029</v>
      </c>
    </row>
    <row r="4" spans="2:18" x14ac:dyDescent="0.45">
      <c r="B4" s="6" t="s">
        <v>368</v>
      </c>
      <c r="C4" s="9"/>
      <c r="E4" s="93">
        <f>'Astra Zeneca Adjusted'!E18/AVERAGE(SUM('Astra Zeneca Adjusted'!D53:D55), SUM('Astra Zeneca Adjusted'!E53:E55))</f>
        <v>0.17148725144281127</v>
      </c>
      <c r="F4" s="93">
        <f>'Astra Zeneca Adjusted'!F18/AVERAGE(SUM('Astra Zeneca Adjusted'!E53:E55), SUM('Astra Zeneca Adjusted'!F53:F55))</f>
        <v>0.13301363021429494</v>
      </c>
      <c r="G4" s="93">
        <f>'Astra Zeneca Adjusted'!G18/AVERAGE(SUM('Astra Zeneca Adjusted'!F53:F55), SUM('Astra Zeneca Adjusted'!G53:G55))</f>
        <v>8.6743921046910949E-2</v>
      </c>
      <c r="H4" s="93">
        <f>'Astra Zeneca Adjusted'!H18/AVERAGE(SUM('Astra Zeneca Adjusted'!G53:G55), SUM('Astra Zeneca Adjusted'!H53:H55))</f>
        <v>0.21385319172184</v>
      </c>
      <c r="I4" s="93">
        <f>'Astra Zeneca Adjusted'!I18/AVERAGE(SUM('Astra Zeneca Adjusted'!H53:H55), SUM('Astra Zeneca Adjusted'!I53:I55))</f>
        <v>4.1109993053959869E-3</v>
      </c>
      <c r="J4" s="93">
        <f>'Astra Zeneca Adjusted'!J18/AVERAGE(SUM('Astra Zeneca Adjusted'!I53:I55), SUM('Astra Zeneca Adjusted'!J53:J55))</f>
        <v>9.0513365818056329E-2</v>
      </c>
      <c r="K4" s="93">
        <f>'Astra Zeneca Adjusted'!K18/AVERAGE(SUM('Astra Zeneca Adjusted'!J53:J55), SUM('Astra Zeneca Adjusted'!K53:K55))</f>
        <v>0.15727334195499859</v>
      </c>
      <c r="L4" s="9"/>
      <c r="M4" s="9"/>
      <c r="N4" s="9"/>
      <c r="O4" s="9"/>
      <c r="P4" s="9"/>
      <c r="R4" s="14"/>
    </row>
    <row r="5" spans="2:18" x14ac:dyDescent="0.45">
      <c r="B5" s="6"/>
      <c r="C5" s="9"/>
      <c r="D5" s="88"/>
      <c r="E5" s="88"/>
      <c r="F5" s="88"/>
      <c r="G5" s="88"/>
      <c r="H5" s="88"/>
      <c r="I5" s="88"/>
      <c r="J5" s="88"/>
      <c r="K5" s="88"/>
      <c r="L5" s="9"/>
      <c r="M5" s="9"/>
      <c r="N5" s="9"/>
      <c r="O5" s="9"/>
      <c r="P5" s="9"/>
      <c r="R5" s="14"/>
    </row>
    <row r="6" spans="2:18" x14ac:dyDescent="0.45">
      <c r="B6" s="4" t="s">
        <v>15</v>
      </c>
      <c r="D6" s="89"/>
      <c r="E6" s="89"/>
      <c r="F6" s="89"/>
      <c r="G6" s="89"/>
      <c r="H6" s="89"/>
      <c r="I6" s="89"/>
      <c r="J6" s="89"/>
      <c r="K6" s="89"/>
    </row>
    <row r="7" spans="2:18" x14ac:dyDescent="0.45">
      <c r="B7" s="7" t="s">
        <v>369</v>
      </c>
      <c r="C7" s="8"/>
      <c r="D7" s="90"/>
      <c r="E7" s="90"/>
      <c r="F7" s="90"/>
      <c r="G7" s="90"/>
      <c r="H7" s="90"/>
      <c r="I7" s="90"/>
      <c r="J7" s="90"/>
      <c r="K7" s="90"/>
      <c r="L7" s="8"/>
      <c r="M7" s="8"/>
      <c r="N7" s="8"/>
      <c r="O7" s="8"/>
      <c r="P7" s="8"/>
    </row>
    <row r="8" spans="2:18" x14ac:dyDescent="0.45">
      <c r="B8" s="6" t="s">
        <v>16</v>
      </c>
      <c r="C8" s="9"/>
      <c r="D8" s="88"/>
      <c r="E8" s="93">
        <f>'Astra Zeneca Adjusted'!E18/'Astra Zeneca Adjusted'!E9</f>
        <v>0.12766525246635158</v>
      </c>
      <c r="F8" s="93">
        <f>'Astra Zeneca Adjusted'!F18/'Astra Zeneca Adjusted'!F9</f>
        <v>9.2802147106146871E-2</v>
      </c>
      <c r="G8" s="93">
        <f>'Astra Zeneca Adjusted'!G18/'Astra Zeneca Adjusted'!G9</f>
        <v>5.0319815192079037E-2</v>
      </c>
      <c r="H8" s="93">
        <f>'Astra Zeneca Adjusted'!H18/'Astra Zeneca Adjusted'!H9</f>
        <v>0.11811994072108972</v>
      </c>
      <c r="I8" s="93">
        <f>'Astra Zeneca Adjusted'!I18/'Astra Zeneca Adjusted'!I9</f>
        <v>3.073472791101563E-3</v>
      </c>
      <c r="J8" s="93">
        <f>'Astra Zeneca Adjusted'!J18/'Astra Zeneca Adjusted'!J9</f>
        <v>7.4248582454083722E-2</v>
      </c>
      <c r="K8" s="93">
        <f>'Astra Zeneca Adjusted'!K18/'Astra Zeneca Adjusted'!K9</f>
        <v>0.13012158440668298</v>
      </c>
      <c r="L8" s="9"/>
      <c r="M8" s="9"/>
      <c r="N8" s="9"/>
      <c r="O8" s="9"/>
      <c r="P8" s="9"/>
    </row>
    <row r="9" spans="2:18" x14ac:dyDescent="0.45">
      <c r="B9" s="6" t="s">
        <v>17</v>
      </c>
      <c r="C9" s="10"/>
      <c r="D9" s="91"/>
      <c r="E9" s="91">
        <f>'Astra Zeneca Adjusted'!E9/AVERAGE('Astra Zeneca Adjusted'!D50:E50)</f>
        <v>0.35562969298454566</v>
      </c>
      <c r="F9" s="91">
        <f>'Astra Zeneca Adjusted'!F9/AVERAGE('Astra Zeneca Adjusted'!E50:F50)</f>
        <v>0.35415119640792231</v>
      </c>
      <c r="G9" s="91">
        <f>'Astra Zeneca Adjusted'!G9/AVERAGE('Astra Zeneca Adjusted'!F50:G50)</f>
        <v>0.40464257345038918</v>
      </c>
      <c r="H9" s="91">
        <f>'Astra Zeneca Adjusted'!H9/AVERAGE('Astra Zeneca Adjusted'!G50:H50)</f>
        <v>0.42742084307269279</v>
      </c>
      <c r="I9" s="91">
        <f>'Astra Zeneca Adjusted'!I9/AVERAGE('Astra Zeneca Adjusted'!H50:I50)</f>
        <v>0.43007934528509101</v>
      </c>
      <c r="J9" s="91">
        <f>'Astra Zeneca Adjusted'!J9/AVERAGE('Astra Zeneca Adjusted'!I50:J50)</f>
        <v>0.46130156809550199</v>
      </c>
      <c r="K9" s="91">
        <f>'Astra Zeneca Adjusted'!K9/AVERAGE('Astra Zeneca Adjusted'!J50:K50)</f>
        <v>0.46620345636340227</v>
      </c>
      <c r="L9" s="10"/>
      <c r="M9" s="10"/>
      <c r="N9" s="10"/>
      <c r="O9" s="10"/>
      <c r="P9" s="10"/>
    </row>
    <row r="10" spans="2:18" x14ac:dyDescent="0.45">
      <c r="B10" s="6" t="s">
        <v>18</v>
      </c>
      <c r="C10" s="9"/>
      <c r="D10" s="88"/>
      <c r="E10" s="88">
        <f t="shared" ref="E10:K10" si="1">E8*E9</f>
        <v>4.5401554539403123E-2</v>
      </c>
      <c r="F10" s="88">
        <f t="shared" si="1"/>
        <v>3.2865991426865922E-2</v>
      </c>
      <c r="G10" s="88">
        <f t="shared" si="1"/>
        <v>2.0361539514870852E-2</v>
      </c>
      <c r="H10" s="88">
        <f t="shared" si="1"/>
        <v>5.0486924646704665E-2</v>
      </c>
      <c r="I10" s="88">
        <f t="shared" si="1"/>
        <v>1.3218371657485015E-3</v>
      </c>
      <c r="J10" s="88">
        <f t="shared" si="1"/>
        <v>3.4250987514936999E-2</v>
      </c>
      <c r="K10" s="88">
        <f t="shared" si="1"/>
        <v>6.0663132397877795E-2</v>
      </c>
      <c r="L10" s="9"/>
      <c r="M10" s="9"/>
      <c r="N10" s="9"/>
      <c r="O10" s="9"/>
      <c r="P10" s="9"/>
    </row>
    <row r="11" spans="2:18" x14ac:dyDescent="0.45">
      <c r="B11" s="6" t="s">
        <v>370</v>
      </c>
      <c r="C11" s="10"/>
      <c r="D11" s="91"/>
      <c r="E11" s="91">
        <f>AVERAGE('Astra Zeneca Adjusted'!D50:E50)/AVERAGE(SUM('Astra Zeneca Adjusted'!D53:D55),SUM('Astra Zeneca Adjusted'!E53:E55))</f>
        <v>3.7771229021239976</v>
      </c>
      <c r="F11" s="91">
        <f>AVERAGE('Astra Zeneca Adjusted'!E50:F50)/AVERAGE(SUM('Astra Zeneca Adjusted'!E53:E55),SUM('Astra Zeneca Adjusted'!F53:F55))</f>
        <v>4.0471510044137746</v>
      </c>
      <c r="G11" s="91">
        <f>AVERAGE('Astra Zeneca Adjusted'!F50:G50)/AVERAGE(SUM('Astra Zeneca Adjusted'!F53:F55),SUM('Astra Zeneca Adjusted'!G53:G55))</f>
        <v>4.2601847951407787</v>
      </c>
      <c r="H11" s="91">
        <f>AVERAGE('Astra Zeneca Adjusted'!G50:H50)/AVERAGE(SUM('Astra Zeneca Adjusted'!G53:G55),SUM('Astra Zeneca Adjusted'!H53:H55))</f>
        <v>4.23581339561348</v>
      </c>
      <c r="I11" s="91">
        <f>AVERAGE('Astra Zeneca Adjusted'!H50:I50)/AVERAGE(SUM('Astra Zeneca Adjusted'!H53:H55),SUM('Astra Zeneca Adjusted'!I53:I55))</f>
        <v>3.1100648490754899</v>
      </c>
      <c r="J11" s="91">
        <f>AVERAGE('Astra Zeneca Adjusted'!I50:J50)/AVERAGE(SUM('Astra Zeneca Adjusted'!I53:I55),SUM('Astra Zeneca Adjusted'!J53:J55))</f>
        <v>2.6426498149457172</v>
      </c>
      <c r="K11" s="91">
        <f>AVERAGE('Astra Zeneca Adjusted'!J50:K50)/AVERAGE(SUM('Astra Zeneca Adjusted'!J53:J55),SUM('Astra Zeneca Adjusted'!K53:K55))</f>
        <v>2.5925687602722696</v>
      </c>
      <c r="L11" s="10"/>
      <c r="M11" s="10"/>
      <c r="N11" s="10"/>
      <c r="O11" s="10"/>
      <c r="P11" s="10"/>
    </row>
    <row r="12" spans="2:18" x14ac:dyDescent="0.45">
      <c r="B12" s="6" t="s">
        <v>20</v>
      </c>
      <c r="C12" s="9"/>
      <c r="D12" s="88"/>
      <c r="E12" s="93">
        <f t="shared" ref="E12:K12" si="2">E10*E11</f>
        <v>0.17148725144281129</v>
      </c>
      <c r="F12" s="93">
        <f t="shared" si="2"/>
        <v>0.13301363021429491</v>
      </c>
      <c r="G12" s="93">
        <f t="shared" si="2"/>
        <v>8.6743921046910949E-2</v>
      </c>
      <c r="H12" s="93">
        <f t="shared" si="2"/>
        <v>0.21385319172183997</v>
      </c>
      <c r="I12" s="93">
        <f t="shared" si="2"/>
        <v>4.1109993053959869E-3</v>
      </c>
      <c r="J12" s="93">
        <f t="shared" si="2"/>
        <v>9.0513365818056329E-2</v>
      </c>
      <c r="K12" s="93">
        <f t="shared" si="2"/>
        <v>0.15727334195499859</v>
      </c>
      <c r="L12" s="9"/>
      <c r="M12" s="9"/>
      <c r="N12" s="9"/>
      <c r="O12" s="9"/>
      <c r="P12" s="9"/>
    </row>
    <row r="13" spans="2:18" x14ac:dyDescent="0.45">
      <c r="D13" s="89"/>
      <c r="E13" s="89"/>
      <c r="F13" s="89"/>
      <c r="G13" s="89"/>
      <c r="H13" s="89"/>
      <c r="I13" s="89"/>
      <c r="J13" s="89"/>
      <c r="K13" s="89"/>
    </row>
    <row r="14" spans="2:18" x14ac:dyDescent="0.45">
      <c r="B14" s="4" t="s">
        <v>371</v>
      </c>
      <c r="D14" s="89"/>
      <c r="E14" s="89"/>
      <c r="F14" s="89"/>
      <c r="G14" s="89"/>
      <c r="H14" s="89"/>
      <c r="I14" s="89"/>
      <c r="J14" s="89"/>
      <c r="K14" s="89"/>
    </row>
    <row r="15" spans="2:18" x14ac:dyDescent="0.45">
      <c r="B15" s="7" t="s">
        <v>369</v>
      </c>
      <c r="C15" s="8"/>
      <c r="D15" s="90"/>
      <c r="E15" s="90"/>
      <c r="F15" s="90"/>
      <c r="G15" s="90"/>
      <c r="H15" s="90"/>
      <c r="I15" s="90"/>
      <c r="J15" s="90"/>
      <c r="K15" s="90"/>
      <c r="L15" s="8"/>
      <c r="M15" s="8"/>
      <c r="N15" s="8"/>
      <c r="O15" s="8"/>
      <c r="P15" s="8"/>
    </row>
    <row r="16" spans="2:18" x14ac:dyDescent="0.45">
      <c r="B16" s="6" t="s">
        <v>22</v>
      </c>
      <c r="C16" s="9"/>
      <c r="D16" s="88"/>
      <c r="E16" s="93">
        <f>'Astra Zeneca Adjusted'!E101/'Astra Zeneca Adjusted'!E96</f>
        <v>0.12766525246635158</v>
      </c>
      <c r="F16" s="93">
        <f>'Astra Zeneca Adjusted'!F101/'Astra Zeneca Adjusted'!F96</f>
        <v>9.2802147106146871E-2</v>
      </c>
      <c r="G16" s="93">
        <f>'Astra Zeneca Adjusted'!G101/'Astra Zeneca Adjusted'!G96</f>
        <v>5.0319815192079037E-2</v>
      </c>
      <c r="H16" s="93">
        <f>'Astra Zeneca Adjusted'!H101/'Astra Zeneca Adjusted'!H96</f>
        <v>0.11811994072108972</v>
      </c>
      <c r="I16" s="93">
        <f>'Astra Zeneca Adjusted'!I101/'Astra Zeneca Adjusted'!I96</f>
        <v>3.073472791101563E-3</v>
      </c>
      <c r="J16" s="93">
        <f>'Astra Zeneca Adjusted'!J101/'Astra Zeneca Adjusted'!J96</f>
        <v>7.4248582454083722E-2</v>
      </c>
      <c r="K16" s="93">
        <f>'Astra Zeneca Adjusted'!K101/'Astra Zeneca Adjusted'!K96</f>
        <v>0.13012158440668298</v>
      </c>
      <c r="L16" s="9"/>
      <c r="M16" s="9"/>
      <c r="N16" s="9"/>
      <c r="O16" s="9"/>
      <c r="P16" s="9"/>
    </row>
    <row r="17" spans="2:16" x14ac:dyDescent="0.45">
      <c r="B17" s="6" t="s">
        <v>23</v>
      </c>
      <c r="C17" s="10"/>
      <c r="D17" s="91"/>
      <c r="E17" s="91">
        <f>'Astra Zeneca Adjusted'!E96/AVERAGE('Astra Zeneca Adjusted'!D124+'Astra Zeneca Adjusted'!D130,'Astra Zeneca Adjusted'!E124+'Astra Zeneca Adjusted'!E130)</f>
        <v>0.68753094319221608</v>
      </c>
      <c r="F17" s="91">
        <f>'Astra Zeneca Adjusted'!F96/AVERAGE('Astra Zeneca Adjusted'!E124+'Astra Zeneca Adjusted'!E130,'Astra Zeneca Adjusted'!F124+'Astra Zeneca Adjusted'!F130)</f>
        <v>0.65390184672170504</v>
      </c>
      <c r="G17" s="91">
        <f>'Astra Zeneca Adjusted'!G96/AVERAGE('Astra Zeneca Adjusted'!F124+'Astra Zeneca Adjusted'!F130,'Astra Zeneca Adjusted'!G124+'Astra Zeneca Adjusted'!G130)</f>
        <v>0.76102786302847092</v>
      </c>
      <c r="H17" s="91">
        <f>'Astra Zeneca Adjusted'!H96/AVERAGE('Astra Zeneca Adjusted'!G124+'Astra Zeneca Adjusted'!G130,'Astra Zeneca Adjusted'!H124+'Astra Zeneca Adjusted'!H130)</f>
        <v>0.82850142508729452</v>
      </c>
      <c r="I17" s="91">
        <f>'Astra Zeneca Adjusted'!I96/AVERAGE('Astra Zeneca Adjusted'!H124+'Astra Zeneca Adjusted'!H130,'Astra Zeneca Adjusted'!I124+'Astra Zeneca Adjusted'!I130)</f>
        <v>0.71431684953183361</v>
      </c>
      <c r="J17" s="91">
        <f>'Astra Zeneca Adjusted'!J96/AVERAGE('Astra Zeneca Adjusted'!I124+'Astra Zeneca Adjusted'!I130,'Astra Zeneca Adjusted'!J124+'Astra Zeneca Adjusted'!J130)</f>
        <v>0.69730987923201859</v>
      </c>
      <c r="K17" s="91">
        <f>'Astra Zeneca Adjusted'!K96/AVERAGE('Astra Zeneca Adjusted'!J124+'Astra Zeneca Adjusted'!J130,'Astra Zeneca Adjusted'!K124+'Astra Zeneca Adjusted'!K130)</f>
        <v>0.71170839176417577</v>
      </c>
      <c r="L17" s="10"/>
      <c r="M17" s="10"/>
      <c r="N17" s="10"/>
      <c r="O17" s="10"/>
      <c r="P17" s="10"/>
    </row>
    <row r="18" spans="2:16" x14ac:dyDescent="0.45">
      <c r="B18" s="6" t="s">
        <v>24</v>
      </c>
      <c r="C18" s="9"/>
      <c r="D18" s="88"/>
      <c r="E18" s="93">
        <f t="shared" ref="E18:K18" si="3">E16*E17</f>
        <v>8.7773811441063082E-2</v>
      </c>
      <c r="F18" s="93">
        <f t="shared" si="3"/>
        <v>6.0683495372448777E-2</v>
      </c>
      <c r="G18" s="93">
        <f t="shared" si="3"/>
        <v>3.8294781423615497E-2</v>
      </c>
      <c r="H18" s="93">
        <f t="shared" si="3"/>
        <v>9.7862539218649583E-2</v>
      </c>
      <c r="I18" s="93">
        <f t="shared" si="3"/>
        <v>2.1954334012614799E-3</v>
      </c>
      <c r="J18" s="93">
        <f t="shared" si="3"/>
        <v>5.1774270064205694E-2</v>
      </c>
      <c r="K18" s="93">
        <f t="shared" si="3"/>
        <v>9.2608623571886789E-2</v>
      </c>
      <c r="L18" s="9"/>
      <c r="M18" s="9"/>
      <c r="N18" s="9"/>
      <c r="O18" s="9"/>
      <c r="P18" s="9"/>
    </row>
    <row r="19" spans="2:16" x14ac:dyDescent="0.45">
      <c r="B19" s="4"/>
      <c r="C19" s="9"/>
      <c r="D19" s="88"/>
      <c r="E19" s="88"/>
      <c r="F19" s="88"/>
      <c r="G19" s="88"/>
      <c r="H19" s="88"/>
      <c r="I19" s="88"/>
      <c r="J19" s="88"/>
      <c r="K19" s="88"/>
      <c r="L19" s="9"/>
      <c r="M19" s="9"/>
      <c r="N19" s="9"/>
      <c r="O19" s="9"/>
      <c r="P19" s="9"/>
    </row>
    <row r="20" spans="2:16" x14ac:dyDescent="0.45">
      <c r="B20" s="4" t="s">
        <v>372</v>
      </c>
      <c r="D20" s="89"/>
      <c r="E20" s="89"/>
      <c r="F20" s="89"/>
      <c r="G20" s="89"/>
      <c r="H20" s="89"/>
      <c r="I20" s="89"/>
      <c r="J20" s="89"/>
      <c r="K20" s="89"/>
    </row>
    <row r="21" spans="2:16" x14ac:dyDescent="0.45">
      <c r="B21" s="7"/>
      <c r="C21" s="8"/>
      <c r="D21" s="90"/>
      <c r="E21" s="90"/>
      <c r="F21" s="90"/>
      <c r="G21" s="90"/>
      <c r="H21" s="90"/>
      <c r="I21" s="90"/>
      <c r="J21" s="90"/>
      <c r="K21" s="90"/>
      <c r="L21" s="8"/>
      <c r="M21" s="8"/>
      <c r="N21" s="8"/>
      <c r="O21" s="8"/>
      <c r="P21" s="8"/>
    </row>
    <row r="22" spans="2:16" x14ac:dyDescent="0.45">
      <c r="B22" s="3" t="s">
        <v>373</v>
      </c>
      <c r="D22" s="89"/>
      <c r="E22" s="89"/>
      <c r="F22" s="89"/>
      <c r="G22" s="89"/>
      <c r="H22" s="89"/>
      <c r="I22" s="89"/>
      <c r="J22" s="89"/>
      <c r="K22" s="89"/>
    </row>
    <row r="23" spans="2:16" x14ac:dyDescent="0.45">
      <c r="B23" s="6" t="s">
        <v>96</v>
      </c>
      <c r="C23" s="9"/>
      <c r="D23" s="88"/>
      <c r="E23" s="88">
        <f>'Astra Zeneca Adjusted'!E9/'Astra Zeneca Adjusted'!E9</f>
        <v>1</v>
      </c>
      <c r="F23" s="88">
        <f>'Astra Zeneca Adjusted'!F9/'Astra Zeneca Adjusted'!F9</f>
        <v>1</v>
      </c>
      <c r="G23" s="88">
        <f>'Astra Zeneca Adjusted'!G9/'Astra Zeneca Adjusted'!G9</f>
        <v>1</v>
      </c>
      <c r="H23" s="88">
        <f>'Astra Zeneca Adjusted'!H9/'Astra Zeneca Adjusted'!H9</f>
        <v>1</v>
      </c>
      <c r="I23" s="88">
        <f>'Astra Zeneca Adjusted'!I9/'Astra Zeneca Adjusted'!I9</f>
        <v>1</v>
      </c>
      <c r="J23" s="88">
        <f>'Astra Zeneca Adjusted'!J9/'Astra Zeneca Adjusted'!J9</f>
        <v>1</v>
      </c>
      <c r="K23" s="88">
        <f>'Astra Zeneca Adjusted'!K9/'Astra Zeneca Adjusted'!K9</f>
        <v>1</v>
      </c>
      <c r="L23" s="9"/>
      <c r="M23" s="9"/>
      <c r="N23" s="9"/>
      <c r="O23" s="9"/>
      <c r="P23" s="9"/>
    </row>
    <row r="24" spans="2:16" x14ac:dyDescent="0.45">
      <c r="B24" s="6" t="s">
        <v>374</v>
      </c>
      <c r="C24" s="9"/>
      <c r="D24" s="88"/>
      <c r="E24" s="88">
        <f>'Astra Zeneca Adjusted'!E10/'Astra Zeneca Adjusted'!E9</f>
        <v>-0.8706877777667914</v>
      </c>
      <c r="F24" s="88">
        <f>'Astra Zeneca Adjusted'!F10/'Astra Zeneca Adjusted'!F9</f>
        <v>-0.94956992449076327</v>
      </c>
      <c r="G24" s="88">
        <f>'Astra Zeneca Adjusted'!G10/'Astra Zeneca Adjusted'!G9</f>
        <v>-0.89763783756810156</v>
      </c>
      <c r="H24" s="88">
        <f>'Astra Zeneca Adjusted'!H10/'Astra Zeneca Adjusted'!H9</f>
        <v>-0.85539318537535014</v>
      </c>
      <c r="I24" s="88">
        <f>'Astra Zeneca Adjusted'!I10/'Astra Zeneca Adjusted'!I9</f>
        <v>-0.93588473856241461</v>
      </c>
      <c r="J24" s="88">
        <f>'Astra Zeneca Adjusted'!J10/'Astra Zeneca Adjusted'!J9</f>
        <v>-0.81001553502574142</v>
      </c>
      <c r="K24" s="88">
        <f>'Astra Zeneca Adjusted'!K10/'Astra Zeneca Adjusted'!K9</f>
        <v>-0.79651175909133398</v>
      </c>
      <c r="L24" s="9"/>
      <c r="M24" s="9"/>
      <c r="N24" s="9"/>
      <c r="O24" s="9"/>
      <c r="P24" s="9"/>
    </row>
    <row r="25" spans="2:16" x14ac:dyDescent="0.45">
      <c r="B25" s="6" t="s">
        <v>256</v>
      </c>
      <c r="C25" s="13"/>
      <c r="D25" s="91"/>
      <c r="E25" s="91">
        <f>'Astra Zeneca Adjusted'!E13/'Astra Zeneca Adjusted'!E9</f>
        <v>-9.1252886049256604E-3</v>
      </c>
      <c r="F25" s="91">
        <f>'Astra Zeneca Adjusted'!F13/'Astra Zeneca Adjusted'!F9</f>
        <v>7.2611978662465021E-2</v>
      </c>
      <c r="G25" s="91">
        <f>'Astra Zeneca Adjusted'!G13/'Astra Zeneca Adjusted'!G9</f>
        <v>-8.0790802058977179E-3</v>
      </c>
      <c r="H25" s="91">
        <f>'Astra Zeneca Adjusted'!H13/'Astra Zeneca Adjusted'!H9</f>
        <v>2.8365307248602509E-2</v>
      </c>
      <c r="I25" s="91">
        <f>'Astra Zeneca Adjusted'!I13/'Astra Zeneca Adjusted'!I9</f>
        <v>-7.0636356562523914E-2</v>
      </c>
      <c r="J25" s="91">
        <f>'Astra Zeneca Adjusted'!J13/'Astra Zeneca Adjusted'!J9</f>
        <v>-0.11463102210372618</v>
      </c>
      <c r="K25" s="91">
        <f>'Astra Zeneca Adjusted'!K13/'Astra Zeneca Adjusted'!K9</f>
        <v>-3.2590422413410584E-2</v>
      </c>
      <c r="L25" s="13"/>
      <c r="M25" s="13"/>
      <c r="N25" s="13"/>
      <c r="O25" s="13"/>
      <c r="P25" s="13"/>
    </row>
    <row r="26" spans="2:16" x14ac:dyDescent="0.45">
      <c r="B26" s="6" t="s">
        <v>375</v>
      </c>
      <c r="C26" s="9"/>
      <c r="D26" s="88"/>
      <c r="E26" s="88">
        <f t="shared" ref="E26:K26" si="4">SUM(E23:E25)</f>
        <v>0.12018693362828294</v>
      </c>
      <c r="F26" s="88">
        <f t="shared" si="4"/>
        <v>0.12304205417170175</v>
      </c>
      <c r="G26" s="88">
        <f t="shared" si="4"/>
        <v>9.4283082226000722E-2</v>
      </c>
      <c r="H26" s="88">
        <f t="shared" si="4"/>
        <v>0.17297212187325237</v>
      </c>
      <c r="I26" s="88">
        <f t="shared" si="4"/>
        <v>-6.5210951249385224E-3</v>
      </c>
      <c r="J26" s="88">
        <f t="shared" si="4"/>
        <v>7.5353442870532403E-2</v>
      </c>
      <c r="K26" s="88">
        <f t="shared" si="4"/>
        <v>0.17089781849525543</v>
      </c>
      <c r="L26" s="9"/>
      <c r="M26" s="9"/>
      <c r="N26" s="9"/>
      <c r="O26" s="9"/>
      <c r="P26" s="9"/>
    </row>
    <row r="27" spans="2:16" x14ac:dyDescent="0.45">
      <c r="B27" s="6" t="s">
        <v>376</v>
      </c>
      <c r="C27" s="9"/>
      <c r="D27" s="88"/>
      <c r="E27" s="88">
        <f>('Astra Zeneca Adjusted'!E12+'Astra Zeneca Adjusted'!E14)/'Astra Zeneca Adjusted'!E9</f>
        <v>8.5021162813657177E-3</v>
      </c>
      <c r="F27" s="88">
        <f>('Astra Zeneca Adjusted'!F12+'Astra Zeneca Adjusted'!F14)/'Astra Zeneca Adjusted'!F9</f>
        <v>8.6012431317305702E-4</v>
      </c>
      <c r="G27" s="88">
        <f>('Astra Zeneca Adjusted'!G12+'Astra Zeneca Adjusted'!G14)/'Astra Zeneca Adjusted'!G9</f>
        <v>1.1892733657257986E-3</v>
      </c>
      <c r="H27" s="88">
        <f>('Astra Zeneca Adjusted'!H12+'Astra Zeneca Adjusted'!H14)/'Astra Zeneca Adjusted'!H9</f>
        <v>1.8784761778629449E-3</v>
      </c>
      <c r="I27" s="88">
        <f>('Astra Zeneca Adjusted'!I12+'Astra Zeneca Adjusted'!I14)/'Astra Zeneca Adjusted'!I9</f>
        <v>2.0178011525499272E-2</v>
      </c>
      <c r="J27" s="88">
        <f>('Astra Zeneca Adjusted'!J12+'Astra Zeneca Adjusted'!J14)/'Astra Zeneca Adjusted'!J9</f>
        <v>1.71358124353917E-3</v>
      </c>
      <c r="K27" s="88">
        <f>('Astra Zeneca Adjusted'!K12+'Astra Zeneca Adjusted'!K14)/'Astra Zeneca Adjusted'!K9</f>
        <v>6.3085393727288783E-3</v>
      </c>
      <c r="L27" s="9"/>
      <c r="M27" s="9"/>
      <c r="N27" s="9"/>
      <c r="O27" s="9"/>
      <c r="P27" s="9"/>
    </row>
    <row r="28" spans="2:16" x14ac:dyDescent="0.45">
      <c r="B28" s="6" t="s">
        <v>258</v>
      </c>
      <c r="C28" s="9"/>
      <c r="D28" s="88"/>
      <c r="E28" s="88">
        <f>'Astra Zeneca Adjusted'!E15/'Astra Zeneca Adjusted'!E9</f>
        <v>-2.9557069329376535E-2</v>
      </c>
      <c r="F28" s="88">
        <f>'Astra Zeneca Adjusted'!F15/'Astra Zeneca Adjusted'!F9</f>
        <v>-3.3680404318247065E-2</v>
      </c>
      <c r="G28" s="88">
        <f>'Astra Zeneca Adjusted'!G15/'Astra Zeneca Adjusted'!G9</f>
        <v>-3.1988175759968221E-2</v>
      </c>
      <c r="H28" s="88">
        <f>'Astra Zeneca Adjusted'!H15/'Astra Zeneca Adjusted'!H9</f>
        <v>-2.7726627061441928E-2</v>
      </c>
      <c r="I28" s="88">
        <f>'Astra Zeneca Adjusted'!I15/'Astra Zeneca Adjusted'!I9</f>
        <v>-2.0739251635834056E-2</v>
      </c>
      <c r="J28" s="88">
        <f>'Astra Zeneca Adjusted'!J15/'Astra Zeneca Adjusted'!J9</f>
        <v>-2.0675982783840113E-2</v>
      </c>
      <c r="K28" s="88">
        <f>'Astra Zeneca Adjusted'!K15/'Astra Zeneca Adjusted'!K9</f>
        <v>-2.660934005398297E-2</v>
      </c>
      <c r="L28" s="9"/>
      <c r="M28" s="9"/>
      <c r="N28" s="9"/>
      <c r="O28" s="9"/>
      <c r="P28" s="9"/>
    </row>
    <row r="29" spans="2:16" x14ac:dyDescent="0.45">
      <c r="B29" s="6" t="s">
        <v>260</v>
      </c>
      <c r="C29" s="17"/>
      <c r="D29" s="91"/>
      <c r="E29" s="91">
        <f>'Astra Zeneca Adjusted'!E17/'Astra Zeneca Adjusted'!E9</f>
        <v>2.8533271886079521E-2</v>
      </c>
      <c r="F29" s="91">
        <f>'Astra Zeneca Adjusted'!F17/'Astra Zeneca Adjusted'!F9</f>
        <v>2.5803729395191708E-3</v>
      </c>
      <c r="G29" s="91">
        <f>'Astra Zeneca Adjusted'!G17/'Astra Zeneca Adjusted'!G9</f>
        <v>-1.3164364639679229E-2</v>
      </c>
      <c r="H29" s="91">
        <f>'Astra Zeneca Adjusted'!H17/'Astra Zeneca Adjusted'!H9</f>
        <v>-2.9004030268583631E-2</v>
      </c>
      <c r="I29" s="91">
        <f>'Astra Zeneca Adjusted'!I17/'Astra Zeneca Adjusted'!I9</f>
        <v>1.0155808026374906E-2</v>
      </c>
      <c r="J29" s="91">
        <f>'Astra Zeneca Adjusted'!J17/'Astra Zeneca Adjusted'!J9</f>
        <v>1.785754112385228E-2</v>
      </c>
      <c r="K29" s="91">
        <f>'Astra Zeneca Adjusted'!K17/'Astra Zeneca Adjusted'!K9</f>
        <v>-2.0475433407318385E-2</v>
      </c>
      <c r="L29" s="13"/>
      <c r="M29" s="13"/>
      <c r="N29" s="13"/>
      <c r="O29" s="13"/>
      <c r="P29" s="13"/>
    </row>
    <row r="30" spans="2:16" x14ac:dyDescent="0.45">
      <c r="B30" s="6" t="s">
        <v>323</v>
      </c>
      <c r="C30" s="15"/>
      <c r="D30" s="88"/>
      <c r="E30" s="88">
        <f t="shared" ref="E30:K30" si="5">SUM(E26:E29)</f>
        <v>0.12766525246635166</v>
      </c>
      <c r="F30" s="88">
        <f t="shared" si="5"/>
        <v>9.2802147106146912E-2</v>
      </c>
      <c r="G30" s="88">
        <f t="shared" si="5"/>
        <v>5.0319815192079072E-2</v>
      </c>
      <c r="H30" s="88">
        <f t="shared" si="5"/>
        <v>0.11811994072108974</v>
      </c>
      <c r="I30" s="88">
        <f t="shared" si="5"/>
        <v>3.0734727911015999E-3</v>
      </c>
      <c r="J30" s="88">
        <f t="shared" si="5"/>
        <v>7.4248582454083736E-2</v>
      </c>
      <c r="K30" s="88">
        <f t="shared" si="5"/>
        <v>0.13012158440668295</v>
      </c>
      <c r="L30" s="9"/>
      <c r="M30" s="9"/>
      <c r="N30" s="9"/>
      <c r="O30" s="9"/>
      <c r="P30" s="9"/>
    </row>
    <row r="31" spans="2:16" ht="28.5" x14ac:dyDescent="0.45">
      <c r="B31" s="3" t="s">
        <v>377</v>
      </c>
      <c r="C31" s="15"/>
      <c r="D31" s="88"/>
      <c r="E31" s="88"/>
      <c r="F31" s="88"/>
      <c r="G31" s="88"/>
      <c r="H31" s="88"/>
      <c r="I31" s="88"/>
      <c r="J31" s="88"/>
      <c r="K31" s="88"/>
      <c r="L31" s="9"/>
      <c r="M31" s="9"/>
      <c r="N31" s="9"/>
      <c r="O31" s="9"/>
      <c r="P31" s="9"/>
    </row>
    <row r="32" spans="2:16" x14ac:dyDescent="0.45">
      <c r="B32" s="6" t="s">
        <v>378</v>
      </c>
      <c r="C32" s="9"/>
      <c r="D32" s="88"/>
      <c r="E32" s="88">
        <f>'Astra Zeneca Adjusted'!E25/'Astra Zeneca Adjusted'!E9</f>
        <v>-0.18415314339392916</v>
      </c>
      <c r="F32" s="88">
        <f>'Astra Zeneca Adjusted'!F25/'Astra Zeneca Adjusted'!F9</f>
        <v>-0.20389315209336173</v>
      </c>
      <c r="G32" s="88">
        <f>'Astra Zeneca Adjusted'!G25/'Astra Zeneca Adjusted'!G9</f>
        <v>-0.19881890730723692</v>
      </c>
      <c r="H32" s="88">
        <f>'Astra Zeneca Adjusted'!H25/'Astra Zeneca Adjusted'!H9</f>
        <v>-0.19709209694626403</v>
      </c>
      <c r="I32" s="88">
        <f>'Astra Zeneca Adjusted'!I25/'Astra Zeneca Adjusted'!I9</f>
        <v>-0.32084345305750123</v>
      </c>
      <c r="J32" s="88">
        <f>'Astra Zeneca Adjusted'!J25/'Astra Zeneca Adjusted'!J9</f>
        <v>-0.19483214196707391</v>
      </c>
      <c r="K32" s="88">
        <f>'Astra Zeneca Adjusted'!K25/'Astra Zeneca Adjusted'!K9</f>
        <v>-0.17550369468940913</v>
      </c>
      <c r="L32" s="9"/>
      <c r="M32" s="9"/>
      <c r="N32" s="9"/>
      <c r="O32" s="9"/>
      <c r="P32" s="9"/>
    </row>
    <row r="33" spans="2:16" x14ac:dyDescent="0.45">
      <c r="B33" s="6" t="s">
        <v>379</v>
      </c>
      <c r="C33" s="9"/>
      <c r="D33" s="88"/>
      <c r="E33" s="88">
        <f>'Astra Zeneca Adjusted'!E26/'Astra Zeneca Adjusted'!E9</f>
        <v>-0.41869576196142283</v>
      </c>
      <c r="F33" s="88">
        <f>'Astra Zeneca Adjusted'!F26/'Astra Zeneca Adjusted'!F9</f>
        <v>-0.48990494248345939</v>
      </c>
      <c r="G33" s="88">
        <f>'Astra Zeneca Adjusted'!G26/'Astra Zeneca Adjusted'!G9</f>
        <v>-0.46907808911415477</v>
      </c>
      <c r="H33" s="88">
        <f>'Astra Zeneca Adjusted'!H26/'Astra Zeneca Adjusted'!H9</f>
        <v>-0.43528571183200554</v>
      </c>
      <c r="I33" s="88">
        <f>'Astra Zeneca Adjusted'!I26/'Astra Zeneca Adjusted'!I9</f>
        <v>-0.392147958626131</v>
      </c>
      <c r="J33" s="88">
        <f>'Astra Zeneca Adjusted'!J26/'Astra Zeneca Adjusted'!J9</f>
        <v>-0.39367769840339667</v>
      </c>
      <c r="K33" s="88">
        <f>'Astra Zeneca Adjusted'!K26/'Astra Zeneca Adjusted'!K9</f>
        <v>-0.39346445460493212</v>
      </c>
      <c r="L33" s="9"/>
      <c r="M33" s="9"/>
      <c r="N33" s="9"/>
      <c r="O33" s="9"/>
      <c r="P33" s="9"/>
    </row>
    <row r="34" spans="2:16" ht="28.5" x14ac:dyDescent="0.45">
      <c r="B34" s="3" t="s">
        <v>380</v>
      </c>
      <c r="C34" s="9"/>
      <c r="D34" s="88"/>
      <c r="E34" s="88"/>
      <c r="F34" s="88"/>
      <c r="G34" s="88"/>
      <c r="H34" s="88"/>
      <c r="I34" s="88"/>
      <c r="J34" s="88"/>
      <c r="K34" s="88"/>
      <c r="L34" s="9"/>
      <c r="M34" s="9"/>
      <c r="N34" s="9"/>
      <c r="O34" s="9"/>
      <c r="P34" s="9"/>
    </row>
    <row r="35" spans="2:16" x14ac:dyDescent="0.45">
      <c r="B35" s="6" t="s">
        <v>381</v>
      </c>
      <c r="C35" s="9"/>
      <c r="D35" s="88"/>
      <c r="E35" s="88" t="s">
        <v>56</v>
      </c>
      <c r="F35" s="88" t="s">
        <v>56</v>
      </c>
      <c r="G35" s="88" t="s">
        <v>56</v>
      </c>
      <c r="H35" s="88" t="s">
        <v>56</v>
      </c>
      <c r="I35" s="88" t="s">
        <v>56</v>
      </c>
      <c r="J35" s="88" t="s">
        <v>56</v>
      </c>
      <c r="K35" s="88" t="s">
        <v>56</v>
      </c>
      <c r="L35" s="9"/>
      <c r="M35" s="9"/>
      <c r="N35" s="9"/>
      <c r="O35" s="9"/>
      <c r="P35" s="9"/>
    </row>
    <row r="36" spans="2:16" x14ac:dyDescent="0.45">
      <c r="B36" s="6" t="s">
        <v>382</v>
      </c>
      <c r="C36" s="9"/>
      <c r="D36" s="88"/>
      <c r="E36" s="88" t="s">
        <v>56</v>
      </c>
      <c r="F36" s="88" t="s">
        <v>56</v>
      </c>
      <c r="G36" s="88" t="s">
        <v>56</v>
      </c>
      <c r="H36" s="88" t="s">
        <v>56</v>
      </c>
      <c r="I36" s="88" t="s">
        <v>56</v>
      </c>
      <c r="J36" s="88" t="s">
        <v>56</v>
      </c>
      <c r="K36" s="88" t="s">
        <v>56</v>
      </c>
      <c r="L36" s="9"/>
      <c r="M36" s="9"/>
      <c r="N36" s="9"/>
      <c r="O36" s="9"/>
      <c r="P36" s="9"/>
    </row>
    <row r="37" spans="2:16" x14ac:dyDescent="0.45">
      <c r="B37" s="6" t="s">
        <v>383</v>
      </c>
      <c r="C37" s="9"/>
      <c r="D37" s="88"/>
      <c r="E37" s="97">
        <f>'Astra Zeneca Standardized'!E26/'Astra Zeneca Standardized'!E5</f>
        <v>0.10327174002350849</v>
      </c>
      <c r="F37" s="97">
        <f>'Astra Zeneca Standardized'!F26/'Astra Zeneca Standardized'!F5</f>
        <v>0.12363058558047307</v>
      </c>
      <c r="G37" s="97">
        <f>'Astra Zeneca Standardized'!G26/'Astra Zeneca Standardized'!G5</f>
        <v>0.11130250866166623</v>
      </c>
      <c r="H37" s="97">
        <f>'Astra Zeneca Standardized'!H26/'Astra Zeneca Standardized'!H5</f>
        <v>0.10651087570288123</v>
      </c>
      <c r="I37" s="97">
        <f>'Astra Zeneca Standardized'!I26/'Astra Zeneca Standardized'!I5</f>
        <v>0.10794557086143707</v>
      </c>
      <c r="J37" s="97">
        <f>'Astra Zeneca Standardized'!J26/'Astra Zeneca Standardized'!J5</f>
        <v>0.11675046463461879</v>
      </c>
      <c r="K37" s="97">
        <f>'Astra Zeneca Standardized'!K26/'Astra Zeneca Standardized'!K5</f>
        <v>0.10589160639449861</v>
      </c>
      <c r="L37" s="9"/>
      <c r="M37" s="9"/>
      <c r="N37" s="9"/>
      <c r="O37" s="9"/>
      <c r="P37" s="9"/>
    </row>
    <row r="38" spans="2:16" ht="28.5" x14ac:dyDescent="0.45">
      <c r="B38" s="6" t="s">
        <v>384</v>
      </c>
      <c r="C38" s="9"/>
      <c r="D38" s="88"/>
      <c r="E38" s="97">
        <f>'Astra Zeneca Standardized'!C26/SUM('Astra Zeneca Standardized'!C35:C36)</f>
        <v>5.8540158116761949E-2</v>
      </c>
      <c r="F38" s="97">
        <f>'Astra Zeneca Standardized'!D26/SUM('Astra Zeneca Standardized'!D35:D36)</f>
        <v>4.4000156796731138E-2</v>
      </c>
      <c r="G38" s="97">
        <f>'Astra Zeneca Standardized'!E26/SUM('Astra Zeneca Standardized'!E35:E36)</f>
        <v>5.2685097073919607E-2</v>
      </c>
      <c r="H38" s="97">
        <f>'Astra Zeneca Standardized'!F26/SUM('Astra Zeneca Standardized'!F35:F36)</f>
        <v>6.3550354991571342E-2</v>
      </c>
      <c r="I38" s="97">
        <f>'Astra Zeneca Standardized'!G26/SUM('Astra Zeneca Standardized'!G35:G36)</f>
        <v>6.5429094296736434E-2</v>
      </c>
      <c r="J38" s="97">
        <f>'Astra Zeneca Standardized'!H26/SUM('Astra Zeneca Standardized'!H35:H36)</f>
        <v>7.147907220715316E-2</v>
      </c>
      <c r="K38" s="97">
        <f>'Astra Zeneca Standardized'!I26/SUM('Astra Zeneca Standardized'!I35:I36)</f>
        <v>5.2849078464984323E-2</v>
      </c>
      <c r="L38" s="9"/>
      <c r="M38" s="9"/>
      <c r="N38" s="9"/>
      <c r="O38" s="9"/>
      <c r="P38" s="9"/>
    </row>
    <row r="39" spans="2:16" x14ac:dyDescent="0.45">
      <c r="B39" s="6" t="s">
        <v>10</v>
      </c>
      <c r="C39" s="9"/>
      <c r="D39" s="88"/>
      <c r="E39" s="12">
        <f t="shared" ref="E39:K39" si="6">1/E38</f>
        <v>17.082290724350941</v>
      </c>
      <c r="F39" s="12">
        <f t="shared" si="6"/>
        <v>22.727191737514264</v>
      </c>
      <c r="G39" s="12">
        <f t="shared" si="6"/>
        <v>18.980699581837236</v>
      </c>
      <c r="H39" s="12">
        <f t="shared" si="6"/>
        <v>15.735553328264329</v>
      </c>
      <c r="I39" s="12">
        <f t="shared" si="6"/>
        <v>15.283720655902147</v>
      </c>
      <c r="J39" s="12">
        <f t="shared" si="6"/>
        <v>13.990108840555523</v>
      </c>
      <c r="K39" s="12">
        <f t="shared" si="6"/>
        <v>18.921805810910399</v>
      </c>
      <c r="L39" s="9"/>
      <c r="M39" s="9"/>
      <c r="N39" s="9"/>
      <c r="O39" s="9"/>
      <c r="P39" s="9"/>
    </row>
    <row r="40" spans="2:16" x14ac:dyDescent="0.45">
      <c r="B40" s="6" t="s">
        <v>8</v>
      </c>
      <c r="C40" s="9"/>
      <c r="D40" s="88"/>
      <c r="E40" s="97">
        <f>'Astra Zeneca Standardized'!D35/SUM('Astra Zeneca Standardized'!D35:D36)</f>
        <v>0.1698081379600625</v>
      </c>
      <c r="F40" s="97">
        <f>'Astra Zeneca Standardized'!E35/SUM('Astra Zeneca Standardized'!E35:E36)</f>
        <v>0.1894018654506322</v>
      </c>
      <c r="G40" s="97">
        <f>'Astra Zeneca Standardized'!F35/SUM('Astra Zeneca Standardized'!F35:F36)</f>
        <v>0.19271992729948331</v>
      </c>
      <c r="H40" s="97">
        <f>'Astra Zeneca Standardized'!G35/SUM('Astra Zeneca Standardized'!G35:G36)</f>
        <v>0.21842537125997186</v>
      </c>
      <c r="I40" s="97">
        <f>'Astra Zeneca Standardized'!H35/SUM('Astra Zeneca Standardized'!H35:H36)</f>
        <v>0.22942075409858498</v>
      </c>
      <c r="J40" s="97">
        <f>'Astra Zeneca Standardized'!I35/SUM('Astra Zeneca Standardized'!I35:I36)</f>
        <v>0.15154977261362634</v>
      </c>
      <c r="K40" s="97">
        <f>'Astra Zeneca Standardized'!J35/SUM('Astra Zeneca Standardized'!J35:J36)</f>
        <v>0.14906813612182171</v>
      </c>
      <c r="L40" s="9"/>
      <c r="M40" s="9"/>
      <c r="N40" s="9"/>
      <c r="O40" s="9"/>
      <c r="P40" s="9"/>
    </row>
    <row r="41" spans="2:16" x14ac:dyDescent="0.45">
      <c r="B41" s="6" t="s">
        <v>385</v>
      </c>
      <c r="C41" s="9"/>
      <c r="D41" s="88"/>
      <c r="E41" s="88">
        <f>'Astra Zeneca Standardized'!E10/'Astra Zeneca Standardized'!E5</f>
        <v>-2.5016684766402977E-2</v>
      </c>
      <c r="F41" s="88">
        <f>'Astra Zeneca Standardized'!F10/'Astra Zeneca Standardized'!F5</f>
        <v>-1.5889546877816574E-2</v>
      </c>
      <c r="G41" s="88">
        <f>'Astra Zeneca Standardized'!G10/'Astra Zeneca Standardized'!G5</f>
        <v>-1.037568248595502E-2</v>
      </c>
      <c r="H41" s="88">
        <f>'Astra Zeneca Standardized'!H10/'Astra Zeneca Standardized'!H5</f>
        <v>-1.3149675907604976E-3</v>
      </c>
      <c r="I41" s="88">
        <f>'Astra Zeneca Standardized'!I10/'Astra Zeneca Standardized'!I5</f>
        <v>-7.7772114653219494E-3</v>
      </c>
      <c r="J41" s="88">
        <f>'Astra Zeneca Standardized'!J10/'Astra Zeneca Standardized'!J5</f>
        <v>-3.4948297362837836E-3</v>
      </c>
      <c r="K41" s="88">
        <f>'Astra Zeneca Standardized'!K10/'Astra Zeneca Standardized'!K5</f>
        <v>-1.1132688772807994E-3</v>
      </c>
      <c r="L41" s="9"/>
      <c r="M41" s="9"/>
      <c r="N41" s="9"/>
      <c r="O41" s="9"/>
      <c r="P41" s="9"/>
    </row>
    <row r="42" spans="2:16" x14ac:dyDescent="0.45">
      <c r="B42" s="6"/>
      <c r="C42" s="9"/>
      <c r="D42" s="88"/>
      <c r="E42" s="88"/>
      <c r="F42" s="88"/>
      <c r="G42" s="88"/>
      <c r="H42" s="88"/>
      <c r="I42" s="88"/>
      <c r="J42" s="88"/>
      <c r="K42" s="88"/>
      <c r="L42" s="9"/>
      <c r="M42" s="9"/>
      <c r="N42" s="9"/>
      <c r="O42" s="9"/>
      <c r="P42" s="9"/>
    </row>
    <row r="43" spans="2:16" x14ac:dyDescent="0.45">
      <c r="B43" s="5" t="s">
        <v>25</v>
      </c>
      <c r="C43" s="9"/>
      <c r="D43" s="88"/>
      <c r="E43" s="88"/>
      <c r="F43" s="88"/>
      <c r="G43" s="88"/>
      <c r="H43" s="88"/>
      <c r="I43" s="88"/>
      <c r="J43" s="88"/>
      <c r="K43" s="88"/>
      <c r="L43" s="9"/>
      <c r="M43" s="9"/>
      <c r="N43" s="9"/>
      <c r="O43" s="9"/>
      <c r="P43" s="9"/>
    </row>
    <row r="44" spans="2:16" x14ac:dyDescent="0.45">
      <c r="B44" s="6" t="s">
        <v>26</v>
      </c>
      <c r="C44" s="9"/>
      <c r="D44" s="16"/>
      <c r="E44" s="16">
        <f t="shared" ref="E44:K44" si="7">1+E32</f>
        <v>0.81584685660607081</v>
      </c>
      <c r="F44" s="16">
        <f t="shared" si="7"/>
        <v>0.79610684790663822</v>
      </c>
      <c r="G44" s="16">
        <f t="shared" si="7"/>
        <v>0.80118109269276305</v>
      </c>
      <c r="H44" s="16">
        <f t="shared" si="7"/>
        <v>0.80290790305373594</v>
      </c>
      <c r="I44" s="16">
        <f t="shared" si="7"/>
        <v>0.67915654694249872</v>
      </c>
      <c r="J44" s="16">
        <f t="shared" si="7"/>
        <v>0.80516785803292612</v>
      </c>
      <c r="K44" s="16">
        <f t="shared" si="7"/>
        <v>0.82449630531059093</v>
      </c>
      <c r="L44" s="9"/>
      <c r="M44" s="9"/>
      <c r="N44" s="9"/>
      <c r="O44" s="9"/>
      <c r="P44" s="9"/>
    </row>
    <row r="45" spans="2:16" x14ac:dyDescent="0.45">
      <c r="B45" s="6" t="s">
        <v>27</v>
      </c>
      <c r="C45" s="9"/>
      <c r="D45" s="88"/>
      <c r="E45" s="93">
        <f t="shared" ref="E45:K45" si="8">SUM(E26:E27)-E37</f>
        <v>2.5417309886140174E-2</v>
      </c>
      <c r="F45" s="93">
        <f t="shared" si="8"/>
        <v>2.7159290440173511E-4</v>
      </c>
      <c r="G45" s="93">
        <f t="shared" si="8"/>
        <v>-1.5830153069939706E-2</v>
      </c>
      <c r="H45" s="93">
        <f t="shared" si="8"/>
        <v>6.8339722348234072E-2</v>
      </c>
      <c r="I45" s="93">
        <f t="shared" si="8"/>
        <v>-9.4288654460876309E-2</v>
      </c>
      <c r="J45" s="93">
        <f t="shared" si="8"/>
        <v>-3.9683440520547217E-2</v>
      </c>
      <c r="K45" s="93">
        <f t="shared" si="8"/>
        <v>7.1314751473485691E-2</v>
      </c>
      <c r="L45" s="9"/>
      <c r="M45" s="9"/>
      <c r="N45" s="9"/>
      <c r="O45" s="9"/>
      <c r="P45" s="9"/>
    </row>
    <row r="46" spans="2:16" x14ac:dyDescent="0.45">
      <c r="D46" s="89"/>
      <c r="E46" s="89"/>
      <c r="F46" s="89"/>
      <c r="G46" s="89"/>
      <c r="H46" s="89"/>
      <c r="I46" s="89"/>
      <c r="J46" s="89"/>
      <c r="K46" s="89"/>
    </row>
    <row r="47" spans="2:16" x14ac:dyDescent="0.45">
      <c r="B47" s="4" t="s">
        <v>28</v>
      </c>
      <c r="D47" s="89"/>
      <c r="E47" s="89"/>
      <c r="F47" s="89"/>
      <c r="G47" s="89"/>
      <c r="H47" s="89"/>
      <c r="I47" s="89"/>
      <c r="J47" s="89"/>
      <c r="K47" s="89"/>
    </row>
    <row r="48" spans="2:16" x14ac:dyDescent="0.45">
      <c r="B48" s="7" t="s">
        <v>369</v>
      </c>
      <c r="C48" s="8"/>
      <c r="D48" s="90"/>
      <c r="E48" s="90"/>
      <c r="F48" s="90"/>
      <c r="G48" s="90"/>
      <c r="H48" s="90"/>
      <c r="I48" s="90"/>
      <c r="J48" s="90"/>
      <c r="K48" s="90"/>
      <c r="L48" s="8"/>
      <c r="M48" s="8"/>
      <c r="N48" s="8"/>
      <c r="O48" s="8"/>
      <c r="P48" s="8"/>
    </row>
    <row r="49" spans="2:16" x14ac:dyDescent="0.45">
      <c r="B49" s="6" t="s">
        <v>386</v>
      </c>
      <c r="C49" s="9"/>
      <c r="D49" s="16"/>
      <c r="E49" s="16">
        <f>AVERAGE('Astra Zeneca Adjusted'!D124:E124)/'Astra Zeneca Adjusted'!E96</f>
        <v>-0.22284714189211199</v>
      </c>
      <c r="F49" s="16">
        <f>AVERAGE('Astra Zeneca Adjusted'!E124:F124)/'Astra Zeneca Adjusted'!F96</f>
        <v>-0.159495966832017</v>
      </c>
      <c r="G49" s="16">
        <f>AVERAGE('Astra Zeneca Adjusted'!F124:G124)/'Astra Zeneca Adjusted'!G96</f>
        <v>-0.15049816488040774</v>
      </c>
      <c r="H49" s="16">
        <f>AVERAGE('Astra Zeneca Adjusted'!G124:H124)/'Astra Zeneca Adjusted'!H96</f>
        <v>-0.17342125397965091</v>
      </c>
      <c r="I49" s="16">
        <f>AVERAGE('Astra Zeneca Adjusted'!H124:I124)/'Astra Zeneca Adjusted'!I96</f>
        <v>-3.4633868150560451E-2</v>
      </c>
      <c r="J49" s="16">
        <f>AVERAGE('Astra Zeneca Adjusted'!I124:J124)/'Astra Zeneca Adjusted'!J96</f>
        <v>7.4108401037122004E-3</v>
      </c>
      <c r="K49" s="16">
        <f>AVERAGE('Astra Zeneca Adjusted'!J124:K124)/'Astra Zeneca Adjusted'!K96</f>
        <v>-4.0688554841615009E-2</v>
      </c>
      <c r="L49" s="9"/>
      <c r="M49" s="9"/>
      <c r="N49" s="9"/>
      <c r="O49" s="9"/>
      <c r="P49" s="9"/>
    </row>
    <row r="50" spans="2:16" x14ac:dyDescent="0.45">
      <c r="B50" s="6" t="s">
        <v>387</v>
      </c>
      <c r="C50" s="9"/>
      <c r="D50" s="16"/>
      <c r="E50" s="96">
        <f>AVERAGE('Astra Zeneca Adjusted'!D130:E130)/'Astra Zeneca Adjusted'!E96</f>
        <v>1.6773271327954822</v>
      </c>
      <c r="F50" s="96">
        <f>AVERAGE('Astra Zeneca Adjusted'!E130:F130)/'Astra Zeneca Adjusted'!F96</f>
        <v>1.6887774714086379</v>
      </c>
      <c r="G50" s="96">
        <f>AVERAGE('Astra Zeneca Adjusted'!F130:G130)/'Astra Zeneca Adjusted'!G96</f>
        <v>1.4645105008027115</v>
      </c>
      <c r="H50" s="96">
        <f>AVERAGE('Astra Zeneca Adjusted'!G130:H130)/'Astra Zeneca Adjusted'!H96</f>
        <v>1.3804197813444476</v>
      </c>
      <c r="I50" s="96">
        <f>AVERAGE('Astra Zeneca Adjusted'!H130:I130)/'Astra Zeneca Adjusted'!I96</f>
        <v>1.4345728457280942</v>
      </c>
      <c r="J50" s="96">
        <f>AVERAGE('Astra Zeneca Adjusted'!I130:J130)/'Astra Zeneca Adjusted'!J96</f>
        <v>1.4266718106416765</v>
      </c>
      <c r="K50" s="96">
        <f>AVERAGE('Astra Zeneca Adjusted'!J130:K130)/'Astra Zeneca Adjusted'!K96</f>
        <v>1.4457584002613237</v>
      </c>
      <c r="L50" s="9"/>
      <c r="M50" s="9"/>
      <c r="N50" s="9"/>
      <c r="O50" s="9"/>
      <c r="P50" s="9"/>
    </row>
    <row r="51" spans="2:16" x14ac:dyDescent="0.45">
      <c r="B51" s="6" t="s">
        <v>389</v>
      </c>
      <c r="C51" s="9"/>
      <c r="D51" s="16"/>
      <c r="E51" s="16">
        <f>AVERAGE('Astra Zeneca Adjusted'!D126:E126)/'Astra Zeneca Adjusted'!E96</f>
        <v>0.37663710094774294</v>
      </c>
      <c r="F51" s="16">
        <f>AVERAGE('Astra Zeneca Adjusted'!E126:F126)/'Astra Zeneca Adjusted'!F96</f>
        <v>0.38499549348056855</v>
      </c>
      <c r="G51" s="16">
        <f>AVERAGE('Astra Zeneca Adjusted'!F126:G126)/'Astra Zeneca Adjusted'!G96</f>
        <v>0.34690683108686943</v>
      </c>
      <c r="H51" s="16">
        <f>AVERAGE('Astra Zeneca Adjusted'!G126:H126)/'Astra Zeneca Adjusted'!H96</f>
        <v>0.34427125802521086</v>
      </c>
      <c r="I51" s="16">
        <f>AVERAGE('Astra Zeneca Adjusted'!H126:I126)/'Astra Zeneca Adjusted'!I96</f>
        <v>0.28084583070628844</v>
      </c>
      <c r="J51" s="16">
        <f>AVERAGE('Astra Zeneca Adjusted'!I126:J126)/'Astra Zeneca Adjusted'!J96</f>
        <v>0.23096953421349742</v>
      </c>
      <c r="K51" s="16">
        <f>AVERAGE('Astra Zeneca Adjusted'!J126:K126)/'Astra Zeneca Adjusted'!K96</f>
        <v>0.23750764711491348</v>
      </c>
      <c r="L51" s="9"/>
      <c r="M51" s="9"/>
      <c r="N51" s="9"/>
      <c r="O51" s="9"/>
      <c r="P51" s="9"/>
    </row>
    <row r="52" spans="2:16" x14ac:dyDescent="0.45">
      <c r="B52" s="6" t="s">
        <v>390</v>
      </c>
      <c r="C52" s="11"/>
      <c r="D52" s="88"/>
      <c r="E52" s="88">
        <f t="shared" ref="E52:K54" si="9">1/E49</f>
        <v>-4.4873808634446588</v>
      </c>
      <c r="F52" s="88">
        <f t="shared" si="9"/>
        <v>-6.2697510154172837</v>
      </c>
      <c r="G52" s="88">
        <f t="shared" si="9"/>
        <v>-6.644599293251467</v>
      </c>
      <c r="H52" s="88">
        <f t="shared" si="9"/>
        <v>-5.7663058999523731</v>
      </c>
      <c r="I52" s="88">
        <f t="shared" si="9"/>
        <v>-28.873471356211127</v>
      </c>
      <c r="J52" s="88">
        <f t="shared" si="9"/>
        <v>134.93746808800867</v>
      </c>
      <c r="K52" s="88">
        <f t="shared" si="9"/>
        <v>-24.576935796629243</v>
      </c>
      <c r="L52" s="11"/>
      <c r="M52" s="11"/>
      <c r="N52" s="11"/>
      <c r="O52" s="11"/>
      <c r="P52" s="11"/>
    </row>
    <row r="53" spans="2:16" x14ac:dyDescent="0.45">
      <c r="B53" s="6" t="s">
        <v>391</v>
      </c>
      <c r="C53" s="11"/>
      <c r="D53" s="88"/>
      <c r="E53" s="88">
        <f t="shared" si="9"/>
        <v>0.59618662361549646</v>
      </c>
      <c r="F53" s="88">
        <f t="shared" si="9"/>
        <v>0.59214432743816925</v>
      </c>
      <c r="G53" s="88">
        <f t="shared" si="9"/>
        <v>0.68282200738874244</v>
      </c>
      <c r="H53" s="88">
        <f t="shared" si="9"/>
        <v>0.72441732110362755</v>
      </c>
      <c r="I53" s="88">
        <f t="shared" si="9"/>
        <v>0.69707160774569532</v>
      </c>
      <c r="J53" s="88">
        <f t="shared" si="9"/>
        <v>0.70093205216568233</v>
      </c>
      <c r="K53" s="88">
        <f t="shared" si="9"/>
        <v>0.69167849885516697</v>
      </c>
      <c r="L53" s="11"/>
      <c r="M53" s="11"/>
      <c r="N53" s="11"/>
      <c r="O53" s="11"/>
      <c r="P53" s="11"/>
    </row>
    <row r="54" spans="2:16" x14ac:dyDescent="0.45">
      <c r="B54" s="6" t="s">
        <v>29</v>
      </c>
      <c r="C54" s="11"/>
      <c r="D54" s="88"/>
      <c r="E54" s="88">
        <f t="shared" si="9"/>
        <v>2.6550756616479649</v>
      </c>
      <c r="F54" s="88">
        <f t="shared" si="9"/>
        <v>2.5974330009929631</v>
      </c>
      <c r="G54" s="88">
        <f t="shared" si="9"/>
        <v>2.8826183585574556</v>
      </c>
      <c r="H54" s="88">
        <f t="shared" si="9"/>
        <v>2.9046862806269189</v>
      </c>
      <c r="I54" s="88">
        <f t="shared" si="9"/>
        <v>3.5606724069399154</v>
      </c>
      <c r="J54" s="88">
        <f t="shared" si="9"/>
        <v>4.329575341636386</v>
      </c>
      <c r="K54" s="88">
        <f t="shared" si="9"/>
        <v>4.210390748034186</v>
      </c>
      <c r="L54" s="11"/>
      <c r="M54" s="11"/>
      <c r="N54" s="11"/>
      <c r="O54" s="11"/>
      <c r="P54" s="11"/>
    </row>
    <row r="55" spans="2:16" x14ac:dyDescent="0.45">
      <c r="B55" s="6" t="s">
        <v>392</v>
      </c>
      <c r="C55" s="11"/>
      <c r="D55" s="88"/>
      <c r="E55" s="88">
        <f>'Astra Zeneca Adjusted'!E96/AVERAGE('Astra Zeneca Adjusted'!D119:E119)</f>
        <v>8.3316260017600907</v>
      </c>
      <c r="F55" s="88">
        <f>'Astra Zeneca Adjusted'!F96/AVERAGE('Astra Zeneca Adjusted'!E119:F119)</f>
        <v>7.5658082826817887</v>
      </c>
      <c r="G55" s="88">
        <f>'Astra Zeneca Adjusted'!G96/AVERAGE('Astra Zeneca Adjusted'!F119:G119)</f>
        <v>7.4979167623997345</v>
      </c>
      <c r="H55" s="88">
        <f>'Astra Zeneca Adjusted'!H96/AVERAGE('Astra Zeneca Adjusted'!G119:H119)</f>
        <v>7.4045628614910974</v>
      </c>
      <c r="I55" s="88">
        <f>'Astra Zeneca Adjusted'!I96/AVERAGE('Astra Zeneca Adjusted'!H119:I119)</f>
        <v>7.5235030446981588</v>
      </c>
      <c r="J55" s="88">
        <f>'Astra Zeneca Adjusted'!J96/AVERAGE('Astra Zeneca Adjusted'!I119:J119)</f>
        <v>7.0020104011790893</v>
      </c>
      <c r="K55" s="88">
        <f>'Astra Zeneca Adjusted'!K96/AVERAGE('Astra Zeneca Adjusted'!J119:K119)</f>
        <v>5.9033970896499746</v>
      </c>
      <c r="L55" s="11"/>
      <c r="M55" s="11"/>
      <c r="N55" s="11"/>
      <c r="O55" s="11"/>
      <c r="P55" s="11"/>
    </row>
    <row r="56" spans="2:16" x14ac:dyDescent="0.45">
      <c r="B56" s="6" t="s">
        <v>30</v>
      </c>
      <c r="C56" s="12"/>
      <c r="D56" s="88"/>
      <c r="E56" s="88">
        <f t="shared" ref="E56:K56" si="10">360*(1/E55)</f>
        <v>43.208852620598726</v>
      </c>
      <c r="F56" s="88">
        <f t="shared" si="10"/>
        <v>47.582490402782689</v>
      </c>
      <c r="G56" s="88">
        <f t="shared" si="10"/>
        <v>48.013336425033977</v>
      </c>
      <c r="H56" s="88">
        <f t="shared" si="10"/>
        <v>48.618670235383057</v>
      </c>
      <c r="I56" s="88">
        <f t="shared" si="10"/>
        <v>47.850050416832538</v>
      </c>
      <c r="J56" s="88">
        <f t="shared" si="10"/>
        <v>51.41380537500752</v>
      </c>
      <c r="K56" s="88">
        <f t="shared" si="10"/>
        <v>60.981837157992224</v>
      </c>
      <c r="L56" s="12"/>
      <c r="M56" s="12"/>
      <c r="N56" s="12"/>
      <c r="O56" s="12"/>
      <c r="P56" s="12"/>
    </row>
    <row r="57" spans="2:16" x14ac:dyDescent="0.45">
      <c r="B57" s="6" t="s">
        <v>393</v>
      </c>
      <c r="C57" s="11"/>
      <c r="D57" s="88"/>
      <c r="E57" s="88">
        <f>-'Astra Zeneca Adjusted'!E25/AVERAGE('Astra Zeneca Adjusted'!D120:E120)</f>
        <v>1.5479077012061855</v>
      </c>
      <c r="F57" s="88">
        <f>-'Astra Zeneca Adjusted'!F25/AVERAGE('Astra Zeneca Adjusted'!E120:F120)</f>
        <v>1.511366727148268</v>
      </c>
      <c r="G57" s="88">
        <f>-'Astra Zeneca Adjusted'!G25/AVERAGE('Astra Zeneca Adjusted'!F120:G120)</f>
        <v>1.6131692730371763</v>
      </c>
      <c r="H57" s="88">
        <f>-'Astra Zeneca Adjusted'!H25/AVERAGE('Astra Zeneca Adjusted'!G120:H120)</f>
        <v>1.5000816638961796</v>
      </c>
      <c r="I57" s="88">
        <f>-'Astra Zeneca Adjusted'!I25/AVERAGE('Astra Zeneca Adjusted'!H120:I120)</f>
        <v>1.8154019190638282</v>
      </c>
      <c r="J57" s="88">
        <f>-'Astra Zeneca Adjusted'!J25/AVERAGE('Astra Zeneca Adjusted'!I120:J120)</f>
        <v>1.3371134371091591</v>
      </c>
      <c r="K57" s="88">
        <f>-'Astra Zeneca Adjusted'!K25/AVERAGE('Astra Zeneca Adjusted'!J120:K120)</f>
        <v>1.5984403178564968</v>
      </c>
      <c r="L57" s="11"/>
      <c r="M57" s="11"/>
      <c r="N57" s="11"/>
      <c r="O57" s="11"/>
      <c r="P57" s="11"/>
    </row>
    <row r="58" spans="2:16" x14ac:dyDescent="0.45">
      <c r="B58" s="6" t="s">
        <v>31</v>
      </c>
      <c r="C58" s="12"/>
      <c r="D58" s="88"/>
      <c r="E58" s="88">
        <f t="shared" ref="E58:K58" si="11">360*(1/E57)</f>
        <v>232.57200653467581</v>
      </c>
      <c r="F58" s="88">
        <f t="shared" si="11"/>
        <v>238.19500160577724</v>
      </c>
      <c r="G58" s="88">
        <f t="shared" si="11"/>
        <v>223.1631893919068</v>
      </c>
      <c r="H58" s="88">
        <f t="shared" si="11"/>
        <v>239.98693448793171</v>
      </c>
      <c r="I58" s="88">
        <f t="shared" si="11"/>
        <v>198.30319458164163</v>
      </c>
      <c r="J58" s="88">
        <f t="shared" si="11"/>
        <v>269.23669302009296</v>
      </c>
      <c r="K58" s="88">
        <f t="shared" si="11"/>
        <v>225.21954431352108</v>
      </c>
      <c r="L58" s="12"/>
      <c r="M58" s="12"/>
      <c r="N58" s="12"/>
      <c r="O58" s="12"/>
      <c r="P58" s="12"/>
    </row>
    <row r="59" spans="2:16" x14ac:dyDescent="0.45">
      <c r="B59" s="6" t="s">
        <v>394</v>
      </c>
      <c r="C59" s="11"/>
      <c r="D59" s="88"/>
      <c r="E59" s="88">
        <f>-'Astra Zeneca Adjusted'!E25/AVERAGE('Astra Zeneca Adjusted'!D122:E122)</f>
        <v>2.0990399104786031</v>
      </c>
      <c r="F59" s="88">
        <f>-'Astra Zeneca Adjusted'!F25/AVERAGE('Astra Zeneca Adjusted'!E122:F122)</f>
        <v>2.2421417151905501</v>
      </c>
      <c r="G59" s="88">
        <f>-'Astra Zeneca Adjusted'!G25/AVERAGE('Astra Zeneca Adjusted'!F122:G122)</f>
        <v>2.8094707237195262</v>
      </c>
      <c r="H59" s="88">
        <f>-'Astra Zeneca Adjusted'!H25/AVERAGE('Astra Zeneca Adjusted'!G122:H122)</f>
        <v>2.6279332346450648</v>
      </c>
      <c r="I59" s="88">
        <f>-'Astra Zeneca Adjusted'!I25/AVERAGE('Astra Zeneca Adjusted'!H122:I122)</f>
        <v>4.6117520550520537</v>
      </c>
      <c r="J59" s="88">
        <f>-'Astra Zeneca Adjusted'!J25/AVERAGE('Astra Zeneca Adjusted'!I122:J122)</f>
        <v>3.3764672394395934</v>
      </c>
      <c r="K59" s="88">
        <f>-'Astra Zeneca Adjusted'!K25/AVERAGE('Astra Zeneca Adjusted'!J122:K122)</f>
        <v>2.7841009118836921</v>
      </c>
      <c r="L59" s="11"/>
      <c r="M59" s="11"/>
      <c r="N59" s="11"/>
      <c r="O59" s="11"/>
      <c r="P59" s="11"/>
    </row>
    <row r="60" spans="2:16" x14ac:dyDescent="0.45">
      <c r="B60" s="6" t="s">
        <v>32</v>
      </c>
      <c r="C60" s="12"/>
      <c r="D60" s="88"/>
      <c r="E60" s="88">
        <f t="shared" ref="E60:K60" si="12">360*(1/E59)</f>
        <v>171.50698193152328</v>
      </c>
      <c r="F60" s="88">
        <f t="shared" si="12"/>
        <v>160.56076989290801</v>
      </c>
      <c r="G60" s="88">
        <f t="shared" si="12"/>
        <v>128.13801438136622</v>
      </c>
      <c r="H60" s="88">
        <f t="shared" si="12"/>
        <v>136.98978164817132</v>
      </c>
      <c r="I60" s="88">
        <f t="shared" si="12"/>
        <v>78.061438625181381</v>
      </c>
      <c r="J60" s="88">
        <f t="shared" si="12"/>
        <v>106.62031480564602</v>
      </c>
      <c r="K60" s="88">
        <f t="shared" si="12"/>
        <v>129.30565787445826</v>
      </c>
      <c r="L60" s="12"/>
      <c r="M60" s="12"/>
      <c r="N60" s="12"/>
      <c r="O60" s="12"/>
      <c r="P60" s="12"/>
    </row>
    <row r="61" spans="2:16" x14ac:dyDescent="0.45">
      <c r="B61" s="6" t="s">
        <v>33</v>
      </c>
      <c r="C61" s="12"/>
      <c r="D61" s="88"/>
      <c r="E61" s="88">
        <f t="shared" ref="E61:K61" si="13">E56+E58-E60</f>
        <v>104.27387722375124</v>
      </c>
      <c r="F61" s="88">
        <f t="shared" si="13"/>
        <v>125.21672211565192</v>
      </c>
      <c r="G61" s="88">
        <f t="shared" si="13"/>
        <v>143.03851143557458</v>
      </c>
      <c r="H61" s="88">
        <f t="shared" si="13"/>
        <v>151.61582307514342</v>
      </c>
      <c r="I61" s="88">
        <f t="shared" si="13"/>
        <v>168.0918063732928</v>
      </c>
      <c r="J61" s="88">
        <f t="shared" si="13"/>
        <v>214.03018358945448</v>
      </c>
      <c r="K61" s="88">
        <f t="shared" si="13"/>
        <v>156.89572359705502</v>
      </c>
      <c r="L61" s="12"/>
      <c r="M61" s="12"/>
      <c r="N61" s="12"/>
      <c r="O61" s="12"/>
      <c r="P61" s="12"/>
    </row>
    <row r="63" spans="2:16" x14ac:dyDescent="0.45">
      <c r="B63" s="4" t="s">
        <v>395</v>
      </c>
    </row>
    <row r="64" spans="2:16" x14ac:dyDescent="0.45">
      <c r="B64" s="7" t="s">
        <v>369</v>
      </c>
      <c r="C64" s="8"/>
      <c r="D64" s="8"/>
      <c r="E64" s="8"/>
      <c r="F64" s="8"/>
      <c r="G64" s="8"/>
      <c r="H64" s="8"/>
      <c r="I64" s="8"/>
      <c r="J64" s="8"/>
      <c r="K64" s="8"/>
      <c r="L64" s="8"/>
      <c r="M64" s="8"/>
      <c r="N64" s="8"/>
      <c r="O64" s="8"/>
      <c r="P64" s="8"/>
    </row>
    <row r="65" spans="2:16" x14ac:dyDescent="0.45">
      <c r="B65" s="6" t="s">
        <v>396</v>
      </c>
      <c r="C65" s="11"/>
      <c r="D65" s="11"/>
      <c r="E65" s="11">
        <f>AVERAGE('Astra Zeneca Adjusted'!D47:E47)/AVERAGE('Astra Zeneca Adjusted'!D66:E66)</f>
        <v>0.83695369892740878</v>
      </c>
      <c r="F65" s="11">
        <f>AVERAGE('Astra Zeneca Adjusted'!E47:F47)/AVERAGE('Astra Zeneca Adjusted'!E66:F66)</f>
        <v>0.88143824200993104</v>
      </c>
      <c r="G65" s="11">
        <f>AVERAGE('Astra Zeneca Adjusted'!F47:G47)/AVERAGE('Astra Zeneca Adjusted'!F66:G66)</f>
        <v>0.90491310646796874</v>
      </c>
      <c r="H65" s="11">
        <f>AVERAGE('Astra Zeneca Adjusted'!G47:H47)/AVERAGE('Astra Zeneca Adjusted'!G66:H66)</f>
        <v>0.91144855465560204</v>
      </c>
      <c r="I65" s="11">
        <f>AVERAGE('Astra Zeneca Adjusted'!H47:I47)/AVERAGE('Astra Zeneca Adjusted'!H66:I66)</f>
        <v>1.0709033596883086</v>
      </c>
      <c r="J65" s="11">
        <f>AVERAGE('Astra Zeneca Adjusted'!I47:J47)/AVERAGE('Astra Zeneca Adjusted'!I66:J66)</f>
        <v>0.99431868254708855</v>
      </c>
      <c r="K65" s="11">
        <f>AVERAGE('Astra Zeneca Adjusted'!J47:K47)/AVERAGE('Astra Zeneca Adjusted'!J66:K66)</f>
        <v>0.83866577115298802</v>
      </c>
      <c r="L65" s="11"/>
      <c r="M65" s="11"/>
      <c r="N65" s="11"/>
      <c r="O65" s="11"/>
      <c r="P65" s="11"/>
    </row>
    <row r="66" spans="2:16" x14ac:dyDescent="0.45">
      <c r="B66" s="6" t="s">
        <v>397</v>
      </c>
      <c r="C66" s="11"/>
      <c r="D66" s="11"/>
      <c r="E66" s="11">
        <f>AVERAGE('Astra Zeneca Adjusted'!D44+'Astra Zeneca Adjusted'!D46,'Astra Zeneca Adjusted'!E44+'Astra Zeneca Adjusted'!E46)/AVERAGE('Astra Zeneca Adjusted'!D66:E66)</f>
        <v>0.50415535672993117</v>
      </c>
      <c r="F66" s="11">
        <f>AVERAGE('Astra Zeneca Adjusted'!E44+'Astra Zeneca Adjusted'!E46,'Astra Zeneca Adjusted'!F44+'Astra Zeneca Adjusted'!F46)/AVERAGE('Astra Zeneca Adjusted'!E66:F66)</f>
        <v>0.46626305308738381</v>
      </c>
      <c r="G66" s="11">
        <f>AVERAGE('Astra Zeneca Adjusted'!F44+'Astra Zeneca Adjusted'!F46,'Astra Zeneca Adjusted'!G44+'Astra Zeneca Adjusted'!G46)/AVERAGE('Astra Zeneca Adjusted'!F66:G66)</f>
        <v>0.48999752810773289</v>
      </c>
      <c r="H66" s="11">
        <f>AVERAGE('Astra Zeneca Adjusted'!G44+'Astra Zeneca Adjusted'!G46,'Astra Zeneca Adjusted'!H44+'Astra Zeneca Adjusted'!H46)/AVERAGE('Astra Zeneca Adjusted'!G66:H66)</f>
        <v>0.5363003298851462</v>
      </c>
      <c r="I66" s="11">
        <f>AVERAGE('Astra Zeneca Adjusted'!H44+'Astra Zeneca Adjusted'!H46,'Astra Zeneca Adjusted'!I44+'Astra Zeneca Adjusted'!I46)/AVERAGE('Astra Zeneca Adjusted'!H66:I66)</f>
        <v>0.56112811283201369</v>
      </c>
      <c r="J66" s="11">
        <f>AVERAGE('Astra Zeneca Adjusted'!I44+'Astra Zeneca Adjusted'!I46,'Astra Zeneca Adjusted'!J44+'Astra Zeneca Adjusted'!J46)/AVERAGE('Astra Zeneca Adjusted'!I66:J66)</f>
        <v>0.52828467159439985</v>
      </c>
      <c r="K66" s="11">
        <f>AVERAGE('Astra Zeneca Adjusted'!J44+'Astra Zeneca Adjusted'!J46,'Astra Zeneca Adjusted'!K44+'Astra Zeneca Adjusted'!K46)/AVERAGE('Astra Zeneca Adjusted'!J66:K66)</f>
        <v>0.48755757489014573</v>
      </c>
      <c r="L66" s="11"/>
      <c r="M66" s="11"/>
      <c r="N66" s="11"/>
      <c r="O66" s="11"/>
      <c r="P66" s="11"/>
    </row>
    <row r="67" spans="2:16" x14ac:dyDescent="0.45">
      <c r="B67" s="6" t="s">
        <v>398</v>
      </c>
      <c r="C67" s="11"/>
      <c r="D67" s="11"/>
      <c r="E67" s="11">
        <f>AVERAGE('Astra Zeneca Adjusted'!D46:E46)/AVERAGE('Astra Zeneca Adjusted'!D66:E66)</f>
        <v>0.33400978316939112</v>
      </c>
      <c r="F67" s="11">
        <f>AVERAGE('Astra Zeneca Adjusted'!E46:F46)/AVERAGE('Astra Zeneca Adjusted'!E66:F66)</f>
        <v>0.28869679274299198</v>
      </c>
      <c r="G67" s="11">
        <f>AVERAGE('Astra Zeneca Adjusted'!F46:G46)/AVERAGE('Astra Zeneca Adjusted'!F66:G66)</f>
        <v>0.29869825306882725</v>
      </c>
      <c r="H67" s="11">
        <f>AVERAGE('Astra Zeneca Adjusted'!G46:H46)/AVERAGE('Astra Zeneca Adjusted'!G66:H66)</f>
        <v>0.34372153480498852</v>
      </c>
      <c r="I67" s="11">
        <f>AVERAGE('Astra Zeneca Adjusted'!H46:I46)/AVERAGE('Astra Zeneca Adjusted'!H66:I66)</f>
        <v>0.33039181304686316</v>
      </c>
      <c r="J67" s="11">
        <f>AVERAGE('Astra Zeneca Adjusted'!I46:J46)/AVERAGE('Astra Zeneca Adjusted'!I66:J66)</f>
        <v>0.25728116969242321</v>
      </c>
      <c r="K67" s="11">
        <f>AVERAGE('Astra Zeneca Adjusted'!J46:K46)/AVERAGE('Astra Zeneca Adjusted'!J66:K66)</f>
        <v>0.21275263475455353</v>
      </c>
      <c r="L67" s="11"/>
      <c r="M67" s="11"/>
      <c r="N67" s="11"/>
      <c r="O67" s="11"/>
      <c r="P67" s="11"/>
    </row>
    <row r="68" spans="2:16" x14ac:dyDescent="0.45">
      <c r="B68" s="6" t="s">
        <v>399</v>
      </c>
      <c r="C68" s="11"/>
      <c r="D68" s="11"/>
      <c r="E68" s="11">
        <f>'Astra Zeneca Adjusted'!E79/AVERAGE('Astra Zeneca Adjusted'!D66:E66)</f>
        <v>0.27392639499101729</v>
      </c>
      <c r="F68" s="11">
        <f>'Astra Zeneca Adjusted'!F79/AVERAGE('Astra Zeneca Adjusted'!E66:F66)</f>
        <v>0.2124923246151007</v>
      </c>
      <c r="G68" s="11">
        <f>'Astra Zeneca Adjusted'!G79/AVERAGE('Astra Zeneca Adjusted'!F66:G66)</f>
        <v>0.22905782450039</v>
      </c>
      <c r="H68" s="11">
        <f>'Astra Zeneca Adjusted'!H79/AVERAGE('Astra Zeneca Adjusted'!G66:H66)</f>
        <v>0.30076085127170282</v>
      </c>
      <c r="I68" s="11">
        <f>'Astra Zeneca Adjusted'!I79/AVERAGE('Astra Zeneca Adjusted'!H66:I66)</f>
        <v>0.31464792973827355</v>
      </c>
      <c r="J68" s="11">
        <f>'Astra Zeneca Adjusted'!J79/AVERAGE('Astra Zeneca Adjusted'!I66:J66)</f>
        <v>0.46233759259738572</v>
      </c>
      <c r="K68" s="11">
        <f>'Astra Zeneca Adjusted'!K79/AVERAGE('Astra Zeneca Adjusted'!J66:K66)</f>
        <v>0.42016951965194588</v>
      </c>
      <c r="L68" s="11"/>
      <c r="M68" s="11"/>
      <c r="N68" s="11"/>
      <c r="O68" s="11"/>
      <c r="P68" s="11"/>
    </row>
    <row r="70" spans="2:16" x14ac:dyDescent="0.45">
      <c r="B70" s="4" t="s">
        <v>34</v>
      </c>
    </row>
    <row r="71" spans="2:16" x14ac:dyDescent="0.45">
      <c r="B71" s="7" t="s">
        <v>369</v>
      </c>
      <c r="C71" s="8"/>
      <c r="D71" s="8"/>
      <c r="E71" s="8"/>
      <c r="F71" s="8"/>
      <c r="G71" s="8"/>
      <c r="H71" s="8"/>
      <c r="I71" s="8"/>
      <c r="J71" s="8"/>
      <c r="K71" s="8"/>
      <c r="L71" s="8"/>
      <c r="M71" s="8"/>
      <c r="N71" s="8"/>
      <c r="O71" s="8"/>
      <c r="P71" s="8"/>
    </row>
    <row r="72" spans="2:16" x14ac:dyDescent="0.45">
      <c r="B72" s="6" t="s">
        <v>400</v>
      </c>
      <c r="C72" s="11"/>
      <c r="D72" s="11"/>
      <c r="E72" s="11">
        <f>AVERAGE('Astra Zeneca Adjusted'!D61+'Astra Zeneca Adjusted'!D66,'Astra Zeneca Adjusted'!E61+'Astra Zeneca Adjusted'!E66)/AVERAGE('Astra Zeneca Adjusted'!D144:E144)</f>
        <v>2.7771228009947344</v>
      </c>
      <c r="F72" s="11">
        <f>AVERAGE('Astra Zeneca Adjusted'!E61+'Astra Zeneca Adjusted'!E66,'Astra Zeneca Adjusted'!F61+'Astra Zeneca Adjusted'!F66)/AVERAGE('Astra Zeneca Adjusted'!E144:F144)</f>
        <v>3.0471509661369778</v>
      </c>
      <c r="G72" s="11">
        <f>AVERAGE('Astra Zeneca Adjusted'!F61+'Astra Zeneca Adjusted'!F66,'Astra Zeneca Adjusted'!G61+'Astra Zeneca Adjusted'!G66)/AVERAGE('Astra Zeneca Adjusted'!F144:G144)</f>
        <v>3.260184716003458</v>
      </c>
      <c r="H72" s="11">
        <f>AVERAGE('Astra Zeneca Adjusted'!G61+'Astra Zeneca Adjusted'!G66,'Astra Zeneca Adjusted'!H61+'Astra Zeneca Adjusted'!H66)/AVERAGE('Astra Zeneca Adjusted'!G144:H144)</f>
        <v>3.2358133568396066</v>
      </c>
      <c r="I72" s="11">
        <f>AVERAGE('Astra Zeneca Adjusted'!H61+'Astra Zeneca Adjusted'!H66,'Astra Zeneca Adjusted'!I61+'Astra Zeneca Adjusted'!I66)/AVERAGE('Astra Zeneca Adjusted'!H144:I144)</f>
        <v>2.1100648068182122</v>
      </c>
      <c r="J72" s="11">
        <f>AVERAGE('Astra Zeneca Adjusted'!I61+'Astra Zeneca Adjusted'!I66,'Astra Zeneca Adjusted'!J61+'Astra Zeneca Adjusted'!J66)/AVERAGE('Astra Zeneca Adjusted'!I144:J144)</f>
        <v>1.6426498438390047</v>
      </c>
      <c r="K72" s="11">
        <f>AVERAGE('Astra Zeneca Adjusted'!J61+'Astra Zeneca Adjusted'!J66,'Astra Zeneca Adjusted'!K61+'Astra Zeneca Adjusted'!K66)/AVERAGE('Astra Zeneca Adjusted'!J144:K144)</f>
        <v>1.5925688315901436</v>
      </c>
      <c r="L72" s="11"/>
      <c r="M72" s="11"/>
      <c r="N72" s="11"/>
      <c r="O72" s="11"/>
      <c r="P72" s="11"/>
    </row>
    <row r="73" spans="2:16" x14ac:dyDescent="0.45">
      <c r="B73" s="6" t="s">
        <v>35</v>
      </c>
      <c r="C73" s="11"/>
      <c r="D73" s="11"/>
      <c r="E73" s="11">
        <f>AVERAGE('Astra Zeneca Adjusted'!D140:E140)/AVERAGE('Astra Zeneca Adjusted'!D144:E144)</f>
        <v>1.2965765991469274</v>
      </c>
      <c r="F73" s="11">
        <f>AVERAGE('Astra Zeneca Adjusted'!E140:F140)/AVERAGE('Astra Zeneca Adjusted'!E144:F144)</f>
        <v>1.4943678755397793</v>
      </c>
      <c r="G73" s="11">
        <f>AVERAGE('Astra Zeneca Adjusted'!F140:G140)/AVERAGE('Astra Zeneca Adjusted'!F144:G144)</f>
        <v>1.6311231809594342</v>
      </c>
      <c r="H73" s="11">
        <f>AVERAGE('Astra Zeneca Adjusted'!G140:H140)/AVERAGE('Astra Zeneca Adjusted'!G144:H144)</f>
        <v>1.6241799616464345</v>
      </c>
      <c r="I73" s="11">
        <f>AVERAGE('Astra Zeneca Adjusted'!H140:I140)/AVERAGE('Astra Zeneca Adjusted'!H144:I144)</f>
        <v>1.1130267673446319</v>
      </c>
      <c r="J73" s="11">
        <f>AVERAGE('Astra Zeneca Adjusted'!I140:J140)/AVERAGE('Astra Zeneca Adjusted'!I144:J144)</f>
        <v>0.89164404683428511</v>
      </c>
      <c r="K73" s="11">
        <f>AVERAGE('Astra Zeneca Adjusted'!J140:K140)/AVERAGE('Astra Zeneca Adjusted'!J144:K144)</f>
        <v>0.8333424097214136</v>
      </c>
      <c r="L73" s="11"/>
      <c r="M73" s="11"/>
      <c r="N73" s="11"/>
      <c r="O73" s="11"/>
      <c r="P73" s="11"/>
    </row>
    <row r="74" spans="2:16" x14ac:dyDescent="0.45">
      <c r="B74" s="6" t="s">
        <v>36</v>
      </c>
      <c r="C74" s="11"/>
      <c r="D74" s="11"/>
      <c r="E74" s="11">
        <f>AVERAGE('Astra Zeneca Adjusted'!D140:E140)/AVERAGE('Astra Zeneca Adjusted'!D145:E145)</f>
        <v>0.5645692809151438</v>
      </c>
      <c r="F74" s="11">
        <f>AVERAGE('Astra Zeneca Adjusted'!E140:F140)/AVERAGE('Astra Zeneca Adjusted'!E145:F145)</f>
        <v>0.59909682536959352</v>
      </c>
      <c r="G74" s="11">
        <f>AVERAGE('Astra Zeneca Adjusted'!F140:G140)/AVERAGE('Astra Zeneca Adjusted'!F145:G145)</f>
        <v>0.61993417593039035</v>
      </c>
      <c r="H74" s="11">
        <f>AVERAGE('Astra Zeneca Adjusted'!G140:H140)/AVERAGE('Astra Zeneca Adjusted'!G145:H145)</f>
        <v>0.61892857402485801</v>
      </c>
      <c r="I74" s="11">
        <f>AVERAGE('Astra Zeneca Adjusted'!H140:I140)/AVERAGE('Astra Zeneca Adjusted'!H145:I145)</f>
        <v>0.52674522847778893</v>
      </c>
      <c r="J74" s="11">
        <f>AVERAGE('Astra Zeneca Adjusted'!I140:J140)/AVERAGE('Astra Zeneca Adjusted'!I145:J145)</f>
        <v>0.47135931748178228</v>
      </c>
      <c r="K74" s="11">
        <f>AVERAGE('Astra Zeneca Adjusted'!J140:K140)/AVERAGE('Astra Zeneca Adjusted'!J145:K145)</f>
        <v>0.45454815494506806</v>
      </c>
      <c r="L74" s="11"/>
      <c r="M74" s="11"/>
      <c r="N74" s="11"/>
      <c r="O74" s="11"/>
      <c r="P74" s="11"/>
    </row>
    <row r="75" spans="2:16" x14ac:dyDescent="0.45">
      <c r="B75" s="6" t="s">
        <v>37</v>
      </c>
      <c r="C75" s="11"/>
      <c r="D75" s="11"/>
      <c r="E75" s="11">
        <f>('Astra Zeneca Adjusted'!E18-'Astra Zeneca Adjusted'!E17-'Astra Zeneca Adjusted'!E15+-'Astra Zeneca Adjusted'!E15)/'Astra Zeneca Adjusted'!E15</f>
        <v>-5.3539177878418949</v>
      </c>
      <c r="F75" s="11">
        <f>('Astra Zeneca Adjusted'!F18-'Astra Zeneca Adjusted'!F17-'Astra Zeneca Adjusted'!F15+-'Astra Zeneca Adjusted'!F15)/'Astra Zeneca Adjusted'!F15</f>
        <v>-4.6787616120673521</v>
      </c>
      <c r="G75" s="11">
        <f>('Astra Zeneca Adjusted'!G18-'Astra Zeneca Adjusted'!G17-'Astra Zeneca Adjusted'!G15+-'Astra Zeneca Adjusted'!G15)/'Astra Zeneca Adjusted'!G15</f>
        <v>-3.9846139494833559</v>
      </c>
      <c r="H75" s="11">
        <f>('Astra Zeneca Adjusted'!H18-'Astra Zeneca Adjusted'!H17-'Astra Zeneca Adjusted'!H15+-'Astra Zeneca Adjusted'!H15)/'Astra Zeneca Adjusted'!H15</f>
        <v>-7.3062339917382708</v>
      </c>
      <c r="I75" s="11">
        <f>('Astra Zeneca Adjusted'!I18-'Astra Zeneca Adjusted'!I17-'Astra Zeneca Adjusted'!I15+-'Astra Zeneca Adjusted'!I15)/'Astra Zeneca Adjusted'!I15</f>
        <v>-1.6585057474766245</v>
      </c>
      <c r="J75" s="11">
        <f>('Astra Zeneca Adjusted'!J18-'Astra Zeneca Adjusted'!J17-'Astra Zeneca Adjusted'!J15+-'Astra Zeneca Adjusted'!J15)/'Astra Zeneca Adjusted'!J15</f>
        <v>-4.7273693308695064</v>
      </c>
      <c r="K75" s="11">
        <f>('Astra Zeneca Adjusted'!K18-'Astra Zeneca Adjusted'!K17-'Astra Zeneca Adjusted'!K15+-'Astra Zeneca Adjusted'!K15)/'Astra Zeneca Adjusted'!K15</f>
        <v>-7.6595547844659713</v>
      </c>
      <c r="L75" s="11"/>
      <c r="M75" s="11"/>
      <c r="N75" s="11"/>
      <c r="O75" s="11"/>
      <c r="P75" s="11"/>
    </row>
    <row r="76" spans="2:16" x14ac:dyDescent="0.45">
      <c r="B76" s="6" t="s">
        <v>401</v>
      </c>
      <c r="C76" s="11"/>
      <c r="D76" s="11"/>
      <c r="E76" s="11" t="e">
        <f>('Astra Zeneca Adjusted'!E79-E75)/-E77</f>
        <v>#DIV/0!</v>
      </c>
      <c r="F76" s="11" t="e">
        <f>('Astra Zeneca Adjusted'!F79-F75)/-F77</f>
        <v>#DIV/0!</v>
      </c>
      <c r="G76" s="11" t="e">
        <f>('Astra Zeneca Adjusted'!G79-G75)/-G77</f>
        <v>#DIV/0!</v>
      </c>
      <c r="H76" s="11" t="e">
        <f>('Astra Zeneca Adjusted'!H79-H75)/-H77</f>
        <v>#DIV/0!</v>
      </c>
      <c r="I76" s="11" t="e">
        <f>('Astra Zeneca Adjusted'!I79-I75)/-I77</f>
        <v>#DIV/0!</v>
      </c>
      <c r="J76" s="11" t="e">
        <f>('Astra Zeneca Adjusted'!J79-J75)/-J77</f>
        <v>#DIV/0!</v>
      </c>
      <c r="K76" s="11" t="e">
        <f>('Astra Zeneca Adjusted'!K79-K75)/-K77</f>
        <v>#DIV/0!</v>
      </c>
      <c r="L76" s="11"/>
      <c r="M76" s="11"/>
      <c r="N76" s="11"/>
      <c r="O76" s="11"/>
      <c r="P76" s="11"/>
    </row>
    <row r="77" spans="2:16" x14ac:dyDescent="0.45">
      <c r="B77" s="6" t="s">
        <v>402</v>
      </c>
      <c r="C77" s="11"/>
      <c r="D77" s="11"/>
      <c r="E77" s="11" t="e">
        <f>'Astra Zeneca Adjusted'!E73-(1-'Astra Zeneca Adjusted'!E104)*('Astra Zeneca Adjusted'!E86/'Astra Zeneca Adjusted'!E104)</f>
        <v>#DIV/0!</v>
      </c>
      <c r="F77" s="11" t="e">
        <f>'Astra Zeneca Adjusted'!F73-(1-'Astra Zeneca Adjusted'!F104)*('Astra Zeneca Adjusted'!F86/'Astra Zeneca Adjusted'!F104)</f>
        <v>#DIV/0!</v>
      </c>
      <c r="G77" s="11" t="e">
        <f>'Astra Zeneca Adjusted'!G73-(1-'Astra Zeneca Adjusted'!G104)*('Astra Zeneca Adjusted'!G86/'Astra Zeneca Adjusted'!G104)</f>
        <v>#DIV/0!</v>
      </c>
      <c r="H77" s="11" t="e">
        <f>'Astra Zeneca Adjusted'!H73-(1-'Astra Zeneca Adjusted'!H104)*('Astra Zeneca Adjusted'!H86/'Astra Zeneca Adjusted'!H104)</f>
        <v>#DIV/0!</v>
      </c>
      <c r="I77" s="11" t="e">
        <f>'Astra Zeneca Adjusted'!I73-(1-'Astra Zeneca Adjusted'!I104)*('Astra Zeneca Adjusted'!I86/'Astra Zeneca Adjusted'!I104)</f>
        <v>#DIV/0!</v>
      </c>
      <c r="J77" s="11" t="e">
        <f>'Astra Zeneca Adjusted'!J73-(1-'Astra Zeneca Adjusted'!J104)*('Astra Zeneca Adjusted'!J86/'Astra Zeneca Adjusted'!J104)</f>
        <v>#DIV/0!</v>
      </c>
      <c r="K77" s="11" t="e">
        <f>'Astra Zeneca Adjusted'!K73-(1-'Astra Zeneca Adjusted'!K104)*('Astra Zeneca Adjusted'!K86/'Astra Zeneca Adjusted'!K104)</f>
        <v>#DIV/0!</v>
      </c>
      <c r="L77" s="11"/>
      <c r="M77" s="11"/>
      <c r="N77" s="11"/>
      <c r="O77" s="11"/>
      <c r="P77" s="11"/>
    </row>
    <row r="78" spans="2:16" x14ac:dyDescent="0.45">
      <c r="B78" s="6" t="s">
        <v>403</v>
      </c>
      <c r="C78" s="19"/>
      <c r="D78" s="19"/>
      <c r="E78" s="19" t="e">
        <f>'Astra Zeneca Adjusted'!E86/'Astra Zeneca Adjusted'!E104</f>
        <v>#DIV/0!</v>
      </c>
      <c r="F78" s="19" t="e">
        <f>'Astra Zeneca Adjusted'!F86/'Astra Zeneca Adjusted'!F104</f>
        <v>#DIV/0!</v>
      </c>
      <c r="G78" s="19" t="e">
        <f>'Astra Zeneca Adjusted'!G86/'Astra Zeneca Adjusted'!G104</f>
        <v>#DIV/0!</v>
      </c>
      <c r="H78" s="19" t="e">
        <f>'Astra Zeneca Adjusted'!H86/'Astra Zeneca Adjusted'!H104</f>
        <v>#DIV/0!</v>
      </c>
      <c r="I78" s="19" t="e">
        <f>'Astra Zeneca Adjusted'!I86/'Astra Zeneca Adjusted'!I104</f>
        <v>#DIV/0!</v>
      </c>
      <c r="J78" s="19" t="e">
        <f>'Astra Zeneca Adjusted'!J86/'Astra Zeneca Adjusted'!J104</f>
        <v>#DIV/0!</v>
      </c>
      <c r="K78" s="19" t="e">
        <f>'Astra Zeneca Adjusted'!K86/'Astra Zeneca Adjusted'!K104</f>
        <v>#DIV/0!</v>
      </c>
      <c r="L78" s="19"/>
      <c r="M78" s="19"/>
      <c r="N78" s="19"/>
      <c r="O78" s="19"/>
      <c r="P78" s="19"/>
    </row>
    <row r="79" spans="2:16" x14ac:dyDescent="0.45">
      <c r="C79" s="16"/>
      <c r="D79" s="16"/>
      <c r="E79" s="16"/>
      <c r="F79" s="16"/>
      <c r="G79" s="16"/>
      <c r="H79" s="16"/>
      <c r="I79" s="16"/>
      <c r="J79" s="16"/>
      <c r="K79" s="16"/>
      <c r="L79" s="11"/>
      <c r="M79" s="11"/>
      <c r="N79" s="11"/>
      <c r="O79" s="11"/>
      <c r="P79" s="11"/>
    </row>
    <row r="80" spans="2:16" x14ac:dyDescent="0.45">
      <c r="B80" s="4" t="s">
        <v>38</v>
      </c>
    </row>
    <row r="81" spans="2:16" x14ac:dyDescent="0.45">
      <c r="B81" s="7" t="s">
        <v>369</v>
      </c>
      <c r="C81" s="8"/>
      <c r="D81" s="8"/>
      <c r="E81" s="8"/>
      <c r="F81" s="8"/>
      <c r="G81" s="8"/>
      <c r="H81" s="8"/>
      <c r="I81" s="8"/>
      <c r="J81" s="8"/>
      <c r="K81" s="8"/>
      <c r="L81" s="8"/>
      <c r="M81" s="8"/>
      <c r="N81" s="8"/>
      <c r="O81" s="8"/>
      <c r="P81" s="8"/>
    </row>
    <row r="82" spans="2:16" x14ac:dyDescent="0.45">
      <c r="B82" s="6" t="s">
        <v>39</v>
      </c>
      <c r="C82" s="9"/>
      <c r="D82" s="9"/>
      <c r="E82" s="9">
        <f t="shared" ref="E82:K82" si="14">E4</f>
        <v>0.17148725144281127</v>
      </c>
      <c r="F82" s="9">
        <f t="shared" si="14"/>
        <v>0.13301363021429494</v>
      </c>
      <c r="G82" s="9">
        <f t="shared" si="14"/>
        <v>8.6743921046910949E-2</v>
      </c>
      <c r="H82" s="9">
        <f t="shared" si="14"/>
        <v>0.21385319172184</v>
      </c>
      <c r="I82" s="9">
        <f t="shared" si="14"/>
        <v>4.1109993053959869E-3</v>
      </c>
      <c r="J82" s="9">
        <f t="shared" si="14"/>
        <v>9.0513365818056329E-2</v>
      </c>
      <c r="K82" s="9">
        <f t="shared" si="14"/>
        <v>0.15727334195499859</v>
      </c>
      <c r="L82" s="9"/>
      <c r="M82" s="9"/>
      <c r="N82" s="9"/>
      <c r="O82" s="9"/>
      <c r="P82" s="9"/>
    </row>
    <row r="83" spans="2:16" x14ac:dyDescent="0.45">
      <c r="B83" s="6" t="s">
        <v>404</v>
      </c>
      <c r="C83" s="13"/>
      <c r="D83" s="13"/>
      <c r="E83" s="13">
        <f>-'Astra Zeneca Adjusted'!E90/'Astra Zeneca Adjusted'!E114</f>
        <v>1.2269874999262846</v>
      </c>
      <c r="F83" s="13">
        <f>-'Astra Zeneca Adjusted'!F90/'Astra Zeneca Adjusted'!F114</f>
        <v>1.6995124668853308</v>
      </c>
      <c r="G83" s="13">
        <f>-'Astra Zeneca Adjusted'!G90/'Astra Zeneca Adjusted'!G114</f>
        <v>2.9274695539444116</v>
      </c>
      <c r="H83" s="13">
        <f>-'Astra Zeneca Adjusted'!H90/'Astra Zeneca Adjusted'!H114</f>
        <v>1.1361327948647002</v>
      </c>
      <c r="I83" s="13">
        <f>-'Astra Zeneca Adjusted'!I90/'Astra Zeneca Adjusted'!I114</f>
        <v>33.530400370046799</v>
      </c>
      <c r="J83" s="13">
        <f>-'Astra Zeneca Adjusted'!J90/'Astra Zeneca Adjusted'!J114</f>
        <v>1.362283962794772</v>
      </c>
      <c r="K83" s="13">
        <f>-'Astra Zeneca Adjusted'!K90/'Astra Zeneca Adjusted'!K114</f>
        <v>0.75339712913453061</v>
      </c>
      <c r="L83" s="13"/>
      <c r="M83" s="13"/>
      <c r="N83" s="13"/>
      <c r="O83" s="13"/>
      <c r="P83" s="13"/>
    </row>
    <row r="84" spans="2:16" x14ac:dyDescent="0.45">
      <c r="B84" s="6" t="s">
        <v>38</v>
      </c>
      <c r="C84" s="9"/>
      <c r="D84" s="9"/>
      <c r="E84" s="9">
        <f>(1-E83)*E82</f>
        <v>-3.8925462474233875E-2</v>
      </c>
      <c r="F84" s="9">
        <f t="shared" ref="F84:K84" si="15">(1-F83)*F82</f>
        <v>-9.3044692600574616E-2</v>
      </c>
      <c r="G84" s="9">
        <f t="shared" si="15"/>
        <v>-0.16719626680767871</v>
      </c>
      <c r="H84" s="9">
        <f>(1-H83)*H82</f>
        <v>-2.9112432679830647E-2</v>
      </c>
      <c r="I84" s="9">
        <f t="shared" si="15"/>
        <v>-0.13373245332551575</v>
      </c>
      <c r="J84" s="9">
        <f t="shared" si="15"/>
        <v>-3.2791540854458311E-2</v>
      </c>
      <c r="K84" s="9">
        <f t="shared" si="15"/>
        <v>3.8784057636709328E-2</v>
      </c>
      <c r="L84" s="9"/>
      <c r="M84" s="9"/>
      <c r="N84" s="9"/>
      <c r="O84" s="9"/>
      <c r="P84" s="9"/>
    </row>
  </sheetData>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0E8F0-F222-4CF4-9790-1A21F2EBC646}">
  <dimension ref="B2:R84"/>
  <sheetViews>
    <sheetView showGridLines="0" topLeftCell="A54" zoomScaleNormal="100" workbookViewId="0">
      <selection activeCell="E78" sqref="E78"/>
    </sheetView>
  </sheetViews>
  <sheetFormatPr defaultColWidth="9.1328125" defaultRowHeight="14.25" x14ac:dyDescent="0.45"/>
  <cols>
    <col min="1" max="1" width="3.33203125" style="1" customWidth="1"/>
    <col min="2" max="2" width="41.33203125" style="1" customWidth="1"/>
    <col min="3" max="16" width="14" style="1" customWidth="1"/>
    <col min="17" max="16384" width="9.1328125" style="1"/>
  </cols>
  <sheetData>
    <row r="2" spans="2:18" x14ac:dyDescent="0.45">
      <c r="B2" s="4" t="s">
        <v>368</v>
      </c>
    </row>
    <row r="3" spans="2:18" x14ac:dyDescent="0.45">
      <c r="B3" s="7" t="s">
        <v>369</v>
      </c>
      <c r="C3" s="21">
        <v>2015</v>
      </c>
      <c r="D3" s="21">
        <f t="shared" ref="D3:Q3" si="0">C3+1</f>
        <v>2016</v>
      </c>
      <c r="E3" s="21">
        <f t="shared" si="0"/>
        <v>2017</v>
      </c>
      <c r="F3" s="21">
        <f t="shared" si="0"/>
        <v>2018</v>
      </c>
      <c r="G3" s="21">
        <f t="shared" si="0"/>
        <v>2019</v>
      </c>
      <c r="H3" s="21">
        <f t="shared" si="0"/>
        <v>2020</v>
      </c>
      <c r="I3" s="21">
        <f t="shared" si="0"/>
        <v>2021</v>
      </c>
      <c r="J3" s="21">
        <f t="shared" si="0"/>
        <v>2022</v>
      </c>
      <c r="K3" s="21">
        <f t="shared" si="0"/>
        <v>2023</v>
      </c>
      <c r="L3" s="22">
        <f t="shared" si="0"/>
        <v>2024</v>
      </c>
      <c r="M3" s="22">
        <f t="shared" si="0"/>
        <v>2025</v>
      </c>
      <c r="N3" s="22">
        <f t="shared" si="0"/>
        <v>2026</v>
      </c>
      <c r="O3" s="22">
        <f t="shared" si="0"/>
        <v>2027</v>
      </c>
      <c r="P3" s="22">
        <f t="shared" si="0"/>
        <v>2028</v>
      </c>
      <c r="Q3" s="22">
        <f t="shared" si="0"/>
        <v>2029</v>
      </c>
    </row>
    <row r="4" spans="2:18" x14ac:dyDescent="0.45">
      <c r="B4" s="6" t="s">
        <v>368</v>
      </c>
      <c r="C4" s="9"/>
      <c r="E4" s="93">
        <f>'Moderna Adjusted'!E18/AVERAGE(SUM('Moderna Adjusted'!D53:D55), SUM('Moderna Adjusted'!E53:E55))</f>
        <v>-0.34415450015125215</v>
      </c>
      <c r="F4" s="93">
        <f>'Moderna Adjusted'!F18/AVERAGE(SUM('Moderna Adjusted'!E53:E55), SUM('Moderna Adjusted'!F53:F55))</f>
        <v>-0.35115080879941907</v>
      </c>
      <c r="G4" s="93">
        <f>'Moderna Adjusted'!G18/AVERAGE(SUM('Moderna Adjusted'!F53:F55), SUM('Moderna Adjusted'!G53:G55))</f>
        <v>-0.3853130020428911</v>
      </c>
      <c r="H4" s="93">
        <f>'Moderna Adjusted'!H18/AVERAGE(SUM('Moderna Adjusted'!G53:G55), SUM('Moderna Adjusted'!H53:H55))</f>
        <v>-0.4172696507426224</v>
      </c>
      <c r="I4" s="93">
        <f>'Moderna Adjusted'!I18/AVERAGE(SUM('Moderna Adjusted'!H53:H55), SUM('Moderna Adjusted'!I53:I55))</f>
        <v>1.4207040848881134</v>
      </c>
      <c r="J4" s="93">
        <f>'Moderna Adjusted'!J18/AVERAGE(SUM('Moderna Adjusted'!I53:I55), SUM('Moderna Adjusted'!J53:J55))</f>
        <v>0.52453724955276082</v>
      </c>
      <c r="K4" s="93">
        <f>'Moderna Adjusted'!K18/AVERAGE(SUM('Moderna Adjusted'!J53:J55), SUM('Moderna Adjusted'!K53:K55))</f>
        <v>-0.28657389521612386</v>
      </c>
      <c r="L4" s="9"/>
      <c r="M4" s="9"/>
      <c r="N4" s="9"/>
      <c r="O4" s="9"/>
      <c r="P4" s="9"/>
      <c r="R4" s="14"/>
    </row>
    <row r="5" spans="2:18" x14ac:dyDescent="0.45">
      <c r="B5" s="6"/>
      <c r="C5" s="9"/>
      <c r="D5" s="88"/>
      <c r="E5" s="88"/>
      <c r="F5" s="88"/>
      <c r="G5" s="88"/>
      <c r="H5" s="88"/>
      <c r="I5" s="88"/>
      <c r="J5" s="88"/>
      <c r="K5" s="88"/>
      <c r="L5" s="9"/>
      <c r="M5" s="9"/>
      <c r="N5" s="9"/>
      <c r="O5" s="9"/>
      <c r="P5" s="9"/>
      <c r="R5" s="14"/>
    </row>
    <row r="6" spans="2:18" x14ac:dyDescent="0.45">
      <c r="B6" s="4" t="s">
        <v>15</v>
      </c>
      <c r="D6" s="89"/>
      <c r="E6" s="89"/>
      <c r="F6" s="89"/>
      <c r="G6" s="89"/>
      <c r="H6" s="89"/>
      <c r="I6" s="89"/>
      <c r="J6" s="89"/>
      <c r="K6" s="89"/>
    </row>
    <row r="7" spans="2:18" x14ac:dyDescent="0.45">
      <c r="B7" s="7" t="s">
        <v>369</v>
      </c>
      <c r="C7" s="8"/>
      <c r="D7" s="90"/>
      <c r="E7" s="90"/>
      <c r="F7" s="90"/>
      <c r="G7" s="90"/>
      <c r="H7" s="90"/>
      <c r="I7" s="90"/>
      <c r="J7" s="90"/>
      <c r="K7" s="90"/>
      <c r="L7" s="8"/>
      <c r="M7" s="8"/>
      <c r="N7" s="8"/>
      <c r="O7" s="8"/>
      <c r="P7" s="8"/>
    </row>
    <row r="8" spans="2:18" x14ac:dyDescent="0.45">
      <c r="B8" s="6" t="s">
        <v>16</v>
      </c>
      <c r="C8" s="9"/>
      <c r="D8" s="88"/>
      <c r="E8" s="93">
        <f>'Moderna Adjusted'!E18/'Moderna Adjusted'!E9</f>
        <v>-1.2433673161939924</v>
      </c>
      <c r="F8" s="93">
        <f>'Moderna Adjusted'!F18/'Moderna Adjusted'!F9</f>
        <v>-2.8484364081062199</v>
      </c>
      <c r="G8" s="93">
        <f>'Moderna Adjusted'!G18/'Moderna Adjusted'!G9</f>
        <v>-8.56669776119403</v>
      </c>
      <c r="H8" s="93">
        <f>'Moderna Adjusted'!H18/'Moderna Adjusted'!H9</f>
        <v>-0.9302605574612115</v>
      </c>
      <c r="I8" s="93">
        <f>'Moderna Adjusted'!I18/'Moderna Adjusted'!I9</f>
        <v>0.66060313030278117</v>
      </c>
      <c r="J8" s="93">
        <f>'Moderna Adjusted'!J18/'Moderna Adjusted'!J9</f>
        <v>0.43409645114420198</v>
      </c>
      <c r="K8" s="93">
        <f>'Moderna Adjusted'!K18/'Moderna Adjusted'!K9</f>
        <v>-0.68837626796706064</v>
      </c>
      <c r="L8" s="9"/>
      <c r="M8" s="9"/>
      <c r="N8" s="9"/>
      <c r="O8" s="9"/>
      <c r="P8" s="9"/>
    </row>
    <row r="9" spans="2:18" x14ac:dyDescent="0.45">
      <c r="B9" s="6" t="s">
        <v>17</v>
      </c>
      <c r="C9" s="10"/>
      <c r="D9" s="91"/>
      <c r="E9" s="91">
        <f>'Moderna Adjusted'!E9/AVERAGE('Moderna Adjusted'!D50:E50)</f>
        <v>0.16248315468847077</v>
      </c>
      <c r="F9" s="91">
        <f>'Moderna Adjusted'!F9/AVERAGE('Moderna Adjusted'!E50:F50)</f>
        <v>8.749273473262098E-2</v>
      </c>
      <c r="G9" s="91">
        <f>'Moderna Adjusted'!G9/AVERAGE('Moderna Adjusted'!F50:G50)</f>
        <v>3.4248391571573077E-2</v>
      </c>
      <c r="H9" s="91">
        <f>'Moderna Adjusted'!H9/AVERAGE('Moderna Adjusted'!G50:H50)</f>
        <v>0.18999300813990624</v>
      </c>
      <c r="I9" s="91">
        <f>'Moderna Adjusted'!I9/AVERAGE('Moderna Adjusted'!H50:I50)</f>
        <v>1.1286351114037858</v>
      </c>
      <c r="J9" s="91">
        <f>'Moderna Adjusted'!J9/AVERAGE('Moderna Adjusted'!I50:J50)</f>
        <v>0.79871251815582722</v>
      </c>
      <c r="K9" s="91">
        <f>'Moderna Adjusted'!K9/AVERAGE('Moderna Adjusted'!J50:K50)</f>
        <v>0.30996762732773098</v>
      </c>
      <c r="L9" s="10"/>
      <c r="M9" s="10"/>
      <c r="N9" s="10"/>
      <c r="O9" s="10"/>
      <c r="P9" s="10"/>
    </row>
    <row r="10" spans="2:18" x14ac:dyDescent="0.45">
      <c r="B10" s="6" t="s">
        <v>18</v>
      </c>
      <c r="C10" s="9"/>
      <c r="D10" s="88"/>
      <c r="E10" s="88">
        <f t="shared" ref="E10:K10" si="1">E8*E9</f>
        <v>-0.20202624397173721</v>
      </c>
      <c r="F10" s="88">
        <f t="shared" si="1"/>
        <v>-0.24921749105717722</v>
      </c>
      <c r="G10" s="88">
        <f t="shared" si="1"/>
        <v>-0.29339561940069159</v>
      </c>
      <c r="H10" s="88">
        <f t="shared" si="1"/>
        <v>-0.17674300166596169</v>
      </c>
      <c r="I10" s="88">
        <f t="shared" si="1"/>
        <v>0.74557988756296911</v>
      </c>
      <c r="J10" s="88">
        <f t="shared" si="1"/>
        <v>0.34671826961589358</v>
      </c>
      <c r="K10" s="88">
        <f t="shared" si="1"/>
        <v>-0.21337435849046812</v>
      </c>
      <c r="L10" s="9"/>
      <c r="M10" s="9"/>
      <c r="N10" s="9"/>
      <c r="O10" s="9"/>
      <c r="P10" s="9"/>
    </row>
    <row r="11" spans="2:18" x14ac:dyDescent="0.45">
      <c r="B11" s="6" t="s">
        <v>370</v>
      </c>
      <c r="C11" s="10"/>
      <c r="D11" s="91"/>
      <c r="E11" s="91">
        <f>AVERAGE('Moderna Adjusted'!D50:E50)/AVERAGE(SUM('Moderna Adjusted'!D53:D55),SUM('Moderna Adjusted'!E53:E55))</f>
        <v>1.7035138276361668</v>
      </c>
      <c r="F11" s="91">
        <f>AVERAGE('Moderna Adjusted'!E50:F50)/AVERAGE(SUM('Moderna Adjusted'!E53:E55),SUM('Moderna Adjusted'!F53:F55))</f>
        <v>1.4090134978481732</v>
      </c>
      <c r="G11" s="91">
        <f>AVERAGE('Moderna Adjusted'!F50:G50)/AVERAGE(SUM('Moderna Adjusted'!F53:F55),SUM('Moderna Adjusted'!G53:G55))</f>
        <v>1.3132881902938969</v>
      </c>
      <c r="H11" s="91">
        <f>AVERAGE('Moderna Adjusted'!G50:H50)/AVERAGE(SUM('Moderna Adjusted'!G53:G55),SUM('Moderna Adjusted'!H53:H55))</f>
        <v>2.3608835812987263</v>
      </c>
      <c r="I11" s="91">
        <f>AVERAGE('Moderna Adjusted'!H50:I50)/AVERAGE(SUM('Moderna Adjusted'!H53:H55),SUM('Moderna Adjusted'!I53:I55))</f>
        <v>1.9055021582353584</v>
      </c>
      <c r="J11" s="91">
        <f>AVERAGE('Moderna Adjusted'!I50:J50)/AVERAGE(SUM('Moderna Adjusted'!I53:I55),SUM('Moderna Adjusted'!J53:J55))</f>
        <v>1.5128630231509324</v>
      </c>
      <c r="K11" s="91">
        <f>AVERAGE('Moderna Adjusted'!J50:K50)/AVERAGE(SUM('Moderna Adjusted'!J53:J55),SUM('Moderna Adjusted'!K53:K55))</f>
        <v>1.3430568567072023</v>
      </c>
      <c r="L11" s="10"/>
      <c r="M11" s="10"/>
      <c r="N11" s="10"/>
      <c r="O11" s="10"/>
      <c r="P11" s="10"/>
    </row>
    <row r="12" spans="2:18" x14ac:dyDescent="0.45">
      <c r="B12" s="6" t="s">
        <v>20</v>
      </c>
      <c r="C12" s="9"/>
      <c r="D12" s="88"/>
      <c r="E12" s="93">
        <f t="shared" ref="E12:K12" si="2">E10*E11</f>
        <v>-0.3441545001512521</v>
      </c>
      <c r="F12" s="93">
        <f t="shared" si="2"/>
        <v>-0.35115080879941912</v>
      </c>
      <c r="G12" s="93">
        <f t="shared" si="2"/>
        <v>-0.38531300204289121</v>
      </c>
      <c r="H12" s="93">
        <f t="shared" si="2"/>
        <v>-0.4172696507426224</v>
      </c>
      <c r="I12" s="93">
        <f t="shared" si="2"/>
        <v>1.4207040848881134</v>
      </c>
      <c r="J12" s="93">
        <f t="shared" si="2"/>
        <v>0.52453724955276082</v>
      </c>
      <c r="K12" s="93">
        <f t="shared" si="2"/>
        <v>-0.28657389521612386</v>
      </c>
      <c r="L12" s="9"/>
      <c r="M12" s="9"/>
      <c r="N12" s="9"/>
      <c r="O12" s="9"/>
      <c r="P12" s="9"/>
    </row>
    <row r="13" spans="2:18" x14ac:dyDescent="0.45">
      <c r="D13" s="89"/>
      <c r="E13" s="89"/>
      <c r="F13" s="89"/>
      <c r="G13" s="89"/>
      <c r="H13" s="89"/>
      <c r="I13" s="89"/>
      <c r="J13" s="89"/>
      <c r="K13" s="89"/>
    </row>
    <row r="14" spans="2:18" x14ac:dyDescent="0.45">
      <c r="B14" s="4" t="s">
        <v>371</v>
      </c>
      <c r="D14" s="89"/>
      <c r="E14" s="89"/>
      <c r="F14" s="89"/>
      <c r="G14" s="89"/>
      <c r="H14" s="89"/>
      <c r="I14" s="89"/>
      <c r="J14" s="89"/>
      <c r="K14" s="89"/>
    </row>
    <row r="15" spans="2:18" x14ac:dyDescent="0.45">
      <c r="B15" s="7" t="s">
        <v>369</v>
      </c>
      <c r="C15" s="8"/>
      <c r="D15" s="90"/>
      <c r="E15" s="90"/>
      <c r="F15" s="90"/>
      <c r="G15" s="90"/>
      <c r="H15" s="90"/>
      <c r="I15" s="90"/>
      <c r="J15" s="90"/>
      <c r="K15" s="90"/>
      <c r="L15" s="8"/>
      <c r="M15" s="8"/>
      <c r="N15" s="8"/>
      <c r="O15" s="8"/>
      <c r="P15" s="8"/>
    </row>
    <row r="16" spans="2:18" x14ac:dyDescent="0.45">
      <c r="B16" s="6" t="s">
        <v>22</v>
      </c>
      <c r="C16" s="9"/>
      <c r="D16" s="88"/>
      <c r="E16" s="93">
        <f>'Moderna Adjusted'!E101/'Moderna Adjusted'!E96</f>
        <v>-1.2433673161939924</v>
      </c>
      <c r="F16" s="93">
        <f>'Moderna Adjusted'!F101/'Moderna Adjusted'!F96</f>
        <v>-2.8484364081062199</v>
      </c>
      <c r="G16" s="93">
        <f>'Moderna Adjusted'!G101/'Moderna Adjusted'!G96</f>
        <v>-8.56669776119403</v>
      </c>
      <c r="H16" s="93">
        <f>'Moderna Adjusted'!H101/'Moderna Adjusted'!H96</f>
        <v>-0.9302605574612115</v>
      </c>
      <c r="I16" s="93">
        <f>'Moderna Adjusted'!I101/'Moderna Adjusted'!I96</f>
        <v>0.66060313030278117</v>
      </c>
      <c r="J16" s="93">
        <f>'Moderna Adjusted'!J101/'Moderna Adjusted'!J96</f>
        <v>0.43409645114420198</v>
      </c>
      <c r="K16" s="93">
        <f>'Moderna Adjusted'!K101/'Moderna Adjusted'!K96</f>
        <v>-0.68837626796706064</v>
      </c>
      <c r="L16" s="9"/>
      <c r="M16" s="9"/>
      <c r="N16" s="9"/>
      <c r="O16" s="9"/>
      <c r="P16" s="9"/>
    </row>
    <row r="17" spans="2:16" x14ac:dyDescent="0.45">
      <c r="B17" s="6" t="s">
        <v>23</v>
      </c>
      <c r="C17" s="10"/>
      <c r="D17" s="91"/>
      <c r="E17" s="91">
        <f>'Moderna Adjusted'!E96/AVERAGE('Moderna Adjusted'!D124+'Moderna Adjusted'!D130,'Moderna Adjusted'!E124+'Moderna Adjusted'!E130)</f>
        <v>-0.58348983292707768</v>
      </c>
      <c r="F17" s="91">
        <f>'Moderna Adjusted'!F96/AVERAGE('Moderna Adjusted'!E124+'Moderna Adjusted'!E130,'Moderna Adjusted'!F124+'Moderna Adjusted'!F130)</f>
        <v>-0.72325955797329999</v>
      </c>
      <c r="G17" s="91">
        <f>'Moderna Adjusted'!G96/AVERAGE('Moderna Adjusted'!F124+'Moderna Adjusted'!F130,'Moderna Adjusted'!G124+'Moderna Adjusted'!G130)</f>
        <v>-1.6970080734525872</v>
      </c>
      <c r="H17" s="91">
        <f>'Moderna Adjusted'!H96/AVERAGE('Moderna Adjusted'!G124+'Moderna Adjusted'!G130,'Moderna Adjusted'!H124+'Moderna Adjusted'!H130)</f>
        <v>-0.73307655975585184</v>
      </c>
      <c r="I17" s="91">
        <f>'Moderna Adjusted'!I96/AVERAGE('Moderna Adjusted'!H124+'Moderna Adjusted'!H130,'Moderna Adjusted'!I124+'Moderna Adjusted'!I130)</f>
        <v>-9.2139920885885349</v>
      </c>
      <c r="J17" s="91">
        <f>'Moderna Adjusted'!J96/AVERAGE('Moderna Adjusted'!I124+'Moderna Adjusted'!I130,'Moderna Adjusted'!J124+'Moderna Adjusted'!J130)</f>
        <v>25.812795481951504</v>
      </c>
      <c r="K17" s="91">
        <f>'Moderna Adjusted'!K96/AVERAGE('Moderna Adjusted'!J124+'Moderna Adjusted'!J130,'Moderna Adjusted'!K124+'Moderna Adjusted'!K130)</f>
        <v>2.669739219709129</v>
      </c>
      <c r="L17" s="10"/>
      <c r="M17" s="10"/>
      <c r="N17" s="10"/>
      <c r="O17" s="10"/>
      <c r="P17" s="10"/>
    </row>
    <row r="18" spans="2:16" x14ac:dyDescent="0.45">
      <c r="B18" s="6" t="s">
        <v>24</v>
      </c>
      <c r="C18" s="9"/>
      <c r="D18" s="88"/>
      <c r="E18" s="93">
        <f t="shared" ref="E18:K18" si="3">E16*E17</f>
        <v>0.72549218759302159</v>
      </c>
      <c r="F18" s="93">
        <f t="shared" si="3"/>
        <v>2.0601588574419591</v>
      </c>
      <c r="G18" s="93">
        <f t="shared" si="3"/>
        <v>14.537755263574473</v>
      </c>
      <c r="H18" s="93">
        <f t="shared" si="3"/>
        <v>0.68195220914022581</v>
      </c>
      <c r="I18" s="93">
        <f t="shared" si="3"/>
        <v>-6.0867920163066467</v>
      </c>
      <c r="J18" s="93">
        <f t="shared" si="3"/>
        <v>11.205242912826238</v>
      </c>
      <c r="K18" s="93">
        <f t="shared" si="3"/>
        <v>-1.8377851205086628</v>
      </c>
      <c r="L18" s="9"/>
      <c r="M18" s="9"/>
      <c r="N18" s="9"/>
      <c r="O18" s="9"/>
      <c r="P18" s="9"/>
    </row>
    <row r="19" spans="2:16" x14ac:dyDescent="0.45">
      <c r="B19" s="4"/>
      <c r="C19" s="9"/>
      <c r="D19" s="88"/>
      <c r="E19" s="88"/>
      <c r="F19" s="88"/>
      <c r="G19" s="88"/>
      <c r="H19" s="88"/>
      <c r="I19" s="88"/>
      <c r="J19" s="88"/>
      <c r="K19" s="88"/>
      <c r="L19" s="9"/>
      <c r="M19" s="9"/>
      <c r="N19" s="9"/>
      <c r="O19" s="9"/>
      <c r="P19" s="9"/>
    </row>
    <row r="20" spans="2:16" x14ac:dyDescent="0.45">
      <c r="B20" s="4" t="s">
        <v>372</v>
      </c>
      <c r="D20" s="89"/>
      <c r="E20" s="89"/>
      <c r="F20" s="89"/>
      <c r="G20" s="89"/>
      <c r="H20" s="89"/>
      <c r="I20" s="89"/>
      <c r="J20" s="89"/>
      <c r="K20" s="89"/>
    </row>
    <row r="21" spans="2:16" x14ac:dyDescent="0.45">
      <c r="B21" s="7"/>
      <c r="C21" s="8"/>
      <c r="D21" s="90"/>
      <c r="E21" s="90"/>
      <c r="F21" s="90"/>
      <c r="G21" s="90"/>
      <c r="H21" s="90"/>
      <c r="I21" s="90"/>
      <c r="J21" s="90"/>
      <c r="K21" s="90"/>
      <c r="L21" s="8"/>
      <c r="M21" s="8"/>
      <c r="N21" s="8"/>
      <c r="O21" s="8"/>
      <c r="P21" s="8"/>
    </row>
    <row r="22" spans="2:16" x14ac:dyDescent="0.45">
      <c r="B22" s="3" t="s">
        <v>373</v>
      </c>
      <c r="D22" s="89"/>
      <c r="E22" s="89"/>
      <c r="F22" s="89"/>
      <c r="G22" s="89"/>
      <c r="H22" s="89"/>
      <c r="I22" s="89"/>
      <c r="J22" s="89"/>
      <c r="K22" s="89"/>
    </row>
    <row r="23" spans="2:16" x14ac:dyDescent="0.45">
      <c r="B23" s="6" t="s">
        <v>96</v>
      </c>
      <c r="C23" s="9"/>
      <c r="D23" s="88"/>
      <c r="E23" s="97">
        <f>'Moderna Adjusted'!E9/'Moderna Adjusted'!E9</f>
        <v>1</v>
      </c>
      <c r="F23" s="97">
        <f>'Moderna Adjusted'!F9/'Moderna Adjusted'!F9</f>
        <v>1</v>
      </c>
      <c r="G23" s="97">
        <f>'Moderna Adjusted'!G9/'Moderna Adjusted'!G9</f>
        <v>1</v>
      </c>
      <c r="H23" s="97">
        <f>'Moderna Adjusted'!H9/'Moderna Adjusted'!H9</f>
        <v>1</v>
      </c>
      <c r="I23" s="97">
        <f>'Moderna Adjusted'!I9/'Moderna Adjusted'!I9</f>
        <v>1</v>
      </c>
      <c r="J23" s="97">
        <f>'Moderna Adjusted'!J9/'Moderna Adjusted'!J9</f>
        <v>1</v>
      </c>
      <c r="K23" s="97">
        <f>'Moderna Adjusted'!K9/'Moderna Adjusted'!K9</f>
        <v>1</v>
      </c>
      <c r="L23" s="9"/>
      <c r="M23" s="9"/>
      <c r="N23" s="9"/>
      <c r="O23" s="9"/>
      <c r="P23" s="9"/>
    </row>
    <row r="24" spans="2:16" x14ac:dyDescent="0.45">
      <c r="B24" s="6" t="s">
        <v>374</v>
      </c>
      <c r="C24" s="9"/>
      <c r="D24" s="88"/>
      <c r="E24" s="97">
        <f>'Moderna Adjusted'!E10/'Moderna Adjusted'!E9</f>
        <v>-2.3086669990084525</v>
      </c>
      <c r="F24" s="97">
        <f>'Moderna Adjusted'!F10/'Moderna Adjusted'!F9</f>
        <v>-4.059678546470999</v>
      </c>
      <c r="G24" s="97">
        <f>'Moderna Adjusted'!G10/'Moderna Adjusted'!G9</f>
        <v>-10.100018656716417</v>
      </c>
      <c r="H24" s="97">
        <f>'Moderna Adjusted'!H10/'Moderna Adjusted'!H9</f>
        <v>-1.9501871265986688</v>
      </c>
      <c r="I24" s="97">
        <f>'Moderna Adjusted'!I10/'Moderna Adjusted'!I9</f>
        <v>-0.28016891462720417</v>
      </c>
      <c r="J24" s="97">
        <f>'Moderna Adjusted'!J10/'Moderna Adjusted'!J9</f>
        <v>-0.51097959560984263</v>
      </c>
      <c r="K24" s="97">
        <f>'Moderna Adjusted'!K10/'Moderna Adjusted'!K9</f>
        <v>-1.6190129731513476</v>
      </c>
      <c r="L24" s="9"/>
      <c r="M24" s="9"/>
      <c r="N24" s="9"/>
      <c r="O24" s="9"/>
      <c r="P24" s="9"/>
    </row>
    <row r="25" spans="2:16" x14ac:dyDescent="0.45">
      <c r="B25" s="6" t="s">
        <v>256</v>
      </c>
      <c r="C25" s="13"/>
      <c r="D25" s="91"/>
      <c r="E25" s="127">
        <f>'Moderna Adjusted'!E13/'Moderna Adjusted'!E9</f>
        <v>-8.4692373851640423E-3</v>
      </c>
      <c r="F25" s="127">
        <f>'Moderna Adjusted'!F13/'Moderna Adjusted'!F9</f>
        <v>3.6504192872117404E-2</v>
      </c>
      <c r="G25" s="127">
        <f>'Moderna Adjusted'!G13/'Moderna Adjusted'!G9</f>
        <v>-0.13333955223880598</v>
      </c>
      <c r="H25" s="127">
        <f>'Moderna Adjusted'!H13/'Moderna Adjusted'!H9</f>
        <v>4.9819972285954431E-3</v>
      </c>
      <c r="I25" s="127">
        <f>'Moderna Adjusted'!I13/'Moderna Adjusted'!I9</f>
        <v>-6.4963718297708672E-4</v>
      </c>
      <c r="J25" s="127">
        <f>'Moderna Adjusted'!J13/'Moderna Adjusted'!J9</f>
        <v>-8.3060602862488513E-4</v>
      </c>
      <c r="K25" s="127">
        <f>'Moderna Adjusted'!K13/'Moderna Adjusted'!K9</f>
        <v>-1.2558370497034406E-2</v>
      </c>
      <c r="L25" s="13"/>
      <c r="M25" s="13"/>
      <c r="N25" s="13"/>
      <c r="O25" s="13"/>
      <c r="P25" s="13"/>
    </row>
    <row r="26" spans="2:16" x14ac:dyDescent="0.45">
      <c r="B26" s="6" t="s">
        <v>375</v>
      </c>
      <c r="C26" s="9"/>
      <c r="D26" s="88"/>
      <c r="E26" s="97">
        <f t="shared" ref="E26:K26" si="4">SUM(E23:E25)</f>
        <v>-1.3171362363936165</v>
      </c>
      <c r="F26" s="97">
        <f t="shared" si="4"/>
        <v>-3.0231743535988818</v>
      </c>
      <c r="G26" s="97">
        <f t="shared" si="4"/>
        <v>-9.233358208955222</v>
      </c>
      <c r="H26" s="97">
        <f t="shared" si="4"/>
        <v>-0.94520512937007328</v>
      </c>
      <c r="I26" s="97">
        <f t="shared" si="4"/>
        <v>0.71918144818981877</v>
      </c>
      <c r="J26" s="97">
        <f t="shared" si="4"/>
        <v>0.48818979836153248</v>
      </c>
      <c r="K26" s="97">
        <f t="shared" si="4"/>
        <v>-0.63157134364838208</v>
      </c>
      <c r="L26" s="9"/>
      <c r="M26" s="9"/>
      <c r="N26" s="9"/>
      <c r="O26" s="9"/>
      <c r="P26" s="9"/>
    </row>
    <row r="27" spans="2:16" x14ac:dyDescent="0.45">
      <c r="B27" s="6" t="s">
        <v>376</v>
      </c>
      <c r="C27" s="9"/>
      <c r="D27" s="88"/>
      <c r="E27" s="97">
        <f>('Moderna Adjusted'!E12+'Moderna Adjusted'!E14)/'Moderna Adjusted'!E9</f>
        <v>7.4020915619881347E-2</v>
      </c>
      <c r="F27" s="97">
        <f>('Moderna Adjusted'!F12+'Moderna Adjusted'!F14)/'Moderna Adjusted'!F9</f>
        <v>0.20006988120195668</v>
      </c>
      <c r="G27" s="97">
        <f>('Moderna Adjusted'!G12+'Moderna Adjusted'!G14)/'Moderna Adjusted'!G9</f>
        <v>0.65</v>
      </c>
      <c r="H27" s="97">
        <f>('Moderna Adjusted'!H12+'Moderna Adjusted'!H14)/'Moderna Adjusted'!H9</f>
        <v>3.1132868403716409E-2</v>
      </c>
      <c r="I27" s="97">
        <f>('Moderna Adjusted'!I12+'Moderna Adjusted'!I14)/'Moderna Adjusted'!I9</f>
        <v>9.7448777314472468E-4</v>
      </c>
      <c r="J27" s="97">
        <f>('Moderna Adjusted'!J12+'Moderna Adjusted'!J14)/'Moderna Adjusted'!J9</f>
        <v>1.0382602642681593E-2</v>
      </c>
      <c r="K27" s="97">
        <f>('Moderna Adjusted'!K12+'Moderna Adjusted'!K14)/'Moderna Adjusted'!K9</f>
        <v>6.1477879801972536E-2</v>
      </c>
      <c r="L27" s="9"/>
      <c r="M27" s="9"/>
      <c r="N27" s="9"/>
      <c r="O27" s="9"/>
      <c r="P27" s="9"/>
    </row>
    <row r="28" spans="2:16" x14ac:dyDescent="0.45">
      <c r="B28" s="6" t="s">
        <v>258</v>
      </c>
      <c r="C28" s="9"/>
      <c r="D28" s="88"/>
      <c r="E28" s="97">
        <f>'Moderna Adjusted'!E15/'Moderna Adjusted'!E9</f>
        <v>-6.4094487326273812E-4</v>
      </c>
      <c r="F28" s="97">
        <f>'Moderna Adjusted'!F15/'Moderna Adjusted'!F9</f>
        <v>-2.292103424178896E-2</v>
      </c>
      <c r="G28" s="97">
        <f>'Moderna Adjusted'!G15/'Moderna Adjusted'!G9</f>
        <v>0</v>
      </c>
      <c r="H28" s="97">
        <f>'Moderna Adjusted'!H15/'Moderna Adjusted'!H9</f>
        <v>-1.2452863406101635E-2</v>
      </c>
      <c r="I28" s="97">
        <f>'Moderna Adjusted'!I15/'Moderna Adjusted'!I9</f>
        <v>-9.2034600811678508E-4</v>
      </c>
      <c r="J28" s="97">
        <f>'Moderna Adjusted'!J15/'Moderna Adjusted'!J9</f>
        <v>-1.5054700162737884E-3</v>
      </c>
      <c r="K28" s="97">
        <f>'Moderna Adjusted'!K15/'Moderna Adjusted'!K9</f>
        <v>-5.5490951635479161E-3</v>
      </c>
      <c r="L28" s="9"/>
      <c r="M28" s="9"/>
      <c r="N28" s="9"/>
      <c r="O28" s="9"/>
      <c r="P28" s="9"/>
    </row>
    <row r="29" spans="2:16" x14ac:dyDescent="0.45">
      <c r="B29" s="6" t="s">
        <v>260</v>
      </c>
      <c r="C29" s="17"/>
      <c r="D29" s="91"/>
      <c r="E29" s="127">
        <f>'Moderna Adjusted'!E17/'Moderna Adjusted'!E9</f>
        <v>3.8894945300559314E-4</v>
      </c>
      <c r="F29" s="127">
        <f>'Moderna Adjusted'!F17/'Moderna Adjusted'!F9</f>
        <v>-2.4109014675052411E-3</v>
      </c>
      <c r="G29" s="127">
        <f>'Moderna Adjusted'!G17/'Moderna Adjusted'!G9</f>
        <v>1.666044776119403E-2</v>
      </c>
      <c r="H29" s="127">
        <f>'Moderna Adjusted'!H17/'Moderna Adjusted'!H9</f>
        <v>-3.7354330887530945E-3</v>
      </c>
      <c r="I29" s="127">
        <f>'Moderna Adjusted'!I17/'Moderna Adjusted'!I9</f>
        <v>-5.8632459652065566E-2</v>
      </c>
      <c r="J29" s="127">
        <f>'Moderna Adjusted'!J17/'Moderna Adjusted'!J9</f>
        <v>-6.297047984373845E-2</v>
      </c>
      <c r="K29" s="127">
        <f>'Moderna Adjusted'!K17/'Moderna Adjusted'!K9</f>
        <v>-0.11273370895710326</v>
      </c>
      <c r="L29" s="13"/>
      <c r="M29" s="13"/>
      <c r="N29" s="13"/>
      <c r="O29" s="13"/>
      <c r="P29" s="13"/>
    </row>
    <row r="30" spans="2:16" x14ac:dyDescent="0.45">
      <c r="B30" s="6" t="s">
        <v>323</v>
      </c>
      <c r="C30" s="15"/>
      <c r="D30" s="88"/>
      <c r="E30" s="97">
        <f t="shared" ref="E30:K30" si="5">SUM(E26:E29)</f>
        <v>-1.2433673161939922</v>
      </c>
      <c r="F30" s="97">
        <f t="shared" si="5"/>
        <v>-2.8484364081062195</v>
      </c>
      <c r="G30" s="97">
        <f t="shared" si="5"/>
        <v>-8.5666977611940283</v>
      </c>
      <c r="H30" s="97">
        <f t="shared" si="5"/>
        <v>-0.93026055746121161</v>
      </c>
      <c r="I30" s="97">
        <f t="shared" si="5"/>
        <v>0.66060313030278117</v>
      </c>
      <c r="J30" s="97">
        <f t="shared" si="5"/>
        <v>0.43409645114420187</v>
      </c>
      <c r="K30" s="97">
        <f t="shared" si="5"/>
        <v>-0.68837626796706075</v>
      </c>
      <c r="L30" s="9"/>
      <c r="M30" s="9"/>
      <c r="N30" s="9"/>
      <c r="O30" s="9"/>
      <c r="P30" s="9"/>
    </row>
    <row r="31" spans="2:16" ht="28.5" x14ac:dyDescent="0.45">
      <c r="B31" s="3" t="s">
        <v>377</v>
      </c>
      <c r="C31" s="15"/>
      <c r="D31" s="88"/>
      <c r="E31" s="88"/>
      <c r="F31" s="88"/>
      <c r="G31" s="88"/>
      <c r="H31" s="88"/>
      <c r="I31" s="88"/>
      <c r="J31" s="88"/>
      <c r="K31" s="88"/>
      <c r="L31" s="9"/>
      <c r="M31" s="9"/>
      <c r="N31" s="9"/>
      <c r="O31" s="9"/>
      <c r="P31" s="9"/>
    </row>
    <row r="32" spans="2:16" x14ac:dyDescent="0.45">
      <c r="B32" s="6" t="s">
        <v>378</v>
      </c>
      <c r="C32" s="9"/>
      <c r="D32" s="88"/>
      <c r="E32" s="88">
        <f>'Moderna Adjusted'!E25/'Moderna Adjusted'!E9</f>
        <v>-1.9942150616567054</v>
      </c>
      <c r="F32" s="88">
        <f>'Moderna Adjusted'!F25/'Moderna Adjusted'!F9</f>
        <v>-3.3618710691823899</v>
      </c>
      <c r="G32" s="88">
        <f>'Moderna Adjusted'!G25/'Moderna Adjusted'!G9</f>
        <v>-8.2666791044776122</v>
      </c>
      <c r="H32" s="88">
        <f>'Moderna Adjusted'!H25/'Moderna Adjusted'!H9</f>
        <v>-1.7160644919470252</v>
      </c>
      <c r="I32" s="88">
        <f>'Moderna Adjusted'!I25/'Moderna Adjusted'!I9</f>
        <v>-0.24947213379031716</v>
      </c>
      <c r="J32" s="88">
        <f>'Moderna Adjusted'!J25/'Moderna Adjusted'!J9</f>
        <v>-0.45221409630271453</v>
      </c>
      <c r="K32" s="88">
        <f>'Moderna Adjusted'!K25/'Moderna Adjusted'!K9</f>
        <v>-1.3928154651521718</v>
      </c>
      <c r="L32" s="9"/>
      <c r="M32" s="9"/>
      <c r="N32" s="9"/>
      <c r="O32" s="9"/>
      <c r="P32" s="9"/>
    </row>
    <row r="33" spans="2:16" x14ac:dyDescent="0.45">
      <c r="B33" s="6" t="s">
        <v>379</v>
      </c>
      <c r="C33" s="9"/>
      <c r="D33" s="88"/>
      <c r="E33" s="88">
        <f>'Moderna Adjusted'!E26/'Moderna Adjusted'!E9</f>
        <v>-0.31445193735174726</v>
      </c>
      <c r="F33" s="88">
        <f>'Moderna Adjusted'!F26/'Moderna Adjusted'!F9</f>
        <v>-0.69780747728860937</v>
      </c>
      <c r="G33" s="88">
        <f>'Moderna Adjusted'!G26/'Moderna Adjusted'!G9</f>
        <v>-1.8333395522388058</v>
      </c>
      <c r="H33" s="88">
        <f>'Moderna Adjusted'!H26/'Moderna Adjusted'!H9</f>
        <v>-0.23412263465164354</v>
      </c>
      <c r="I33" s="88">
        <f>'Moderna Adjusted'!I26/'Moderna Adjusted'!I9</f>
        <v>-3.0696780836887056E-2</v>
      </c>
      <c r="J33" s="88">
        <f>'Moderna Adjusted'!J26/'Moderna Adjusted'!J9</f>
        <v>-5.8765499307127995E-2</v>
      </c>
      <c r="K33" s="88">
        <f>'Moderna Adjusted'!K26/'Moderna Adjusted'!K9</f>
        <v>-0.22619750799917582</v>
      </c>
      <c r="L33" s="9"/>
      <c r="M33" s="9"/>
      <c r="N33" s="9"/>
      <c r="O33" s="9"/>
      <c r="P33" s="9"/>
    </row>
    <row r="34" spans="2:16" ht="28.5" x14ac:dyDescent="0.45">
      <c r="B34" s="3" t="s">
        <v>380</v>
      </c>
      <c r="C34" s="9"/>
      <c r="D34" s="88"/>
      <c r="E34" s="88"/>
      <c r="F34" s="88"/>
      <c r="G34" s="88"/>
      <c r="H34" s="88"/>
      <c r="I34" s="88"/>
      <c r="J34" s="88"/>
      <c r="K34" s="88"/>
      <c r="L34" s="9"/>
      <c r="M34" s="9"/>
      <c r="N34" s="9"/>
      <c r="O34" s="9"/>
      <c r="P34" s="9"/>
    </row>
    <row r="35" spans="2:16" x14ac:dyDescent="0.45">
      <c r="B35" s="6" t="s">
        <v>381</v>
      </c>
      <c r="C35" s="9"/>
      <c r="D35" s="88"/>
      <c r="E35" s="88" t="s">
        <v>56</v>
      </c>
      <c r="F35" s="88" t="s">
        <v>56</v>
      </c>
      <c r="G35" s="88" t="s">
        <v>56</v>
      </c>
      <c r="H35" s="88" t="s">
        <v>56</v>
      </c>
      <c r="I35" s="88" t="s">
        <v>56</v>
      </c>
      <c r="J35" s="88" t="s">
        <v>56</v>
      </c>
      <c r="K35" s="88" t="s">
        <v>56</v>
      </c>
      <c r="L35" s="9"/>
      <c r="M35" s="9"/>
      <c r="N35" s="9"/>
      <c r="O35" s="9"/>
      <c r="P35" s="9"/>
    </row>
    <row r="36" spans="2:16" x14ac:dyDescent="0.45">
      <c r="B36" s="6" t="s">
        <v>382</v>
      </c>
      <c r="C36" s="9"/>
      <c r="D36" s="88"/>
      <c r="E36" s="88" t="s">
        <v>56</v>
      </c>
      <c r="F36" s="88" t="s">
        <v>56</v>
      </c>
      <c r="G36" s="88" t="s">
        <v>56</v>
      </c>
      <c r="H36" s="88" t="s">
        <v>56</v>
      </c>
      <c r="I36" s="88" t="s">
        <v>56</v>
      </c>
      <c r="J36" s="88" t="s">
        <v>56</v>
      </c>
      <c r="K36" s="88" t="s">
        <v>56</v>
      </c>
      <c r="L36" s="9"/>
      <c r="M36" s="9"/>
      <c r="N36" s="9"/>
      <c r="O36" s="9"/>
      <c r="P36" s="9"/>
    </row>
    <row r="37" spans="2:16" x14ac:dyDescent="0.45">
      <c r="B37" s="6" t="s">
        <v>383</v>
      </c>
      <c r="C37" s="9"/>
      <c r="D37" s="88"/>
      <c r="E37" s="97">
        <f>'Moderna Standardized'!E26/'Moderna Standardized'!E5</f>
        <v>0.1154358151230121</v>
      </c>
      <c r="F37" s="97">
        <f>'Moderna Standardized'!F26/'Moderna Standardized'!F5</f>
        <v>0.24190251572327046</v>
      </c>
      <c r="G37" s="97">
        <f>'Moderna Standardized'!G26/'Moderna Standardized'!G5</f>
        <v>1.5218843283582089</v>
      </c>
      <c r="H37" s="97">
        <f>'Moderna Standardized'!H26/'Moderna Standardized'!H5</f>
        <v>0.27864825878557958</v>
      </c>
      <c r="I37" s="97">
        <f>'Moderna Standardized'!I26/'Moderna Standardized'!I5</f>
        <v>2.1186773409993639E-2</v>
      </c>
      <c r="J37" s="97">
        <f>'Moderna Standardized'!J26/'Moderna Standardized'!J5</f>
        <v>3.1341585078537321E-2</v>
      </c>
      <c r="K37" s="97">
        <f>'Moderna Standardized'!K26/'Moderna Standardized'!K5</f>
        <v>2.7591057975373673E-2</v>
      </c>
      <c r="L37" s="9"/>
      <c r="M37" s="9"/>
      <c r="N37" s="9"/>
      <c r="O37" s="9"/>
      <c r="P37" s="9"/>
    </row>
    <row r="38" spans="2:16" ht="28.5" x14ac:dyDescent="0.45">
      <c r="B38" s="6" t="s">
        <v>384</v>
      </c>
      <c r="C38" s="9"/>
      <c r="D38" s="88"/>
      <c r="E38" s="97"/>
      <c r="F38" s="97">
        <f>'Moderna Standardized'!D26/SUM('Moderna Standardized'!D35:D36)</f>
        <v>0.20557794106028282</v>
      </c>
      <c r="G38" s="97">
        <f>'Moderna Standardized'!E26/SUM('Moderna Standardized'!E35:E36)</f>
        <v>0.16280615004249399</v>
      </c>
      <c r="H38" s="97">
        <f>'Moderna Standardized'!F26/SUM('Moderna Standardized'!F35:F36)</f>
        <v>0.14020210406942013</v>
      </c>
      <c r="I38" s="97">
        <f>'Moderna Standardized'!G26/SUM('Moderna Standardized'!G35:G36)</f>
        <v>0.30449843780912528</v>
      </c>
      <c r="J38" s="97">
        <f>'Moderna Standardized'!H26/SUM('Moderna Standardized'!H35:H36)</f>
        <v>0.60018776700988685</v>
      </c>
      <c r="K38" s="97">
        <f>'Moderna Standardized'!I26/SUM('Moderna Standardized'!I35:I36)</f>
        <v>0.26347133352433705</v>
      </c>
      <c r="L38" s="9"/>
      <c r="M38" s="9"/>
      <c r="N38" s="9"/>
      <c r="O38" s="9"/>
      <c r="P38" s="9"/>
    </row>
    <row r="39" spans="2:16" x14ac:dyDescent="0.45">
      <c r="B39" s="6" t="s">
        <v>10</v>
      </c>
      <c r="C39" s="9"/>
      <c r="D39" s="88"/>
      <c r="E39" s="12"/>
      <c r="F39" s="12">
        <f t="shared" ref="F39:K39" si="6">1/F38</f>
        <v>4.8643351268255195</v>
      </c>
      <c r="G39" s="12">
        <f t="shared" si="6"/>
        <v>6.1422741078208061</v>
      </c>
      <c r="H39" s="12">
        <f t="shared" si="6"/>
        <v>7.1325605748745167</v>
      </c>
      <c r="I39" s="12">
        <f t="shared" si="6"/>
        <v>3.284089098108443</v>
      </c>
      <c r="J39" s="12">
        <f t="shared" si="6"/>
        <v>1.6661452548124445</v>
      </c>
      <c r="K39" s="12">
        <f t="shared" si="6"/>
        <v>3.7954793283331876</v>
      </c>
      <c r="L39" s="9"/>
      <c r="M39" s="9"/>
      <c r="N39" s="9"/>
      <c r="O39" s="9"/>
      <c r="P39" s="9"/>
    </row>
    <row r="40" spans="2:16" x14ac:dyDescent="0.45">
      <c r="B40" s="6" t="s">
        <v>8</v>
      </c>
      <c r="C40" s="9"/>
      <c r="D40" s="88"/>
      <c r="E40" s="97">
        <f>'Moderna Standardized'!D35/SUM('Moderna Standardized'!D35:D36)</f>
        <v>0.86908430117721414</v>
      </c>
      <c r="F40" s="97">
        <f>'Moderna Standardized'!E35/SUM('Moderna Standardized'!E35:E36)</f>
        <v>0.89457621880553184</v>
      </c>
      <c r="G40" s="97">
        <f>'Moderna Standardized'!F35/SUM('Moderna Standardized'!F35:F36)</f>
        <v>0.93731837466206291</v>
      </c>
      <c r="H40" s="97">
        <f>'Moderna Standardized'!G35/SUM('Moderna Standardized'!G35:G36)</f>
        <v>0.9576808651215224</v>
      </c>
      <c r="I40" s="97">
        <f>'Moderna Standardized'!H35/SUM('Moderna Standardized'!H35:H36)</f>
        <v>0.96749857034076348</v>
      </c>
      <c r="J40" s="97">
        <f>'Moderna Standardized'!I35/SUM('Moderna Standardized'!I35:I36)</f>
        <v>0.96780950561869283</v>
      </c>
      <c r="K40" s="97">
        <f>'Moderna Standardized'!J35/SUM('Moderna Standardized'!J35:J36)</f>
        <v>0.69335495944411385</v>
      </c>
      <c r="L40" s="9"/>
      <c r="M40" s="9"/>
      <c r="N40" s="9"/>
      <c r="O40" s="9"/>
      <c r="P40" s="9"/>
    </row>
    <row r="41" spans="2:16" x14ac:dyDescent="0.45">
      <c r="B41" s="6" t="s">
        <v>385</v>
      </c>
      <c r="C41" s="9"/>
      <c r="D41" s="88"/>
      <c r="E41" s="88">
        <f>'Moderna Standardized'!E10/'Moderna Standardized'!E5</f>
        <v>0</v>
      </c>
      <c r="F41" s="88">
        <f>'Moderna Standardized'!F10/'Moderna Standardized'!F5</f>
        <v>0</v>
      </c>
      <c r="G41" s="88">
        <f>'Moderna Standardized'!G10/'Moderna Standardized'!G5</f>
        <v>0</v>
      </c>
      <c r="H41" s="88">
        <f>'Moderna Standardized'!H10/'Moderna Standardized'!H5</f>
        <v>0</v>
      </c>
      <c r="I41" s="88">
        <f>'Moderna Standardized'!I10/'Moderna Standardized'!I5</f>
        <v>0</v>
      </c>
      <c r="J41" s="88">
        <f>'Moderna Standardized'!J10/'Moderna Standardized'!J5</f>
        <v>0</v>
      </c>
      <c r="K41" s="88">
        <f>'Moderna Standardized'!K10/'Moderna Standardized'!K5</f>
        <v>0</v>
      </c>
      <c r="L41" s="9"/>
      <c r="M41" s="9"/>
      <c r="N41" s="9"/>
      <c r="O41" s="9"/>
      <c r="P41" s="9"/>
    </row>
    <row r="42" spans="2:16" x14ac:dyDescent="0.45">
      <c r="B42" s="6"/>
      <c r="C42" s="9"/>
      <c r="D42" s="88"/>
      <c r="E42" s="88"/>
      <c r="F42" s="88"/>
      <c r="G42" s="88"/>
      <c r="H42" s="88"/>
      <c r="I42" s="88"/>
      <c r="J42" s="88"/>
      <c r="K42" s="88"/>
      <c r="L42" s="9"/>
      <c r="M42" s="9"/>
      <c r="N42" s="9"/>
      <c r="O42" s="9"/>
      <c r="P42" s="9"/>
    </row>
    <row r="43" spans="2:16" x14ac:dyDescent="0.45">
      <c r="B43" s="5" t="s">
        <v>25</v>
      </c>
      <c r="C43" s="9"/>
      <c r="D43" s="88"/>
      <c r="E43" s="88"/>
      <c r="F43" s="88"/>
      <c r="G43" s="88"/>
      <c r="H43" s="88"/>
      <c r="I43" s="88"/>
      <c r="J43" s="88"/>
      <c r="K43" s="88"/>
      <c r="L43" s="9"/>
      <c r="M43" s="9"/>
      <c r="N43" s="9"/>
      <c r="O43" s="9"/>
      <c r="P43" s="9"/>
    </row>
    <row r="44" spans="2:16" x14ac:dyDescent="0.45">
      <c r="B44" s="6" t="s">
        <v>26</v>
      </c>
      <c r="C44" s="9"/>
      <c r="D44" s="16"/>
      <c r="E44" s="16">
        <f t="shared" ref="E44:K44" si="7">1+E32</f>
        <v>-0.99421506165670537</v>
      </c>
      <c r="F44" s="16">
        <f t="shared" si="7"/>
        <v>-2.3618710691823899</v>
      </c>
      <c r="G44" s="16">
        <f t="shared" si="7"/>
        <v>-7.2666791044776122</v>
      </c>
      <c r="H44" s="16">
        <f t="shared" si="7"/>
        <v>-0.71606449194702515</v>
      </c>
      <c r="I44" s="16">
        <f t="shared" si="7"/>
        <v>0.75052786620968281</v>
      </c>
      <c r="J44" s="16">
        <f t="shared" si="7"/>
        <v>0.54778590369728541</v>
      </c>
      <c r="K44" s="16">
        <f t="shared" si="7"/>
        <v>-0.39281546515217181</v>
      </c>
      <c r="L44" s="9"/>
      <c r="M44" s="9"/>
      <c r="N44" s="9"/>
      <c r="O44" s="9"/>
      <c r="P44" s="9"/>
    </row>
    <row r="45" spans="2:16" x14ac:dyDescent="0.45">
      <c r="B45" s="6" t="s">
        <v>27</v>
      </c>
      <c r="C45" s="9"/>
      <c r="D45" s="88"/>
      <c r="E45" s="93">
        <f t="shared" ref="E45:K45" si="8">SUM(E26:E27)-E37</f>
        <v>-1.3585511358967473</v>
      </c>
      <c r="F45" s="93">
        <f t="shared" si="8"/>
        <v>-3.0650069881201953</v>
      </c>
      <c r="G45" s="93">
        <f t="shared" si="8"/>
        <v>-10.10524253731343</v>
      </c>
      <c r="H45" s="93">
        <f t="shared" si="8"/>
        <v>-1.1927205197519364</v>
      </c>
      <c r="I45" s="93">
        <f t="shared" si="8"/>
        <v>0.69896916255296981</v>
      </c>
      <c r="J45" s="93">
        <f t="shared" si="8"/>
        <v>0.46723081592567672</v>
      </c>
      <c r="K45" s="93">
        <f t="shared" si="8"/>
        <v>-0.59768452182178322</v>
      </c>
      <c r="L45" s="9"/>
      <c r="M45" s="9"/>
      <c r="N45" s="9"/>
      <c r="O45" s="9"/>
      <c r="P45" s="9"/>
    </row>
    <row r="46" spans="2:16" x14ac:dyDescent="0.45">
      <c r="D46" s="89"/>
      <c r="E46" s="89"/>
      <c r="F46" s="89"/>
      <c r="G46" s="89"/>
      <c r="H46" s="89"/>
      <c r="I46" s="89"/>
      <c r="J46" s="89"/>
      <c r="K46" s="89"/>
    </row>
    <row r="47" spans="2:16" x14ac:dyDescent="0.45">
      <c r="B47" s="4" t="s">
        <v>28</v>
      </c>
      <c r="D47" s="89"/>
      <c r="E47" s="89"/>
      <c r="F47" s="89"/>
      <c r="G47" s="89"/>
      <c r="H47" s="89"/>
      <c r="I47" s="89"/>
      <c r="J47" s="89"/>
      <c r="K47" s="89"/>
    </row>
    <row r="48" spans="2:16" x14ac:dyDescent="0.45">
      <c r="B48" s="7" t="s">
        <v>369</v>
      </c>
      <c r="C48" s="8"/>
      <c r="D48" s="90"/>
      <c r="E48" s="90"/>
      <c r="F48" s="90"/>
      <c r="G48" s="90"/>
      <c r="H48" s="90"/>
      <c r="I48" s="90"/>
      <c r="J48" s="90"/>
      <c r="K48" s="90"/>
      <c r="L48" s="8"/>
      <c r="M48" s="8"/>
      <c r="N48" s="8"/>
      <c r="O48" s="8"/>
      <c r="P48" s="8"/>
    </row>
    <row r="49" spans="2:16" x14ac:dyDescent="0.45">
      <c r="B49" s="6" t="s">
        <v>386</v>
      </c>
      <c r="C49" s="9"/>
      <c r="D49" s="16"/>
      <c r="E49" s="16">
        <f>AVERAGE('Moderna Adjusted'!D124:E124)/'Moderna Adjusted'!E96</f>
        <v>-0.69718326640846273</v>
      </c>
      <c r="F49" s="16">
        <f>AVERAGE('Moderna Adjusted'!E124:F124)/'Moderna Adjusted'!F96</f>
        <v>-1.2239380241090145</v>
      </c>
      <c r="G49" s="16">
        <f>AVERAGE('Moderna Adjusted'!F124:G124)/'Moderna Adjusted'!G96</f>
        <v>-2.3434794776119401</v>
      </c>
      <c r="H49" s="16">
        <f>AVERAGE('Moderna Adjusted'!G124:H124)/'Moderna Adjusted'!H96</f>
        <v>-1.5939489107471438</v>
      </c>
      <c r="I49" s="16">
        <f>AVERAGE('Moderna Adjusted'!H124:I124)/'Moderna Adjusted'!I96</f>
        <v>-0.14422271688624699</v>
      </c>
      <c r="J49" s="16">
        <f>AVERAGE('Moderna Adjusted'!I124:J124)/'Moderna Adjusted'!J96</f>
        <v>-6.9990278127782066E-2</v>
      </c>
      <c r="K49" s="16">
        <f>AVERAGE('Moderna Adjusted'!J124:K124)/'Moderna Adjusted'!K96</f>
        <v>-8.1795908716634641E-2</v>
      </c>
      <c r="L49" s="9"/>
      <c r="M49" s="9"/>
      <c r="N49" s="9"/>
      <c r="O49" s="9"/>
      <c r="P49" s="9"/>
    </row>
    <row r="50" spans="2:16" x14ac:dyDescent="0.45">
      <c r="B50" s="6" t="s">
        <v>387</v>
      </c>
      <c r="C50" s="9"/>
      <c r="D50" s="16"/>
      <c r="E50" s="16">
        <f>AVERAGE('Moderna Adjusted'!D130:E130)/'Moderna Adjusted'!E96</f>
        <v>-1.0166426540595914</v>
      </c>
      <c r="F50" s="16">
        <f>AVERAGE('Moderna Adjusted'!E130:F130)/'Moderna Adjusted'!F96</f>
        <v>-0.15869147449336141</v>
      </c>
      <c r="G50" s="16">
        <f>AVERAGE('Moderna Adjusted'!F130:G130)/'Moderna Adjusted'!G96</f>
        <v>1.7542070895522384</v>
      </c>
      <c r="H50" s="16">
        <f>AVERAGE('Moderna Adjusted'!G130:H130)/'Moderna Adjusted'!H96</f>
        <v>0.2298349083392017</v>
      </c>
      <c r="I50" s="16">
        <f>AVERAGE('Moderna Adjusted'!H130:I130)/'Moderna Adjusted'!I96</f>
        <v>3.5692126629012756E-2</v>
      </c>
      <c r="J50" s="16">
        <f>AVERAGE('Moderna Adjusted'!I130:J130)/'Moderna Adjusted'!J96</f>
        <v>0.10873075475299715</v>
      </c>
      <c r="K50" s="16">
        <f>AVERAGE('Moderna Adjusted'!J130:K130)/'Moderna Adjusted'!K96</f>
        <v>0.45636432821528178</v>
      </c>
      <c r="L50" s="9"/>
      <c r="M50" s="9"/>
      <c r="N50" s="9"/>
      <c r="O50" s="9"/>
      <c r="P50" s="9"/>
    </row>
    <row r="51" spans="2:16" x14ac:dyDescent="0.45">
      <c r="B51" s="6" t="s">
        <v>389</v>
      </c>
      <c r="C51" s="9"/>
      <c r="D51" s="16"/>
      <c r="E51" s="16">
        <f>AVERAGE('Moderna Adjusted'!D126:E126)/'Moderna Adjusted'!E96</f>
        <v>0.5280536640681921</v>
      </c>
      <c r="F51" s="16">
        <f>AVERAGE('Moderna Adjusted'!E126:F126)/'Moderna Adjusted'!F96</f>
        <v>1.3143169112508735</v>
      </c>
      <c r="G51" s="16">
        <f>AVERAGE('Moderna Adjusted'!F126:G126)/'Moderna Adjusted'!G96</f>
        <v>4.1203078358208955</v>
      </c>
      <c r="H51" s="16">
        <f>AVERAGE('Moderna Adjusted'!G126:H126)/'Moderna Adjusted'!H96</f>
        <v>0.40671568683128506</v>
      </c>
      <c r="I51" s="16">
        <f>AVERAGE('Moderna Adjusted'!H126:I126)/'Moderna Adjusted'!I96</f>
        <v>4.9036215785012396E-2</v>
      </c>
      <c r="J51" s="16">
        <f>AVERAGE('Moderna Adjusted'!I126:J126)/'Moderna Adjusted'!J96</f>
        <v>8.7789998610654382E-2</v>
      </c>
      <c r="K51" s="16">
        <f>AVERAGE('Moderna Adjusted'!J126:K126)/'Moderna Adjusted'!K96</f>
        <v>0.34784711054691236</v>
      </c>
      <c r="L51" s="9"/>
      <c r="M51" s="9"/>
      <c r="N51" s="9"/>
      <c r="O51" s="9"/>
      <c r="P51" s="9"/>
    </row>
    <row r="52" spans="2:16" x14ac:dyDescent="0.45">
      <c r="B52" s="6" t="s">
        <v>390</v>
      </c>
      <c r="C52" s="11"/>
      <c r="D52" s="88"/>
      <c r="E52" s="88">
        <f t="shared" ref="E52:K54" si="9">1/E49</f>
        <v>-1.4343430890868862</v>
      </c>
      <c r="F52" s="88">
        <f t="shared" si="9"/>
        <v>-0.81703483371060892</v>
      </c>
      <c r="G52" s="88">
        <f t="shared" si="9"/>
        <v>-0.42671591944940912</v>
      </c>
      <c r="H52" s="88">
        <f t="shared" si="9"/>
        <v>-0.62737268005112057</v>
      </c>
      <c r="I52" s="88">
        <f t="shared" si="9"/>
        <v>-6.9337204400935777</v>
      </c>
      <c r="J52" s="88">
        <f t="shared" si="9"/>
        <v>-14.287698616860592</v>
      </c>
      <c r="K52" s="88">
        <f t="shared" si="9"/>
        <v>-12.225550344630285</v>
      </c>
      <c r="L52" s="11"/>
      <c r="M52" s="11"/>
      <c r="N52" s="11"/>
      <c r="O52" s="11"/>
      <c r="P52" s="11"/>
    </row>
    <row r="53" spans="2:16" x14ac:dyDescent="0.45">
      <c r="B53" s="6" t="s">
        <v>391</v>
      </c>
      <c r="C53" s="11"/>
      <c r="D53" s="88"/>
      <c r="E53" s="88">
        <f t="shared" si="9"/>
        <v>-0.9836297896875219</v>
      </c>
      <c r="F53" s="88">
        <f t="shared" si="9"/>
        <v>-6.3015357516375801</v>
      </c>
      <c r="G53" s="88">
        <f t="shared" si="9"/>
        <v>0.57005812253059029</v>
      </c>
      <c r="H53" s="88">
        <f t="shared" si="9"/>
        <v>4.3509491540081919</v>
      </c>
      <c r="I53" s="88">
        <f t="shared" si="9"/>
        <v>28.017383508528138</v>
      </c>
      <c r="J53" s="88">
        <f t="shared" si="9"/>
        <v>9.1970298768889496</v>
      </c>
      <c r="K53" s="88">
        <f t="shared" si="9"/>
        <v>2.1912317378326462</v>
      </c>
      <c r="L53" s="11"/>
      <c r="M53" s="11"/>
      <c r="N53" s="11"/>
      <c r="O53" s="11"/>
      <c r="P53" s="11"/>
    </row>
    <row r="54" spans="2:16" x14ac:dyDescent="0.45">
      <c r="B54" s="6" t="s">
        <v>29</v>
      </c>
      <c r="C54" s="11"/>
      <c r="D54" s="88"/>
      <c r="E54" s="88">
        <f t="shared" si="9"/>
        <v>1.8937469201442023</v>
      </c>
      <c r="F54" s="88">
        <f t="shared" si="9"/>
        <v>0.76085150502116805</v>
      </c>
      <c r="G54" s="88">
        <f t="shared" si="9"/>
        <v>0.24270031265777217</v>
      </c>
      <c r="H54" s="88">
        <f t="shared" si="9"/>
        <v>2.4587200159182028</v>
      </c>
      <c r="I54" s="88">
        <f t="shared" si="9"/>
        <v>20.393090779766972</v>
      </c>
      <c r="J54" s="88">
        <f t="shared" si="9"/>
        <v>11.390819180154741</v>
      </c>
      <c r="K54" s="88">
        <f t="shared" si="9"/>
        <v>2.8748262373883802</v>
      </c>
      <c r="L54" s="11"/>
      <c r="M54" s="11"/>
      <c r="N54" s="11"/>
      <c r="O54" s="11"/>
      <c r="P54" s="11"/>
    </row>
    <row r="55" spans="2:16" x14ac:dyDescent="0.45">
      <c r="B55" s="6" t="s">
        <v>392</v>
      </c>
      <c r="C55" s="11"/>
      <c r="D55" s="88"/>
      <c r="E55" s="88">
        <f>'Moderna Adjusted'!E96/AVERAGE('Moderna Adjusted'!D119:E119)</f>
        <v>15.213818393965912</v>
      </c>
      <c r="F55" s="88">
        <f>'Moderna Adjusted'!F96/AVERAGE('Moderna Adjusted'!E119:F119)</f>
        <v>10.329333213028963</v>
      </c>
      <c r="G55" s="88">
        <f>'Moderna Adjusted'!G96/AVERAGE('Moderna Adjusted'!F119:G119)</f>
        <v>6.7951318458417855</v>
      </c>
      <c r="H55" s="88">
        <f>'Moderna Adjusted'!H96/AVERAGE('Moderna Adjusted'!G119:H119)</f>
        <v>1.2335919896806011</v>
      </c>
      <c r="I55" s="88">
        <f>'Moderna Adjusted'!I96/AVERAGE('Moderna Adjusted'!H119:I119)</f>
        <v>7.9541660420252782</v>
      </c>
      <c r="J55" s="88">
        <f>'Moderna Adjusted'!J96/AVERAGE('Moderna Adjusted'!I119:J119)</f>
        <v>8.8926764833765564</v>
      </c>
      <c r="K55" s="88">
        <f>'Moderna Adjusted'!K96/AVERAGE('Moderna Adjusted'!J119:K119)</f>
        <v>5.9284843084083203</v>
      </c>
      <c r="L55" s="11"/>
      <c r="M55" s="11"/>
      <c r="N55" s="11"/>
      <c r="O55" s="11"/>
      <c r="P55" s="11"/>
    </row>
    <row r="56" spans="2:16" x14ac:dyDescent="0.45">
      <c r="B56" s="6" t="s">
        <v>30</v>
      </c>
      <c r="C56" s="12"/>
      <c r="D56" s="88"/>
      <c r="E56" s="88">
        <f t="shared" ref="E56:K56" si="10">360*(1/E55)</f>
        <v>23.662698651824503</v>
      </c>
      <c r="F56" s="88">
        <f t="shared" si="10"/>
        <v>34.852201257861637</v>
      </c>
      <c r="G56" s="88">
        <f t="shared" si="10"/>
        <v>52.979104477611934</v>
      </c>
      <c r="H56" s="88">
        <f t="shared" si="10"/>
        <v>291.83068876218175</v>
      </c>
      <c r="I56" s="88">
        <f t="shared" si="10"/>
        <v>45.25930161602929</v>
      </c>
      <c r="J56" s="88">
        <f t="shared" si="10"/>
        <v>40.48275012286377</v>
      </c>
      <c r="K56" s="88">
        <f t="shared" si="10"/>
        <v>60.723783900282065</v>
      </c>
      <c r="L56" s="12"/>
      <c r="M56" s="12"/>
      <c r="N56" s="12"/>
      <c r="O56" s="12"/>
      <c r="P56" s="12"/>
    </row>
    <row r="57" spans="2:16" x14ac:dyDescent="0.45">
      <c r="B57" s="6" t="s">
        <v>393</v>
      </c>
      <c r="C57" s="11"/>
      <c r="D57" s="88"/>
      <c r="E57" s="88" t="e">
        <f>-'Moderna Adjusted'!E25/AVERAGE('Moderna Adjusted'!D120:E120)</f>
        <v>#DIV/0!</v>
      </c>
      <c r="F57" s="88" t="e">
        <f>-'Moderna Adjusted'!F25/AVERAGE('Moderna Adjusted'!E120:F120)</f>
        <v>#DIV/0!</v>
      </c>
      <c r="G57" s="88" t="e">
        <f>-'Moderna Adjusted'!G25/AVERAGE('Moderna Adjusted'!F120:G120)</f>
        <v>#DIV/0!</v>
      </c>
      <c r="H57" s="88">
        <f>-'Moderna Adjusted'!H25/AVERAGE('Moderna Adjusted'!G120:H120)</f>
        <v>62.914712541967042</v>
      </c>
      <c r="I57" s="88">
        <f>-'Moderna Adjusted'!I25/AVERAGE('Moderna Adjusted'!H120:I120)</f>
        <v>5.0045325200773112</v>
      </c>
      <c r="J57" s="88">
        <f>-'Moderna Adjusted'!J25/AVERAGE('Moderna Adjusted'!I120:J120)</f>
        <v>6.3444575106954408</v>
      </c>
      <c r="K57" s="88">
        <f>-'Moderna Adjusted'!K25/AVERAGE('Moderna Adjusted'!J120:K120)</f>
        <v>13.830390382292281</v>
      </c>
      <c r="L57" s="11"/>
      <c r="M57" s="11"/>
      <c r="N57" s="11"/>
      <c r="O57" s="11"/>
      <c r="P57" s="11"/>
    </row>
    <row r="58" spans="2:16" x14ac:dyDescent="0.45">
      <c r="B58" s="6" t="s">
        <v>31</v>
      </c>
      <c r="C58" s="12"/>
      <c r="D58" s="88"/>
      <c r="E58" s="88" t="e">
        <f>360*(1/E57)</f>
        <v>#DIV/0!</v>
      </c>
      <c r="F58" s="88" t="e">
        <f t="shared" ref="F58:K58" si="11">360*(1/F57)</f>
        <v>#DIV/0!</v>
      </c>
      <c r="G58" s="88" t="e">
        <f t="shared" si="11"/>
        <v>#DIV/0!</v>
      </c>
      <c r="H58" s="88">
        <f t="shared" si="11"/>
        <v>5.7220320248600558</v>
      </c>
      <c r="I58" s="88">
        <f t="shared" si="11"/>
        <v>71.934790823267278</v>
      </c>
      <c r="J58" s="88">
        <f t="shared" si="11"/>
        <v>56.742440057816545</v>
      </c>
      <c r="K58" s="88">
        <f t="shared" si="11"/>
        <v>26.02963401965323</v>
      </c>
      <c r="L58" s="12"/>
      <c r="M58" s="12"/>
      <c r="N58" s="12"/>
      <c r="O58" s="12"/>
      <c r="P58" s="12"/>
    </row>
    <row r="59" spans="2:16" x14ac:dyDescent="0.45">
      <c r="B59" s="6" t="s">
        <v>394</v>
      </c>
      <c r="C59" s="11"/>
      <c r="D59" s="88"/>
      <c r="E59" s="88">
        <f>-'Moderna Adjusted'!E25/AVERAGE('Moderna Adjusted'!D122:E122)</f>
        <v>16.562627963055643</v>
      </c>
      <c r="F59" s="88">
        <f>-'Moderna Adjusted'!F25/AVERAGE('Moderna Adjusted'!E122:F122)</f>
        <v>17.290011006536535</v>
      </c>
      <c r="G59" s="88">
        <f>-'Moderna Adjusted'!G25/AVERAGE('Moderna Adjusted'!F122:G122)</f>
        <v>26.392709295053162</v>
      </c>
      <c r="H59" s="88">
        <f>-'Moderna Adjusted'!H25/AVERAGE('Moderna Adjusted'!G122:H122)</f>
        <v>114.9323444111634</v>
      </c>
      <c r="I59" s="88">
        <f>-'Moderna Adjusted'!I25/AVERAGE('Moderna Adjusted'!H122:I122)</f>
        <v>27.817793223532103</v>
      </c>
      <c r="J59" s="88">
        <f>-'Moderna Adjusted'!J25/AVERAGE('Moderna Adjusted'!I122:J122)</f>
        <v>22.979755558174524</v>
      </c>
      <c r="K59" s="88">
        <f>-'Moderna Adjusted'!K25/AVERAGE('Moderna Adjusted'!J122:K122)</f>
        <v>19.049913079157353</v>
      </c>
      <c r="L59" s="11"/>
      <c r="M59" s="11"/>
      <c r="N59" s="11"/>
      <c r="O59" s="11"/>
      <c r="P59" s="11"/>
    </row>
    <row r="60" spans="2:16" x14ac:dyDescent="0.45">
      <c r="B60" s="6" t="s">
        <v>32</v>
      </c>
      <c r="C60" s="12"/>
      <c r="D60" s="88"/>
      <c r="E60" s="88">
        <f t="shared" ref="E60:K60" si="12">360*(1/E59)</f>
        <v>21.735681125181991</v>
      </c>
      <c r="F60" s="88">
        <f t="shared" si="12"/>
        <v>20.821270724691907</v>
      </c>
      <c r="G60" s="88">
        <f t="shared" si="12"/>
        <v>13.640130536635565</v>
      </c>
      <c r="H60" s="88">
        <f t="shared" si="12"/>
        <v>3.1322775311371198</v>
      </c>
      <c r="I60" s="88">
        <f t="shared" si="12"/>
        <v>12.94135724955575</v>
      </c>
      <c r="J60" s="88">
        <f t="shared" si="12"/>
        <v>15.665962985926463</v>
      </c>
      <c r="K60" s="88">
        <f t="shared" si="12"/>
        <v>18.897724021317376</v>
      </c>
      <c r="L60" s="12"/>
      <c r="M60" s="12"/>
      <c r="N60" s="12"/>
      <c r="O60" s="12"/>
      <c r="P60" s="12"/>
    </row>
    <row r="61" spans="2:16" x14ac:dyDescent="0.45">
      <c r="B61" s="6" t="s">
        <v>33</v>
      </c>
      <c r="C61" s="12"/>
      <c r="D61" s="88"/>
      <c r="E61" s="88" t="e">
        <f>E56+E58-E60</f>
        <v>#DIV/0!</v>
      </c>
      <c r="F61" s="88" t="e">
        <f t="shared" ref="F61:K61" si="13">F56+F58-F60</f>
        <v>#DIV/0!</v>
      </c>
      <c r="G61" s="88" t="e">
        <f t="shared" si="13"/>
        <v>#DIV/0!</v>
      </c>
      <c r="H61" s="88">
        <f t="shared" si="13"/>
        <v>294.42044325590473</v>
      </c>
      <c r="I61" s="88">
        <f t="shared" si="13"/>
        <v>104.25273518974082</v>
      </c>
      <c r="J61" s="88">
        <f t="shared" si="13"/>
        <v>81.559227194753845</v>
      </c>
      <c r="K61" s="88">
        <f t="shared" si="13"/>
        <v>67.855693898617915</v>
      </c>
      <c r="L61" s="12"/>
      <c r="M61" s="12"/>
      <c r="N61" s="12"/>
      <c r="O61" s="12"/>
      <c r="P61" s="12"/>
    </row>
    <row r="63" spans="2:16" x14ac:dyDescent="0.45">
      <c r="B63" s="4" t="s">
        <v>395</v>
      </c>
    </row>
    <row r="64" spans="2:16" x14ac:dyDescent="0.45">
      <c r="B64" s="7" t="s">
        <v>369</v>
      </c>
      <c r="C64" s="8"/>
      <c r="D64" s="8"/>
      <c r="E64" s="8"/>
      <c r="F64" s="8"/>
      <c r="G64" s="8"/>
      <c r="H64" s="8"/>
      <c r="I64" s="8"/>
      <c r="J64" s="8"/>
      <c r="K64" s="8"/>
      <c r="L64" s="8"/>
      <c r="M64" s="8"/>
      <c r="N64" s="8"/>
      <c r="O64" s="8"/>
      <c r="P64" s="8"/>
    </row>
    <row r="65" spans="2:16" x14ac:dyDescent="0.45">
      <c r="B65" s="6" t="s">
        <v>396</v>
      </c>
      <c r="C65" s="11"/>
      <c r="D65" s="11"/>
      <c r="E65" s="11">
        <f>AVERAGE('Moderna Adjusted'!D47:E47)/AVERAGE('Moderna Adjusted'!D66:E66)</f>
        <v>5.3633220529096484</v>
      </c>
      <c r="F65" s="11">
        <f>AVERAGE('Moderna Adjusted'!E47:F47)/AVERAGE('Moderna Adjusted'!E66:F66)</f>
        <v>5.6981211480993998</v>
      </c>
      <c r="G65" s="11">
        <f>AVERAGE('Moderna Adjusted'!F47:G47)/AVERAGE('Moderna Adjusted'!F66:G66)</f>
        <v>7.3604696284384739</v>
      </c>
      <c r="H65" s="11">
        <f>AVERAGE('Moderna Adjusted'!G47:H47)/AVERAGE('Moderna Adjusted'!G66:H66)</f>
        <v>1.6564209543813035</v>
      </c>
      <c r="I65" s="11">
        <f>AVERAGE('Moderna Adjusted'!H47:I47)/AVERAGE('Moderna Adjusted'!H66:I66)</f>
        <v>1.6600153311545747</v>
      </c>
      <c r="J65" s="11">
        <f>AVERAGE('Moderna Adjusted'!I47:J47)/AVERAGE('Moderna Adjusted'!I66:J66)</f>
        <v>2.1134525208104709</v>
      </c>
      <c r="K65" s="11">
        <f>AVERAGE('Moderna Adjusted'!J47:K47)/AVERAGE('Moderna Adjusted'!J66:K66)</f>
        <v>2.987189334021259</v>
      </c>
      <c r="L65" s="11"/>
      <c r="M65" s="11"/>
      <c r="N65" s="11"/>
      <c r="O65" s="11"/>
      <c r="P65" s="11"/>
    </row>
    <row r="66" spans="2:16" x14ac:dyDescent="0.45">
      <c r="B66" s="6" t="s">
        <v>397</v>
      </c>
      <c r="C66" s="11"/>
      <c r="D66" s="11"/>
      <c r="E66" s="11">
        <f>AVERAGE('Moderna Adjusted'!D44+'Moderna Adjusted'!D46,'Moderna Adjusted'!E44+'Moderna Adjusted'!E46)/AVERAGE('Moderna Adjusted'!D66:E66)</f>
        <v>5.2799552606925033</v>
      </c>
      <c r="F66" s="11">
        <f>AVERAGE('Moderna Adjusted'!E44+'Moderna Adjusted'!E46,'Moderna Adjusted'!F44+'Moderna Adjusted'!F46)/AVERAGE('Moderna Adjusted'!E66:F66)</f>
        <v>5.5941911503025024</v>
      </c>
      <c r="G66" s="11">
        <f>AVERAGE('Moderna Adjusted'!F44+'Moderna Adjusted'!F46,'Moderna Adjusted'!G44+'Moderna Adjusted'!G46)/AVERAGE('Moderna Adjusted'!F66:G66)</f>
        <v>7.2253272777507016</v>
      </c>
      <c r="H66" s="11">
        <f>AVERAGE('Moderna Adjusted'!G44+'Moderna Adjusted'!G46,'Moderna Adjusted'!H44+'Moderna Adjusted'!H46)/AVERAGE('Moderna Adjusted'!G66:H66)</f>
        <v>1.5857326718230307</v>
      </c>
      <c r="I66" s="11">
        <f>AVERAGE('Moderna Adjusted'!H44+'Moderna Adjusted'!H46,'Moderna Adjusted'!I44+'Moderna Adjusted'!I46)/AVERAGE('Moderna Adjusted'!H66:I66)</f>
        <v>1.474757192860948</v>
      </c>
      <c r="J66" s="11">
        <f>AVERAGE('Moderna Adjusted'!I44+'Moderna Adjusted'!I46,'Moderna Adjusted'!J44+'Moderna Adjusted'!J46)/AVERAGE('Moderna Adjusted'!I66:J66)</f>
        <v>1.8063403374558871</v>
      </c>
      <c r="K66" s="11">
        <f>AVERAGE('Moderna Adjusted'!J44+'Moderna Adjusted'!J46,'Moderna Adjusted'!K44+'Moderna Adjusted'!K46)/AVERAGE('Moderna Adjusted'!J66:K66)</f>
        <v>2.615985987690689</v>
      </c>
      <c r="L66" s="11"/>
      <c r="M66" s="11"/>
      <c r="N66" s="11"/>
      <c r="O66" s="11"/>
      <c r="P66" s="11"/>
    </row>
    <row r="67" spans="2:16" x14ac:dyDescent="0.45">
      <c r="B67" s="6" t="s">
        <v>398</v>
      </c>
      <c r="C67" s="11"/>
      <c r="D67" s="11"/>
      <c r="E67" s="11">
        <f>AVERAGE('Moderna Adjusted'!D46:E46)/AVERAGE('Moderna Adjusted'!D66:E66)</f>
        <v>5.2034873716612813</v>
      </c>
      <c r="F67" s="11">
        <f>AVERAGE('Moderna Adjusted'!E46:F46)/AVERAGE('Moderna Adjusted'!E66:F66)</f>
        <v>5.5315834665551931</v>
      </c>
      <c r="G67" s="11">
        <f>AVERAGE('Moderna Adjusted'!F46:G46)/AVERAGE('Moderna Adjusted'!F66:G66)</f>
        <v>7.1763528049496008</v>
      </c>
      <c r="H67" s="11">
        <f>AVERAGE('Moderna Adjusted'!G46:H46)/AVERAGE('Moderna Adjusted'!G66:H66)</f>
        <v>1.2783944074855376</v>
      </c>
      <c r="I67" s="11">
        <f>AVERAGE('Moderna Adjusted'!H46:I46)/AVERAGE('Moderna Adjusted'!H66:I66)</f>
        <v>1.1364729338307336</v>
      </c>
      <c r="J67" s="11">
        <f>AVERAGE('Moderna Adjusted'!I46:J46)/AVERAGE('Moderna Adjusted'!I66:J66)</f>
        <v>1.4800912362144505</v>
      </c>
      <c r="K67" s="11">
        <f>AVERAGE('Moderna Adjusted'!J46:K46)/AVERAGE('Moderna Adjusted'!J66:K66)</f>
        <v>2.3246598127683433</v>
      </c>
      <c r="L67" s="11"/>
      <c r="M67" s="11"/>
      <c r="N67" s="11"/>
      <c r="O67" s="11"/>
      <c r="P67" s="11"/>
    </row>
    <row r="68" spans="2:16" x14ac:dyDescent="0.45">
      <c r="B68" s="6" t="s">
        <v>399</v>
      </c>
      <c r="C68" s="11"/>
      <c r="D68" s="11"/>
      <c r="E68" s="11">
        <f>'Moderna Adjusted'!E79/AVERAGE('Moderna Adjusted'!D66:E66)</f>
        <v>-1.9589889681280237</v>
      </c>
      <c r="F68" s="11">
        <f>'Moderna Adjusted'!F79/AVERAGE('Moderna Adjusted'!E66:F66)</f>
        <v>-1.6987227648384671</v>
      </c>
      <c r="G68" s="11">
        <f>'Moderna Adjusted'!G79/AVERAGE('Moderna Adjusted'!F66:G66)</f>
        <v>-2.7621528155044439</v>
      </c>
      <c r="H68" s="11">
        <f>'Moderna Adjusted'!H79/AVERAGE('Moderna Adjusted'!G66:H66)</f>
        <v>0.94994964390082937</v>
      </c>
      <c r="I68" s="11">
        <f>'Moderna Adjusted'!I79/AVERAGE('Moderna Adjusted'!H66:I66)</f>
        <v>1.983952484613956</v>
      </c>
      <c r="J68" s="11">
        <f>'Moderna Adjusted'!J79/AVERAGE('Moderna Adjusted'!I66:J66)</f>
        <v>0.72444100047313709</v>
      </c>
      <c r="K68" s="11">
        <f>'Moderna Adjusted'!K79/AVERAGE('Moderna Adjusted'!J66:K66)</f>
        <v>-0.88298164620364294</v>
      </c>
      <c r="L68" s="11"/>
      <c r="M68" s="11"/>
      <c r="N68" s="11"/>
      <c r="O68" s="11"/>
      <c r="P68" s="11"/>
    </row>
    <row r="70" spans="2:16" x14ac:dyDescent="0.45">
      <c r="B70" s="4" t="s">
        <v>34</v>
      </c>
    </row>
    <row r="71" spans="2:16" x14ac:dyDescent="0.45">
      <c r="B71" s="7" t="s">
        <v>369</v>
      </c>
      <c r="C71" s="8"/>
      <c r="D71" s="8"/>
      <c r="E71" s="8"/>
      <c r="F71" s="8"/>
      <c r="G71" s="8"/>
      <c r="H71" s="8"/>
      <c r="I71" s="8"/>
      <c r="J71" s="8"/>
      <c r="K71" s="8"/>
      <c r="L71" s="8"/>
      <c r="M71" s="8"/>
      <c r="N71" s="8"/>
      <c r="O71" s="8"/>
      <c r="P71" s="8"/>
    </row>
    <row r="72" spans="2:16" x14ac:dyDescent="0.45">
      <c r="B72" s="6" t="s">
        <v>400</v>
      </c>
      <c r="C72" s="11"/>
      <c r="D72" s="11"/>
      <c r="E72" s="11">
        <f>AVERAGE('Moderna Adjusted'!D61+'Moderna Adjusted'!D66,'Moderna Adjusted'!E61+'Moderna Adjusted'!E66)/AVERAGE('Moderna Adjusted'!D144:E144)</f>
        <v>-1.1947893758272774</v>
      </c>
      <c r="F72" s="11">
        <f>AVERAGE('Moderna Adjusted'!E61+'Moderna Adjusted'!E66,'Moderna Adjusted'!F61+'Moderna Adjusted'!F66)/AVERAGE('Moderna Adjusted'!E144:F144)</f>
        <v>0.86585413114245879</v>
      </c>
      <c r="G72" s="11">
        <f>AVERAGE('Moderna Adjusted'!F61+'Moderna Adjusted'!F66,'Moderna Adjusted'!G61+'Moderna Adjusted'!G66)/AVERAGE('Moderna Adjusted'!F144:G144)</f>
        <v>0.31328944900681266</v>
      </c>
      <c r="H72" s="11">
        <f>AVERAGE('Moderna Adjusted'!G61+'Moderna Adjusted'!G66,'Moderna Adjusted'!H61+'Moderna Adjusted'!H66)/AVERAGE('Moderna Adjusted'!G144:H144)</f>
        <v>1.3608832628772818</v>
      </c>
      <c r="I72" s="11">
        <f>AVERAGE('Moderna Adjusted'!H61+'Moderna Adjusted'!H66,'Moderna Adjusted'!I61+'Moderna Adjusted'!I66)/AVERAGE('Moderna Adjusted'!H144:I144)</f>
        <v>0.9055020894184671</v>
      </c>
      <c r="J72" s="11">
        <f>AVERAGE('Moderna Adjusted'!I61+'Moderna Adjusted'!I66,'Moderna Adjusted'!J61+'Moderna Adjusted'!J66)/AVERAGE('Moderna Adjusted'!I144:J144)</f>
        <v>0.51286308908987743</v>
      </c>
      <c r="K72" s="11">
        <f>AVERAGE('Moderna Adjusted'!J61+'Moderna Adjusted'!J66,'Moderna Adjusted'!K61+'Moderna Adjusted'!K66)/AVERAGE('Moderna Adjusted'!J144:K144)</f>
        <v>0.34305695530350327</v>
      </c>
      <c r="L72" s="11"/>
      <c r="M72" s="11"/>
      <c r="N72" s="11"/>
      <c r="O72" s="11"/>
      <c r="P72" s="11"/>
    </row>
    <row r="73" spans="2:16" x14ac:dyDescent="0.45">
      <c r="B73" s="6" t="s">
        <v>35</v>
      </c>
      <c r="C73" s="11"/>
      <c r="D73" s="11"/>
      <c r="E73" s="11">
        <f>AVERAGE('Moderna Adjusted'!D140:E140)/AVERAGE('Moderna Adjusted'!D144:E144)</f>
        <v>-3.2082910574214182E-2</v>
      </c>
      <c r="F73" s="11">
        <f>AVERAGE('Moderna Adjusted'!E140:F140)/AVERAGE('Moderna Adjusted'!E144:F144)</f>
        <v>4.8228956750891352E-2</v>
      </c>
      <c r="G73" s="11">
        <f>AVERAGE('Moderna Adjusted'!F140:G140)/AVERAGE('Moderna Adjusted'!F144:G144)</f>
        <v>6.3100117605743425E-2</v>
      </c>
      <c r="H73" s="11">
        <f>AVERAGE('Moderna Adjusted'!G140:H140)/AVERAGE('Moderna Adjusted'!G144:H144)</f>
        <v>0.10026804717222652</v>
      </c>
      <c r="I73" s="11">
        <f>AVERAGE('Moderna Adjusted'!H140:I140)/AVERAGE('Moderna Adjusted'!H144:I144)</f>
        <v>6.8760943606208824E-2</v>
      </c>
      <c r="J73" s="11">
        <f>AVERAGE('Moderna Adjusted'!I140:J140)/AVERAGE('Moderna Adjusted'!I144:J144)</f>
        <v>6.3574341165264447E-2</v>
      </c>
      <c r="K73" s="11">
        <f>AVERAGE('Moderna Adjusted'!J140:K140)/AVERAGE('Moderna Adjusted'!J144:K144)</f>
        <v>7.3861216832820598E-2</v>
      </c>
      <c r="L73" s="11"/>
      <c r="M73" s="11"/>
      <c r="N73" s="11"/>
      <c r="O73" s="11"/>
      <c r="P73" s="11"/>
    </row>
    <row r="74" spans="2:16" x14ac:dyDescent="0.45">
      <c r="B74" s="6" t="s">
        <v>36</v>
      </c>
      <c r="C74" s="11"/>
      <c r="D74" s="11"/>
      <c r="E74" s="11">
        <f>AVERAGE('Moderna Adjusted'!D140:E140)/AVERAGE('Moderna Adjusted'!D145:E145)</f>
        <v>-3.3146341690533931E-2</v>
      </c>
      <c r="F74" s="11">
        <f>AVERAGE('Moderna Adjusted'!E140:F140)/AVERAGE('Moderna Adjusted'!E145:F145)</f>
        <v>4.6009945098619165E-2</v>
      </c>
      <c r="G74" s="11">
        <f>AVERAGE('Moderna Adjusted'!F140:G140)/AVERAGE('Moderna Adjusted'!F145:G145)</f>
        <v>5.9354821395236124E-2</v>
      </c>
      <c r="H74" s="11">
        <f>AVERAGE('Moderna Adjusted'!G140:H140)/AVERAGE('Moderna Adjusted'!G145:H145)</f>
        <v>9.1130563529426403E-2</v>
      </c>
      <c r="I74" s="11">
        <f>AVERAGE('Moderna Adjusted'!H140:I140)/AVERAGE('Moderna Adjusted'!H145:I145)</f>
        <v>6.4337066223804862E-2</v>
      </c>
      <c r="J74" s="11">
        <f>AVERAGE('Moderna Adjusted'!I140:J140)/AVERAGE('Moderna Adjusted'!I145:J145)</f>
        <v>5.9774233642766961E-2</v>
      </c>
      <c r="K74" s="11">
        <f>AVERAGE('Moderna Adjusted'!J140:K140)/AVERAGE('Moderna Adjusted'!J145:K145)</f>
        <v>6.8780970645966957E-2</v>
      </c>
      <c r="L74" s="11"/>
      <c r="M74" s="11"/>
      <c r="N74" s="11"/>
      <c r="O74" s="11"/>
      <c r="P74" s="11"/>
    </row>
    <row r="75" spans="2:16" x14ac:dyDescent="0.45">
      <c r="B75" s="6" t="s">
        <v>37</v>
      </c>
      <c r="C75" s="11"/>
      <c r="D75" s="11"/>
      <c r="E75" s="11">
        <f>('Moderna Adjusted'!E18-'Moderna Adjusted'!E17-'Moderna Adjusted'!E15+-'Moderna Adjusted'!E15)/'Moderna Adjusted'!E15</f>
        <v>1938.5042735042732</v>
      </c>
      <c r="F75" s="11">
        <f>('Moderna Adjusted'!F18-'Moderna Adjusted'!F17-'Moderna Adjusted'!F15+-'Moderna Adjusted'!F15)/'Moderna Adjusted'!F15</f>
        <v>122.16653963414633</v>
      </c>
      <c r="G75" s="11" t="e">
        <f>('Moderna Adjusted'!G18-'Moderna Adjusted'!G17-'Moderna Adjusted'!G15+-'Moderna Adjusted'!G15)/'Moderna Adjusted'!G15</f>
        <v>#DIV/0!</v>
      </c>
      <c r="H75" s="11">
        <f>('Moderna Adjusted'!H18-'Moderna Adjusted'!H17-'Moderna Adjusted'!H15+-'Moderna Adjusted'!H15)/'Moderna Adjusted'!H15</f>
        <v>72.402576673127342</v>
      </c>
      <c r="I75" s="11">
        <f>('Moderna Adjusted'!I18-'Moderna Adjusted'!I17-'Moderna Adjusted'!I15+-'Moderna Adjusted'!I15)/'Moderna Adjusted'!I15</f>
        <v>-783.48390237118417</v>
      </c>
      <c r="J75" s="11">
        <f>('Moderna Adjusted'!J18-'Moderna Adjusted'!J17-'Moderna Adjusted'!J15+-'Moderna Adjusted'!J15)/'Moderna Adjusted'!J15</f>
        <v>-332.17391619544725</v>
      </c>
      <c r="K75" s="11">
        <f>('Moderna Adjusted'!K18-'Moderna Adjusted'!K17-'Moderna Adjusted'!K15+-'Moderna Adjusted'!K15)/'Moderna Adjusted'!K15</f>
        <v>101.73629250248968</v>
      </c>
      <c r="L75" s="11"/>
      <c r="M75" s="11"/>
      <c r="N75" s="11"/>
      <c r="O75" s="11"/>
      <c r="P75" s="11"/>
    </row>
    <row r="76" spans="2:16" x14ac:dyDescent="0.45">
      <c r="B76" s="6" t="s">
        <v>401</v>
      </c>
      <c r="C76" s="11"/>
      <c r="D76" s="11"/>
      <c r="E76" s="11" t="e">
        <f>('Moderna Adjusted'!E79-E75)/-E77</f>
        <v>#DIV/0!</v>
      </c>
      <c r="F76" s="11" t="e">
        <f>('Moderna Adjusted'!F79-F75)/-F77</f>
        <v>#DIV/0!</v>
      </c>
      <c r="G76" s="11" t="e">
        <f>('Moderna Adjusted'!G79-G75)/-G77</f>
        <v>#DIV/0!</v>
      </c>
      <c r="H76" s="11" t="e">
        <f>('Moderna Adjusted'!H79-H75)/-H77</f>
        <v>#DIV/0!</v>
      </c>
      <c r="I76" s="11" t="e">
        <f>('Moderna Adjusted'!I79-I75)/-I77</f>
        <v>#DIV/0!</v>
      </c>
      <c r="J76" s="11" t="e">
        <f>('Moderna Adjusted'!J79-J75)/-J77</f>
        <v>#DIV/0!</v>
      </c>
      <c r="K76" s="11" t="e">
        <f>('Moderna Adjusted'!K79-K75)/-K77</f>
        <v>#DIV/0!</v>
      </c>
      <c r="L76" s="11"/>
      <c r="M76" s="11"/>
      <c r="N76" s="11"/>
      <c r="O76" s="11"/>
      <c r="P76" s="11"/>
    </row>
    <row r="77" spans="2:16" x14ac:dyDescent="0.45">
      <c r="B77" s="6" t="s">
        <v>402</v>
      </c>
      <c r="C77" s="11"/>
      <c r="D77" s="11"/>
      <c r="E77" s="11" t="e">
        <f>'Moderna Adjusted'!E73-(1-'Moderna Adjusted'!E104)*('Moderna Adjusted'!E86/'Moderna Adjusted'!E104)</f>
        <v>#DIV/0!</v>
      </c>
      <c r="F77" s="11" t="e">
        <f>'Moderna Adjusted'!F73-(1-'Moderna Adjusted'!F104)*('Moderna Adjusted'!F86/'Moderna Adjusted'!F104)</f>
        <v>#DIV/0!</v>
      </c>
      <c r="G77" s="11" t="e">
        <f>'Moderna Adjusted'!G73-(1-'Moderna Adjusted'!G104)*('Moderna Adjusted'!G86/'Moderna Adjusted'!G104)</f>
        <v>#DIV/0!</v>
      </c>
      <c r="H77" s="11" t="e">
        <f>'Moderna Adjusted'!H73-(1-'Moderna Adjusted'!H104)*('Moderna Adjusted'!H86/'Moderna Adjusted'!H104)</f>
        <v>#DIV/0!</v>
      </c>
      <c r="I77" s="11" t="e">
        <f>'Moderna Adjusted'!I73-(1-'Moderna Adjusted'!I104)*('Moderna Adjusted'!I86/'Moderna Adjusted'!I104)</f>
        <v>#DIV/0!</v>
      </c>
      <c r="J77" s="11" t="e">
        <f>'Moderna Adjusted'!J73-(1-'Moderna Adjusted'!J104)*('Moderna Adjusted'!J86/'Moderna Adjusted'!J104)</f>
        <v>#DIV/0!</v>
      </c>
      <c r="K77" s="11" t="e">
        <f>'Moderna Adjusted'!K73-(1-'Moderna Adjusted'!K104)*('Moderna Adjusted'!K86/'Moderna Adjusted'!K104)</f>
        <v>#DIV/0!</v>
      </c>
      <c r="L77" s="11"/>
      <c r="M77" s="11"/>
      <c r="N77" s="11"/>
      <c r="O77" s="11"/>
      <c r="P77" s="11"/>
    </row>
    <row r="78" spans="2:16" x14ac:dyDescent="0.45">
      <c r="B78" s="6" t="s">
        <v>403</v>
      </c>
      <c r="C78" s="19"/>
      <c r="D78" s="19"/>
      <c r="E78" s="19" t="e">
        <f>'Moderna Adjusted'!E86/'Moderna Adjusted'!E104</f>
        <v>#DIV/0!</v>
      </c>
      <c r="F78" s="19" t="e">
        <f>'Moderna Adjusted'!F86/'Moderna Adjusted'!F104</f>
        <v>#DIV/0!</v>
      </c>
      <c r="G78" s="19" t="e">
        <f>'Moderna Adjusted'!G86/'Moderna Adjusted'!G104</f>
        <v>#DIV/0!</v>
      </c>
      <c r="H78" s="19" t="e">
        <f>'Moderna Adjusted'!H86/'Moderna Adjusted'!H104</f>
        <v>#DIV/0!</v>
      </c>
      <c r="I78" s="19" t="e">
        <f>'Moderna Adjusted'!I86/'Moderna Adjusted'!I104</f>
        <v>#DIV/0!</v>
      </c>
      <c r="J78" s="19" t="e">
        <f>'Moderna Adjusted'!J86/'Moderna Adjusted'!J104</f>
        <v>#DIV/0!</v>
      </c>
      <c r="K78" s="19" t="e">
        <f>'Moderna Adjusted'!K86/'Moderna Adjusted'!K104</f>
        <v>#DIV/0!</v>
      </c>
      <c r="L78" s="19"/>
      <c r="M78" s="19"/>
      <c r="N78" s="19"/>
      <c r="O78" s="19"/>
      <c r="P78" s="19"/>
    </row>
    <row r="79" spans="2:16" x14ac:dyDescent="0.45">
      <c r="C79" s="16"/>
      <c r="D79" s="16"/>
      <c r="E79" s="16"/>
      <c r="F79" s="16"/>
      <c r="G79" s="16"/>
      <c r="H79" s="16"/>
      <c r="I79" s="16"/>
      <c r="J79" s="16"/>
      <c r="K79" s="16"/>
      <c r="L79" s="11"/>
      <c r="M79" s="11"/>
      <c r="N79" s="11"/>
      <c r="O79" s="11"/>
      <c r="P79" s="11"/>
    </row>
    <row r="80" spans="2:16" x14ac:dyDescent="0.45">
      <c r="B80" s="4" t="s">
        <v>38</v>
      </c>
    </row>
    <row r="81" spans="2:16" x14ac:dyDescent="0.45">
      <c r="B81" s="7" t="s">
        <v>369</v>
      </c>
      <c r="C81" s="8"/>
      <c r="D81" s="8"/>
      <c r="E81" s="8"/>
      <c r="F81" s="8"/>
      <c r="G81" s="8"/>
      <c r="H81" s="8"/>
      <c r="I81" s="8"/>
      <c r="J81" s="8"/>
      <c r="K81" s="8"/>
      <c r="L81" s="8"/>
      <c r="M81" s="8"/>
      <c r="N81" s="8"/>
      <c r="O81" s="8"/>
      <c r="P81" s="8"/>
    </row>
    <row r="82" spans="2:16" x14ac:dyDescent="0.45">
      <c r="B82" s="6" t="s">
        <v>39</v>
      </c>
      <c r="C82" s="9"/>
      <c r="D82" s="9"/>
      <c r="E82" s="9">
        <f t="shared" ref="E82:K82" si="14">E4</f>
        <v>-0.34415450015125215</v>
      </c>
      <c r="F82" s="9">
        <f t="shared" si="14"/>
        <v>-0.35115080879941907</v>
      </c>
      <c r="G82" s="9">
        <f t="shared" si="14"/>
        <v>-0.3853130020428911</v>
      </c>
      <c r="H82" s="9">
        <f t="shared" si="14"/>
        <v>-0.4172696507426224</v>
      </c>
      <c r="I82" s="9">
        <f t="shared" si="14"/>
        <v>1.4207040848881134</v>
      </c>
      <c r="J82" s="9">
        <f t="shared" si="14"/>
        <v>0.52453724955276082</v>
      </c>
      <c r="K82" s="9">
        <f t="shared" si="14"/>
        <v>-0.28657389521612386</v>
      </c>
      <c r="L82" s="9"/>
      <c r="M82" s="9"/>
      <c r="N82" s="9"/>
      <c r="O82" s="9"/>
      <c r="P82" s="9"/>
    </row>
    <row r="83" spans="2:16" x14ac:dyDescent="0.45">
      <c r="B83" s="6" t="s">
        <v>404</v>
      </c>
      <c r="C83" s="13"/>
      <c r="D83" s="13"/>
      <c r="E83" s="13">
        <f>-'Moderna Adjusted'!E90/'Moderna Adjusted'!E114</f>
        <v>-5.79376828451588E-3</v>
      </c>
      <c r="F83" s="13">
        <f>-'Moderna Adjusted'!F90/'Moderna Adjusted'!F114</f>
        <v>0</v>
      </c>
      <c r="G83" s="13">
        <f>-'Moderna Adjusted'!G90/'Moderna Adjusted'!G114</f>
        <v>0</v>
      </c>
      <c r="H83" s="13">
        <f>-'Moderna Adjusted'!H90/'Moderna Adjusted'!H114</f>
        <v>0</v>
      </c>
      <c r="I83" s="13">
        <f>-'Moderna Adjusted'!I90/'Moderna Adjusted'!I114</f>
        <v>0</v>
      </c>
      <c r="J83" s="13">
        <f>-'Moderna Adjusted'!J90/'Moderna Adjusted'!J114</f>
        <v>0</v>
      </c>
      <c r="K83" s="13">
        <f>-'Moderna Adjusted'!K90/'Moderna Adjusted'!K114</f>
        <v>0</v>
      </c>
      <c r="L83" s="13"/>
      <c r="M83" s="13"/>
      <c r="N83" s="13"/>
      <c r="O83" s="13"/>
      <c r="P83" s="13"/>
    </row>
    <row r="84" spans="2:16" x14ac:dyDescent="0.45">
      <c r="B84" s="6" t="s">
        <v>38</v>
      </c>
      <c r="C84" s="9"/>
      <c r="D84" s="9"/>
      <c r="E84" s="9">
        <f t="shared" ref="E84:K84" si="15">(1-E83)*E82</f>
        <v>-0.34614845157920193</v>
      </c>
      <c r="F84" s="9">
        <f t="shared" si="15"/>
        <v>-0.35115080879941907</v>
      </c>
      <c r="G84" s="9">
        <f t="shared" si="15"/>
        <v>-0.3853130020428911</v>
      </c>
      <c r="H84" s="9">
        <f t="shared" si="15"/>
        <v>-0.4172696507426224</v>
      </c>
      <c r="I84" s="9">
        <f t="shared" si="15"/>
        <v>1.4207040848881134</v>
      </c>
      <c r="J84" s="9">
        <f t="shared" si="15"/>
        <v>0.52453724955276082</v>
      </c>
      <c r="K84" s="9">
        <f t="shared" si="15"/>
        <v>-0.28657389521612386</v>
      </c>
      <c r="L84" s="9"/>
      <c r="M84" s="9"/>
      <c r="N84" s="9"/>
      <c r="O84" s="9"/>
      <c r="P84" s="9"/>
    </row>
  </sheetData>
  <pageMargins left="0.7" right="0.7" top="0.75" bottom="0.75" header="0.3" footer="0.3"/>
  <pageSetup paperSize="9" orientation="portrait"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9A471-4F07-4FFE-9319-E06D2EE15ED1}">
  <dimension ref="B2:R84"/>
  <sheetViews>
    <sheetView showGridLines="0" topLeftCell="A3" workbookViewId="0">
      <selection activeCell="B78" sqref="B78"/>
    </sheetView>
  </sheetViews>
  <sheetFormatPr defaultColWidth="9.1328125" defaultRowHeight="14.25" x14ac:dyDescent="0.45"/>
  <cols>
    <col min="1" max="1" width="3.33203125" style="1" customWidth="1"/>
    <col min="2" max="2" width="41.33203125" style="1" customWidth="1"/>
    <col min="3" max="16" width="14" style="1" customWidth="1"/>
    <col min="17" max="16384" width="9.1328125" style="1"/>
  </cols>
  <sheetData>
    <row r="2" spans="2:18" x14ac:dyDescent="0.45">
      <c r="B2" s="4" t="s">
        <v>368</v>
      </c>
    </row>
    <row r="3" spans="2:18" x14ac:dyDescent="0.45">
      <c r="B3" s="7" t="s">
        <v>369</v>
      </c>
      <c r="C3" s="21">
        <v>2015</v>
      </c>
      <c r="D3" s="21">
        <f t="shared" ref="D3:Q3" si="0">C3+1</f>
        <v>2016</v>
      </c>
      <c r="E3" s="21">
        <f t="shared" si="0"/>
        <v>2017</v>
      </c>
      <c r="F3" s="21">
        <f t="shared" si="0"/>
        <v>2018</v>
      </c>
      <c r="G3" s="21">
        <f t="shared" si="0"/>
        <v>2019</v>
      </c>
      <c r="H3" s="21">
        <f t="shared" si="0"/>
        <v>2020</v>
      </c>
      <c r="I3" s="21">
        <f t="shared" si="0"/>
        <v>2021</v>
      </c>
      <c r="J3" s="21">
        <f t="shared" si="0"/>
        <v>2022</v>
      </c>
      <c r="K3" s="21">
        <f t="shared" si="0"/>
        <v>2023</v>
      </c>
      <c r="L3" s="22">
        <f t="shared" si="0"/>
        <v>2024</v>
      </c>
      <c r="M3" s="22">
        <f t="shared" si="0"/>
        <v>2025</v>
      </c>
      <c r="N3" s="22">
        <f t="shared" si="0"/>
        <v>2026</v>
      </c>
      <c r="O3" s="22">
        <f t="shared" si="0"/>
        <v>2027</v>
      </c>
      <c r="P3" s="22">
        <f t="shared" si="0"/>
        <v>2028</v>
      </c>
      <c r="Q3" s="22">
        <f t="shared" si="0"/>
        <v>2029</v>
      </c>
    </row>
    <row r="4" spans="2:18" x14ac:dyDescent="0.45">
      <c r="B4" s="6" t="s">
        <v>368</v>
      </c>
      <c r="C4" s="9"/>
      <c r="E4" s="93">
        <f>'Sanofi Adjusted'!E18/AVERAGE(SUM('Sanofi Adjusted'!D53:D55), SUM('Sanofi Adjusted'!E53:E55))</f>
        <v>6.7160510861410297E-2</v>
      </c>
      <c r="F4" s="93">
        <f>'Sanofi Adjusted'!F18/AVERAGE(SUM('Sanofi Adjusted'!E53:E55), SUM('Sanofi Adjusted'!F53:F55))</f>
        <v>7.5430189129730374E-2</v>
      </c>
      <c r="G4" s="93">
        <f>'Sanofi Adjusted'!G18/AVERAGE(SUM('Sanofi Adjusted'!F53:F55), SUM('Sanofi Adjusted'!G53:G55))</f>
        <v>4.8805648332135458E-2</v>
      </c>
      <c r="H4" s="93">
        <f>'Sanofi Adjusted'!H18/AVERAGE(SUM('Sanofi Adjusted'!G53:G55), SUM('Sanofi Adjusted'!H53:H55))</f>
        <v>0.20133570647115495</v>
      </c>
      <c r="I4" s="93">
        <f>'Sanofi Adjusted'!I18/AVERAGE(SUM('Sanofi Adjusted'!H53:H55), SUM('Sanofi Adjusted'!I53:I55))</f>
        <v>9.4932833395069666E-2</v>
      </c>
      <c r="J4" s="93">
        <f>'Sanofi Adjusted'!J18/AVERAGE(SUM('Sanofi Adjusted'!I53:I55), SUM('Sanofi Adjusted'!J53:J55))</f>
        <v>0.11212140127476887</v>
      </c>
      <c r="K4" s="93">
        <f>'Sanofi Adjusted'!K18/AVERAGE(SUM('Sanofi Adjusted'!J53:J55), SUM('Sanofi Adjusted'!K53:K55))</f>
        <v>6.819838801377881E-2</v>
      </c>
      <c r="L4" s="9"/>
      <c r="M4" s="9"/>
      <c r="N4" s="9"/>
      <c r="O4" s="9"/>
      <c r="P4" s="9"/>
      <c r="R4" s="14"/>
    </row>
    <row r="5" spans="2:18" x14ac:dyDescent="0.45">
      <c r="B5" s="6"/>
      <c r="C5" s="9"/>
      <c r="D5" s="88"/>
      <c r="E5" s="88"/>
      <c r="F5" s="88"/>
      <c r="G5" s="88"/>
      <c r="H5" s="88"/>
      <c r="I5" s="88"/>
      <c r="J5" s="88"/>
      <c r="K5" s="88"/>
      <c r="L5" s="9"/>
      <c r="M5" s="9"/>
      <c r="N5" s="9"/>
      <c r="O5" s="9"/>
      <c r="P5" s="9"/>
      <c r="R5" s="14"/>
    </row>
    <row r="6" spans="2:18" x14ac:dyDescent="0.45">
      <c r="B6" s="4" t="s">
        <v>15</v>
      </c>
      <c r="D6" s="89"/>
      <c r="E6" s="89"/>
      <c r="F6" s="89"/>
      <c r="G6" s="89"/>
      <c r="H6" s="89"/>
      <c r="I6" s="89"/>
      <c r="J6" s="89"/>
      <c r="K6" s="89"/>
    </row>
    <row r="7" spans="2:18" x14ac:dyDescent="0.45">
      <c r="B7" s="7" t="s">
        <v>369</v>
      </c>
      <c r="C7" s="8"/>
      <c r="D7" s="90"/>
      <c r="E7" s="90"/>
      <c r="F7" s="90"/>
      <c r="G7" s="90"/>
      <c r="H7" s="90"/>
      <c r="I7" s="90"/>
      <c r="J7" s="90"/>
      <c r="K7" s="90"/>
      <c r="L7" s="8"/>
      <c r="M7" s="8"/>
      <c r="N7" s="8"/>
      <c r="O7" s="8"/>
      <c r="P7" s="8"/>
    </row>
    <row r="8" spans="2:18" x14ac:dyDescent="0.45">
      <c r="B8" s="6" t="s">
        <v>16</v>
      </c>
      <c r="C8" s="9"/>
      <c r="D8" s="88"/>
      <c r="E8" s="93">
        <f>'Sanofi Adjusted'!E18/'Sanofi Adjusted'!E9</f>
        <v>0.10750669501118136</v>
      </c>
      <c r="F8" s="93">
        <f>'Sanofi Adjusted'!F18/'Sanofi Adjusted'!F9</f>
        <v>0.1239734282591025</v>
      </c>
      <c r="G8" s="93">
        <f>'Sanofi Adjusted'!G18/'Sanofi Adjusted'!G9</f>
        <v>7.6692088969200919E-2</v>
      </c>
      <c r="H8" s="93">
        <f>'Sanofi Adjusted'!H18/'Sanofi Adjusted'!H9</f>
        <v>0.32995263453664803</v>
      </c>
      <c r="I8" s="93">
        <f>'Sanofi Adjusted'!I18/'Sanofi Adjusted'!I9</f>
        <v>0.16028079132099554</v>
      </c>
      <c r="J8" s="93">
        <f>'Sanofi Adjusted'!J18/'Sanofi Adjusted'!J9</f>
        <v>0.20055081381500595</v>
      </c>
      <c r="K8" s="93">
        <f>'Sanofi Adjusted'!K18/'Sanofi Adjusted'!K9</f>
        <v>0.12401177357756209</v>
      </c>
      <c r="L8" s="9"/>
      <c r="M8" s="9"/>
      <c r="N8" s="9"/>
      <c r="O8" s="9"/>
      <c r="P8" s="9"/>
    </row>
    <row r="9" spans="2:18" x14ac:dyDescent="0.45">
      <c r="B9" s="6" t="s">
        <v>17</v>
      </c>
      <c r="C9" s="10"/>
      <c r="D9" s="91"/>
      <c r="E9" s="91">
        <f>'Sanofi Adjusted'!E9/AVERAGE('Sanofi Adjusted'!D50:E50)</f>
        <v>0.35425346712829842</v>
      </c>
      <c r="F9" s="91">
        <f>'Sanofi Adjusted'!F9/AVERAGE('Sanofi Adjusted'!E50:F50)</f>
        <v>0.33781678905033119</v>
      </c>
      <c r="G9" s="91">
        <f>'Sanofi Adjusted'!G9/AVERAGE('Sanofi Adjusted'!F50:G50)</f>
        <v>0.33593408261098562</v>
      </c>
      <c r="H9" s="91">
        <f>'Sanofi Adjusted'!H9/AVERAGE('Sanofi Adjusted'!G50:H50)</f>
        <v>0.32917993507837723</v>
      </c>
      <c r="I9" s="91">
        <f>'Sanofi Adjusted'!I9/AVERAGE('Sanofi Adjusted'!H50:I50)</f>
        <v>0.33389444077475444</v>
      </c>
      <c r="J9" s="91">
        <f>'Sanofi Adjusted'!J9/AVERAGE('Sanofi Adjusted'!I50:J50)</f>
        <v>0.32639574998785248</v>
      </c>
      <c r="K9" s="91">
        <f>'Sanofi Adjusted'!K9/AVERAGE('Sanofi Adjusted'!J50:K50)</f>
        <v>0.32473359506449806</v>
      </c>
      <c r="L9" s="10"/>
      <c r="M9" s="10"/>
      <c r="N9" s="10"/>
      <c r="O9" s="10"/>
      <c r="P9" s="10"/>
    </row>
    <row r="10" spans="2:18" x14ac:dyDescent="0.45">
      <c r="B10" s="6" t="s">
        <v>18</v>
      </c>
      <c r="C10" s="9"/>
      <c r="D10" s="88"/>
      <c r="E10" s="88">
        <f t="shared" ref="E10:K10" si="1">E8*E9</f>
        <v>3.8084619447215542E-2</v>
      </c>
      <c r="F10" s="88">
        <f t="shared" si="1"/>
        <v>4.1880305462051598E-2</v>
      </c>
      <c r="G10" s="88">
        <f t="shared" si="1"/>
        <v>2.57634865513886E-2</v>
      </c>
      <c r="H10" s="88">
        <f t="shared" si="1"/>
        <v>0.10861378681571332</v>
      </c>
      <c r="I10" s="88">
        <f t="shared" si="1"/>
        <v>5.3516865185058923E-2</v>
      </c>
      <c r="J10" s="88">
        <f t="shared" si="1"/>
        <v>6.5458933285823029E-2</v>
      </c>
      <c r="K10" s="88">
        <f t="shared" si="1"/>
        <v>4.0270789064166264E-2</v>
      </c>
      <c r="L10" s="9"/>
      <c r="M10" s="9"/>
      <c r="N10" s="9"/>
      <c r="O10" s="9"/>
      <c r="P10" s="9"/>
    </row>
    <row r="11" spans="2:18" x14ac:dyDescent="0.45">
      <c r="B11" s="6" t="s">
        <v>370</v>
      </c>
      <c r="C11" s="10"/>
      <c r="D11" s="91"/>
      <c r="E11" s="91">
        <f>AVERAGE('Sanofi Adjusted'!D50:E50)/AVERAGE(SUM('Sanofi Adjusted'!D53:D55),SUM('Sanofi Adjusted'!E53:E55))</f>
        <v>1.76345495468304</v>
      </c>
      <c r="F11" s="91">
        <f>AVERAGE('Sanofi Adjusted'!E50:F50)/AVERAGE(SUM('Sanofi Adjusted'!E53:E55),SUM('Sanofi Adjusted'!F53:F55))</f>
        <v>1.8010897556150554</v>
      </c>
      <c r="G11" s="91">
        <f>AVERAGE('Sanofi Adjusted'!F50:G50)/AVERAGE(SUM('Sanofi Adjusted'!F53:F55),SUM('Sanofi Adjusted'!G53:G55))</f>
        <v>1.8943728068321144</v>
      </c>
      <c r="H11" s="91">
        <f>AVERAGE('Sanofi Adjusted'!G50:H50)/AVERAGE(SUM('Sanofi Adjusted'!G53:G55),SUM('Sanofi Adjusted'!H53:H55))</f>
        <v>1.8536846230466517</v>
      </c>
      <c r="I11" s="91">
        <f>AVERAGE('Sanofi Adjusted'!H50:I50)/AVERAGE(SUM('Sanofi Adjusted'!H53:H55),SUM('Sanofi Adjusted'!I53:I55))</f>
        <v>1.7738862892435159</v>
      </c>
      <c r="J11" s="91">
        <f>AVERAGE('Sanofi Adjusted'!I50:J50)/AVERAGE(SUM('Sanofi Adjusted'!I53:I55),SUM('Sanofi Adjusted'!J53:J55))</f>
        <v>1.7128510295943349</v>
      </c>
      <c r="K11" s="91">
        <f>AVERAGE('Sanofi Adjusted'!J50:K50)/AVERAGE(SUM('Sanofi Adjusted'!J53:J55),SUM('Sanofi Adjusted'!K53:K55))</f>
        <v>1.6934952008294037</v>
      </c>
      <c r="L11" s="10"/>
      <c r="M11" s="10"/>
      <c r="N11" s="10"/>
      <c r="O11" s="10"/>
      <c r="P11" s="10"/>
    </row>
    <row r="12" spans="2:18" x14ac:dyDescent="0.45">
      <c r="B12" s="6" t="s">
        <v>20</v>
      </c>
      <c r="C12" s="9"/>
      <c r="D12" s="88"/>
      <c r="E12" s="93">
        <f t="shared" ref="E12:K12" si="2">E10*E11</f>
        <v>6.7160510861410311E-2</v>
      </c>
      <c r="F12" s="93">
        <f t="shared" si="2"/>
        <v>7.5430189129730374E-2</v>
      </c>
      <c r="G12" s="93">
        <f t="shared" si="2"/>
        <v>4.8805648332135451E-2</v>
      </c>
      <c r="H12" s="93">
        <f t="shared" si="2"/>
        <v>0.20133570647115492</v>
      </c>
      <c r="I12" s="93">
        <f t="shared" si="2"/>
        <v>9.493283339506968E-2</v>
      </c>
      <c r="J12" s="93">
        <f t="shared" si="2"/>
        <v>0.11212140127476886</v>
      </c>
      <c r="K12" s="93">
        <f t="shared" si="2"/>
        <v>6.8198388013778796E-2</v>
      </c>
      <c r="L12" s="9"/>
      <c r="M12" s="9"/>
      <c r="N12" s="9"/>
      <c r="O12" s="9"/>
      <c r="P12" s="9"/>
    </row>
    <row r="13" spans="2:18" x14ac:dyDescent="0.45">
      <c r="D13" s="89"/>
      <c r="E13" s="89"/>
      <c r="F13" s="89"/>
      <c r="G13" s="89"/>
      <c r="H13" s="89"/>
      <c r="I13" s="89"/>
      <c r="J13" s="89"/>
      <c r="K13" s="89"/>
    </row>
    <row r="14" spans="2:18" x14ac:dyDescent="0.45">
      <c r="B14" s="4" t="s">
        <v>371</v>
      </c>
      <c r="D14" s="89"/>
      <c r="E14" s="89"/>
      <c r="F14" s="89"/>
      <c r="G14" s="89"/>
      <c r="H14" s="89"/>
      <c r="I14" s="89"/>
      <c r="J14" s="89"/>
      <c r="K14" s="89"/>
    </row>
    <row r="15" spans="2:18" x14ac:dyDescent="0.45">
      <c r="B15" s="7" t="s">
        <v>369</v>
      </c>
      <c r="C15" s="8"/>
      <c r="D15" s="90"/>
      <c r="E15" s="90"/>
      <c r="F15" s="90"/>
      <c r="G15" s="90"/>
      <c r="H15" s="90"/>
      <c r="I15" s="90"/>
      <c r="J15" s="90"/>
      <c r="K15" s="90"/>
      <c r="L15" s="8"/>
      <c r="M15" s="8"/>
      <c r="N15" s="8"/>
      <c r="O15" s="8"/>
      <c r="P15" s="8"/>
    </row>
    <row r="16" spans="2:18" x14ac:dyDescent="0.45">
      <c r="B16" s="6" t="s">
        <v>22</v>
      </c>
      <c r="C16" s="9"/>
      <c r="D16" s="88"/>
      <c r="E16" s="93">
        <f>'Sanofi Adjusted'!E101/'Sanofi Adjusted'!E96</f>
        <v>0.10750669501118136</v>
      </c>
      <c r="F16" s="93">
        <f>'Sanofi Adjusted'!F101/'Sanofi Adjusted'!F96</f>
        <v>0.1239734282591025</v>
      </c>
      <c r="G16" s="93">
        <f>'Sanofi Adjusted'!G101/'Sanofi Adjusted'!G96</f>
        <v>7.6692088969200919E-2</v>
      </c>
      <c r="H16" s="93">
        <f>'Sanofi Adjusted'!H101/'Sanofi Adjusted'!H96</f>
        <v>0.32995263453664803</v>
      </c>
      <c r="I16" s="93">
        <f>'Sanofi Adjusted'!I101/'Sanofi Adjusted'!I96</f>
        <v>0.16028079132099554</v>
      </c>
      <c r="J16" s="93">
        <f>'Sanofi Adjusted'!J101/'Sanofi Adjusted'!J96</f>
        <v>0.20055081381500595</v>
      </c>
      <c r="K16" s="93">
        <f>'Sanofi Adjusted'!K101/'Sanofi Adjusted'!K96</f>
        <v>0.12401177357756209</v>
      </c>
      <c r="L16" s="9"/>
      <c r="M16" s="9"/>
      <c r="N16" s="9"/>
      <c r="O16" s="9"/>
      <c r="P16" s="9"/>
    </row>
    <row r="17" spans="2:16" x14ac:dyDescent="0.45">
      <c r="B17" s="6" t="s">
        <v>23</v>
      </c>
      <c r="C17" s="10"/>
      <c r="D17" s="91"/>
      <c r="E17" s="91">
        <f>'Sanofi Adjusted'!E96/AVERAGE('Sanofi Adjusted'!D124+'Sanofi Adjusted'!D130,'Sanofi Adjusted'!E124+'Sanofi Adjusted'!E130)</f>
        <v>0.55117873592275191</v>
      </c>
      <c r="F17" s="91">
        <f>'Sanofi Adjusted'!F96/AVERAGE('Sanofi Adjusted'!E124+'Sanofi Adjusted'!E130,'Sanofi Adjusted'!F124+'Sanofi Adjusted'!F130)</f>
        <v>0.5080713666745228</v>
      </c>
      <c r="G17" s="91">
        <f>'Sanofi Adjusted'!G96/AVERAGE('Sanofi Adjusted'!F124+'Sanofi Adjusted'!F130,'Sanofi Adjusted'!G124+'Sanofi Adjusted'!G130)</f>
        <v>0.49359446055612166</v>
      </c>
      <c r="H17" s="91">
        <f>'Sanofi Adjusted'!H96/AVERAGE('Sanofi Adjusted'!G124+'Sanofi Adjusted'!G130,'Sanofi Adjusted'!H124+'Sanofi Adjusted'!H130)</f>
        <v>0.4916844293571222</v>
      </c>
      <c r="I17" s="91">
        <f>'Sanofi Adjusted'!I96/AVERAGE('Sanofi Adjusted'!H124+'Sanofi Adjusted'!H130,'Sanofi Adjusted'!I124+'Sanofi Adjusted'!I130)</f>
        <v>0.49004523302010466</v>
      </c>
      <c r="J17" s="91">
        <f>'Sanofi Adjusted'!J96/AVERAGE('Sanofi Adjusted'!I124+'Sanofi Adjusted'!I130,'Sanofi Adjusted'!J124+'Sanofi Adjusted'!J130)</f>
        <v>0.47768000926820581</v>
      </c>
      <c r="K17" s="91">
        <f>'Sanofi Adjusted'!K96/AVERAGE('Sanofi Adjusted'!J124+'Sanofi Adjusted'!J130,'Sanofi Adjusted'!K124+'Sanofi Adjusted'!K130)</f>
        <v>0.48197206522315789</v>
      </c>
      <c r="L17" s="10"/>
      <c r="M17" s="10"/>
      <c r="N17" s="10"/>
      <c r="O17" s="10"/>
      <c r="P17" s="10"/>
    </row>
    <row r="18" spans="2:16" x14ac:dyDescent="0.45">
      <c r="B18" s="6" t="s">
        <v>24</v>
      </c>
      <c r="C18" s="9"/>
      <c r="D18" s="88"/>
      <c r="E18" s="93">
        <f t="shared" ref="E18:K18" si="3">E16*E17</f>
        <v>5.9255404259495763E-2</v>
      </c>
      <c r="F18" s="93">
        <f t="shared" si="3"/>
        <v>6.2987349126928119E-2</v>
      </c>
      <c r="G18" s="93">
        <f t="shared" si="3"/>
        <v>3.7854790283674819E-2</v>
      </c>
      <c r="H18" s="93">
        <f t="shared" si="3"/>
        <v>0.16223257282703088</v>
      </c>
      <c r="I18" s="93">
        <f t="shared" si="3"/>
        <v>7.8544837731544026E-2</v>
      </c>
      <c r="J18" s="93">
        <f t="shared" si="3"/>
        <v>9.5799114601898258E-2</v>
      </c>
      <c r="K18" s="93">
        <f t="shared" si="3"/>
        <v>5.977021062316424E-2</v>
      </c>
      <c r="L18" s="9"/>
      <c r="M18" s="9"/>
      <c r="N18" s="9"/>
      <c r="O18" s="9"/>
      <c r="P18" s="9"/>
    </row>
    <row r="19" spans="2:16" x14ac:dyDescent="0.45">
      <c r="B19" s="4"/>
      <c r="C19" s="9"/>
      <c r="D19" s="88"/>
      <c r="E19" s="88"/>
      <c r="F19" s="88"/>
      <c r="G19" s="88"/>
      <c r="H19" s="88"/>
      <c r="I19" s="88"/>
      <c r="J19" s="88"/>
      <c r="K19" s="88"/>
      <c r="L19" s="9"/>
      <c r="M19" s="9"/>
      <c r="N19" s="9"/>
      <c r="O19" s="9"/>
      <c r="P19" s="9"/>
    </row>
    <row r="20" spans="2:16" x14ac:dyDescent="0.45">
      <c r="B20" s="4" t="s">
        <v>372</v>
      </c>
      <c r="D20" s="89"/>
      <c r="E20" s="89"/>
      <c r="F20" s="89"/>
      <c r="G20" s="89"/>
      <c r="H20" s="89"/>
      <c r="I20" s="89"/>
      <c r="J20" s="89"/>
      <c r="K20" s="89"/>
    </row>
    <row r="21" spans="2:16" x14ac:dyDescent="0.45">
      <c r="B21" s="7"/>
      <c r="C21" s="8"/>
      <c r="D21" s="90"/>
      <c r="E21" s="90"/>
      <c r="F21" s="90"/>
      <c r="G21" s="90"/>
      <c r="H21" s="90"/>
      <c r="I21" s="90"/>
      <c r="J21" s="90"/>
      <c r="K21" s="90"/>
      <c r="L21" s="8"/>
      <c r="M21" s="8"/>
      <c r="N21" s="8"/>
      <c r="O21" s="8"/>
      <c r="P21" s="8"/>
    </row>
    <row r="22" spans="2:16" x14ac:dyDescent="0.45">
      <c r="B22" s="3" t="s">
        <v>373</v>
      </c>
      <c r="D22" s="89"/>
      <c r="E22" s="89"/>
      <c r="F22" s="89"/>
      <c r="G22" s="89"/>
      <c r="H22" s="89"/>
      <c r="I22" s="89"/>
      <c r="J22" s="89"/>
      <c r="K22" s="89"/>
    </row>
    <row r="23" spans="2:16" x14ac:dyDescent="0.45">
      <c r="B23" s="6" t="s">
        <v>96</v>
      </c>
      <c r="C23" s="9"/>
      <c r="D23" s="88"/>
      <c r="E23" s="88">
        <f>'Sanofi Adjusted'!E9/'Sanofi Adjusted'!E9</f>
        <v>1</v>
      </c>
      <c r="F23" s="88">
        <f>'Sanofi Adjusted'!F9/'Sanofi Adjusted'!F9</f>
        <v>1</v>
      </c>
      <c r="G23" s="88">
        <f>'Sanofi Adjusted'!G9/'Sanofi Adjusted'!G9</f>
        <v>1</v>
      </c>
      <c r="H23" s="88">
        <f>'Sanofi Adjusted'!H9/'Sanofi Adjusted'!H9</f>
        <v>1</v>
      </c>
      <c r="I23" s="88">
        <f>'Sanofi Adjusted'!I9/'Sanofi Adjusted'!I9</f>
        <v>1</v>
      </c>
      <c r="J23" s="88">
        <f>'Sanofi Adjusted'!J9/'Sanofi Adjusted'!J9</f>
        <v>1</v>
      </c>
      <c r="K23" s="88">
        <f>'Sanofi Adjusted'!K9/'Sanofi Adjusted'!K9</f>
        <v>1</v>
      </c>
      <c r="L23" s="9"/>
      <c r="M23" s="9"/>
      <c r="N23" s="9"/>
      <c r="O23" s="9"/>
      <c r="P23" s="9"/>
    </row>
    <row r="24" spans="2:16" x14ac:dyDescent="0.45">
      <c r="B24" s="6" t="s">
        <v>374</v>
      </c>
      <c r="C24" s="9"/>
      <c r="D24" s="88"/>
      <c r="E24" s="88">
        <f>'Sanofi Adjusted'!E10/'Sanofi Adjusted'!E9</f>
        <v>-0.7992048811462964</v>
      </c>
      <c r="F24" s="88">
        <f>'Sanofi Adjusted'!F10/'Sanofi Adjusted'!F9</f>
        <v>-0.83115172239818369</v>
      </c>
      <c r="G24" s="88">
        <f>'Sanofi Adjusted'!G10/'Sanofi Adjusted'!G9</f>
        <v>-0.81924477159788467</v>
      </c>
      <c r="H24" s="88">
        <f>'Sanofi Adjusted'!H10/'Sanofi Adjusted'!H9</f>
        <v>-0.7971848323476679</v>
      </c>
      <c r="I24" s="88">
        <f>'Sanofi Adjusted'!I10/'Sanofi Adjusted'!I9</f>
        <v>-0.78136566687938735</v>
      </c>
      <c r="J24" s="88">
        <f>'Sanofi Adjusted'!J10/'Sanofi Adjusted'!J9</f>
        <v>-0.74243251290194523</v>
      </c>
      <c r="K24" s="88">
        <f>'Sanofi Adjusted'!K10/'Sanofi Adjusted'!K9</f>
        <v>-0.80245201780631981</v>
      </c>
      <c r="L24" s="9"/>
      <c r="M24" s="9"/>
      <c r="N24" s="9"/>
      <c r="O24" s="9"/>
      <c r="P24" s="9"/>
    </row>
    <row r="25" spans="2:16" x14ac:dyDescent="0.45">
      <c r="B25" s="6" t="s">
        <v>256</v>
      </c>
      <c r="C25" s="13"/>
      <c r="D25" s="91"/>
      <c r="E25" s="91">
        <f>'Sanofi Adjusted'!E13/'Sanofi Adjusted'!E9</f>
        <v>-4.0087242207559153E-2</v>
      </c>
      <c r="F25" s="91">
        <f>'Sanofi Adjusted'!F13/'Sanofi Adjusted'!F9</f>
        <v>-3.5961543851781262E-2</v>
      </c>
      <c r="G25" s="91">
        <f>'Sanofi Adjusted'!G13/'Sanofi Adjusted'!G9</f>
        <v>-9.5586085939783683E-2</v>
      </c>
      <c r="H25" s="91">
        <f>'Sanofi Adjusted'!H13/'Sanofi Adjusted'!H9</f>
        <v>-2.0525034119189704E-2</v>
      </c>
      <c r="I25" s="91">
        <f>'Sanofi Adjusted'!I13/'Sanofi Adjusted'!I9</f>
        <v>-1.0491384811742183E-2</v>
      </c>
      <c r="J25" s="91">
        <f>'Sanofi Adjusted'!J13/'Sanofi Adjusted'!J9</f>
        <v>-6.9968241365621275E-3</v>
      </c>
      <c r="K25" s="91">
        <f>'Sanofi Adjusted'!K13/'Sanofi Adjusted'!K9</f>
        <v>-4.3956311270038191E-2</v>
      </c>
      <c r="L25" s="13"/>
      <c r="M25" s="13"/>
      <c r="N25" s="13"/>
      <c r="O25" s="13"/>
      <c r="P25" s="13"/>
    </row>
    <row r="26" spans="2:16" x14ac:dyDescent="0.45">
      <c r="B26" s="6" t="s">
        <v>375</v>
      </c>
      <c r="C26" s="9"/>
      <c r="D26" s="88"/>
      <c r="E26" s="88">
        <f t="shared" ref="E26:K26" si="4">SUM(E23:E25)</f>
        <v>0.16070787664614444</v>
      </c>
      <c r="F26" s="88">
        <f t="shared" si="4"/>
        <v>0.13288673375003504</v>
      </c>
      <c r="G26" s="88">
        <f t="shared" si="4"/>
        <v>8.5169142462331648E-2</v>
      </c>
      <c r="H26" s="88">
        <f t="shared" si="4"/>
        <v>0.18229013353314238</v>
      </c>
      <c r="I26" s="88">
        <f t="shared" si="4"/>
        <v>0.20814294830887045</v>
      </c>
      <c r="J26" s="88">
        <f t="shared" si="4"/>
        <v>0.25057066296149266</v>
      </c>
      <c r="K26" s="88">
        <f t="shared" si="4"/>
        <v>0.15359167092364201</v>
      </c>
      <c r="L26" s="9"/>
      <c r="M26" s="9"/>
      <c r="N26" s="9"/>
      <c r="O26" s="9"/>
      <c r="P26" s="9"/>
    </row>
    <row r="27" spans="2:16" x14ac:dyDescent="0.45">
      <c r="B27" s="6" t="s">
        <v>376</v>
      </c>
      <c r="C27" s="9"/>
      <c r="D27" s="88"/>
      <c r="E27" s="88">
        <f>('Sanofi Adjusted'!E12+'Sanofi Adjusted'!E14)/'Sanofi Adjusted'!E9</f>
        <v>3.8927693879241324E-3</v>
      </c>
      <c r="F27" s="88">
        <f>('Sanofi Adjusted'!F12+'Sanofi Adjusted'!F14)/'Sanofi Adjusted'!F9</f>
        <v>1.7770552456764864E-2</v>
      </c>
      <c r="G27" s="88">
        <f>('Sanofi Adjusted'!G12+'Sanofi Adjusted'!G14)/'Sanofi Adjusted'!G9</f>
        <v>9.1945470489755779E-3</v>
      </c>
      <c r="H27" s="88">
        <f>('Sanofi Adjusted'!H12+'Sanofi Adjusted'!H14)/'Sanofi Adjusted'!H9</f>
        <v>0.20830099815354974</v>
      </c>
      <c r="I27" s="88">
        <f>('Sanofi Adjusted'!I12+'Sanofi Adjusted'!I14)/'Sanofi Adjusted'!I9</f>
        <v>1.148691767708998E-3</v>
      </c>
      <c r="J27" s="88">
        <f>('Sanofi Adjusted'!J12+'Sanofi Adjusted'!J14)/'Sanofi Adjusted'!J9</f>
        <v>7.3193727669710199E-3</v>
      </c>
      <c r="K27" s="88">
        <f>('Sanofi Adjusted'!K12+'Sanofi Adjusted'!K14)/'Sanofi Adjusted'!K9</f>
        <v>9.4869736554039266E-3</v>
      </c>
      <c r="L27" s="9"/>
      <c r="M27" s="9"/>
      <c r="N27" s="9"/>
      <c r="O27" s="9"/>
      <c r="P27" s="9"/>
    </row>
    <row r="28" spans="2:16" x14ac:dyDescent="0.45">
      <c r="B28" s="6" t="s">
        <v>258</v>
      </c>
      <c r="C28" s="9"/>
      <c r="D28" s="88"/>
      <c r="E28" s="88">
        <f>'Sanofi Adjusted'!E15/'Sanofi Adjusted'!E9</f>
        <v>-9.5524695618563818E-3</v>
      </c>
      <c r="F28" s="88">
        <f>'Sanofi Adjusted'!F15/'Sanofi Adjusted'!F9</f>
        <v>-1.3201782661098187E-2</v>
      </c>
      <c r="G28" s="88">
        <f>'Sanofi Adjusted'!G15/'Sanofi Adjusted'!G9</f>
        <v>-1.4456166458504956E-2</v>
      </c>
      <c r="H28" s="88">
        <f>'Sanofi Adjusted'!H15/'Sanofi Adjusted'!H9</f>
        <v>-1.2282908292970109E-2</v>
      </c>
      <c r="I28" s="88">
        <f>'Sanofi Adjusted'!I15/'Sanofi Adjusted'!I9</f>
        <v>-9.2405871091257186E-3</v>
      </c>
      <c r="J28" s="88">
        <f>'Sanofi Adjusted'!J15/'Sanofi Adjusted'!J9</f>
        <v>-9.9741961095672887E-3</v>
      </c>
      <c r="K28" s="88">
        <f>'Sanofi Adjusted'!K15/'Sanofi Adjusted'!K9</f>
        <v>-1.4327762777007468E-2</v>
      </c>
      <c r="L28" s="9"/>
      <c r="M28" s="9"/>
      <c r="N28" s="9"/>
      <c r="O28" s="9"/>
      <c r="P28" s="9"/>
    </row>
    <row r="29" spans="2:16" x14ac:dyDescent="0.45">
      <c r="B29" s="6" t="s">
        <v>260</v>
      </c>
      <c r="C29" s="17"/>
      <c r="D29" s="91"/>
      <c r="E29" s="91">
        <f>'Sanofi Adjusted'!E17/'Sanofi Adjusted'!E9</f>
        <v>-4.7541481461030891E-2</v>
      </c>
      <c r="F29" s="91">
        <f>'Sanofi Adjusted'!F17/'Sanofi Adjusted'!F9</f>
        <v>-1.3482075286599209E-2</v>
      </c>
      <c r="G29" s="91">
        <f>'Sanofi Adjusted'!G17/'Sanofi Adjusted'!G9</f>
        <v>-3.2154340836012861E-3</v>
      </c>
      <c r="H29" s="91">
        <f>'Sanofi Adjusted'!H17/'Sanofi Adjusted'!H9</f>
        <v>-4.8355588857074049E-2</v>
      </c>
      <c r="I29" s="91">
        <f>'Sanofi Adjusted'!I17/'Sanofi Adjusted'!I9</f>
        <v>-3.9770261646458201E-2</v>
      </c>
      <c r="J29" s="91">
        <f>'Sanofi Adjusted'!J17/'Sanofi Adjusted'!J9</f>
        <v>-4.7365025803890431E-2</v>
      </c>
      <c r="K29" s="91">
        <f>'Sanofi Adjusted'!K17/'Sanofi Adjusted'!K9</f>
        <v>-2.4739108224476392E-2</v>
      </c>
      <c r="L29" s="13"/>
      <c r="M29" s="13"/>
      <c r="N29" s="13"/>
      <c r="O29" s="13"/>
      <c r="P29" s="13"/>
    </row>
    <row r="30" spans="2:16" x14ac:dyDescent="0.45">
      <c r="B30" s="6" t="s">
        <v>323</v>
      </c>
      <c r="C30" s="15"/>
      <c r="D30" s="88"/>
      <c r="E30" s="88">
        <f t="shared" ref="E30:K30" si="5">SUM(E26:E29)</f>
        <v>0.10750669501118131</v>
      </c>
      <c r="F30" s="88">
        <f t="shared" si="5"/>
        <v>0.1239734282591025</v>
      </c>
      <c r="G30" s="88">
        <f t="shared" si="5"/>
        <v>7.6692088969200989E-2</v>
      </c>
      <c r="H30" s="88">
        <f t="shared" si="5"/>
        <v>0.32995263453664797</v>
      </c>
      <c r="I30" s="88">
        <f t="shared" si="5"/>
        <v>0.16028079132099551</v>
      </c>
      <c r="J30" s="88">
        <f t="shared" si="5"/>
        <v>0.20055081381500597</v>
      </c>
      <c r="K30" s="88">
        <f t="shared" si="5"/>
        <v>0.12401177357756207</v>
      </c>
      <c r="L30" s="9"/>
      <c r="M30" s="9"/>
      <c r="N30" s="9"/>
      <c r="O30" s="9"/>
      <c r="P30" s="9"/>
    </row>
    <row r="31" spans="2:16" ht="28.5" x14ac:dyDescent="0.45">
      <c r="B31" s="3" t="s">
        <v>377</v>
      </c>
      <c r="C31" s="15"/>
      <c r="D31" s="88"/>
      <c r="E31" s="88"/>
      <c r="F31" s="88"/>
      <c r="G31" s="88"/>
      <c r="H31" s="88"/>
      <c r="I31" s="88"/>
      <c r="J31" s="88"/>
      <c r="K31" s="88"/>
      <c r="L31" s="9"/>
      <c r="M31" s="9"/>
      <c r="N31" s="9"/>
      <c r="O31" s="9"/>
      <c r="P31" s="9"/>
    </row>
    <row r="32" spans="2:16" x14ac:dyDescent="0.45">
      <c r="B32" s="6" t="s">
        <v>378</v>
      </c>
      <c r="C32" s="9"/>
      <c r="D32" s="88"/>
      <c r="E32" s="88">
        <f>'Sanofi Adjusted'!E25/'Sanofi Adjusted'!E9</f>
        <v>-0.31603213605367053</v>
      </c>
      <c r="F32" s="88">
        <f>'Sanofi Adjusted'!F25/'Sanofi Adjusted'!F9</f>
        <v>-0.31731928132970821</v>
      </c>
      <c r="G32" s="88">
        <f>'Sanofi Adjusted'!G25/'Sanofi Adjusted'!G9</f>
        <v>-0.31824825277032232</v>
      </c>
      <c r="H32" s="88">
        <f>'Sanofi Adjusted'!H25/'Sanofi Adjusted'!H9</f>
        <v>-0.32395836120848831</v>
      </c>
      <c r="I32" s="88">
        <f>'Sanofi Adjusted'!I25/'Sanofi Adjusted'!I9</f>
        <v>-0.31272495213784302</v>
      </c>
      <c r="J32" s="88">
        <f>'Sanofi Adjusted'!J25/'Sanofi Adjusted'!J9</f>
        <v>-0.2944868995633188</v>
      </c>
      <c r="K32" s="88">
        <f>'Sanofi Adjusted'!K25/'Sanofi Adjusted'!K9</f>
        <v>-0.30696441168600552</v>
      </c>
      <c r="L32" s="9"/>
      <c r="M32" s="9"/>
      <c r="N32" s="9"/>
      <c r="O32" s="9"/>
      <c r="P32" s="9"/>
    </row>
    <row r="33" spans="2:16" x14ac:dyDescent="0.45">
      <c r="B33" s="6" t="s">
        <v>379</v>
      </c>
      <c r="C33" s="9"/>
      <c r="D33" s="88"/>
      <c r="E33" s="88">
        <f>'Sanofi Adjusted'!E26/'Sanofi Adjusted'!E9</f>
        <v>-0.28061069545291406</v>
      </c>
      <c r="F33" s="88">
        <f>'Sanofi Adjusted'!F26/'Sanofi Adjusted'!F9</f>
        <v>-0.27844269417271633</v>
      </c>
      <c r="G33" s="88">
        <f>'Sanofi Adjusted'!G26/'Sanofi Adjusted'!G9</f>
        <v>-0.26486141744838032</v>
      </c>
      <c r="H33" s="88">
        <f>'Sanofi Adjusted'!H26/'Sanofi Adjusted'!H9</f>
        <v>-0.25282988573416471</v>
      </c>
      <c r="I33" s="88">
        <f>'Sanofi Adjusted'!I26/'Sanofi Adjusted'!I9</f>
        <v>-0.24502871729419273</v>
      </c>
      <c r="J33" s="88">
        <f>'Sanofi Adjusted'!J26/'Sanofi Adjusted'!J9</f>
        <v>-0.21796843985708614</v>
      </c>
      <c r="K33" s="88">
        <f>'Sanofi Adjusted'!K26/'Sanofi Adjusted'!K9</f>
        <v>-0.21900313799897833</v>
      </c>
      <c r="L33" s="9"/>
      <c r="M33" s="9"/>
      <c r="N33" s="9"/>
      <c r="O33" s="9"/>
      <c r="P33" s="9"/>
    </row>
    <row r="34" spans="2:16" ht="28.5" x14ac:dyDescent="0.45">
      <c r="B34" s="3" t="s">
        <v>380</v>
      </c>
      <c r="C34" s="9"/>
      <c r="D34" s="88"/>
      <c r="E34" s="88"/>
      <c r="F34" s="88"/>
      <c r="G34" s="88"/>
      <c r="H34" s="88"/>
      <c r="I34" s="88"/>
      <c r="J34" s="88"/>
      <c r="K34" s="88"/>
      <c r="L34" s="9"/>
      <c r="M34" s="9"/>
      <c r="N34" s="9"/>
      <c r="O34" s="9"/>
      <c r="P34" s="9"/>
    </row>
    <row r="35" spans="2:16" x14ac:dyDescent="0.45">
      <c r="B35" s="6" t="s">
        <v>381</v>
      </c>
      <c r="C35" s="9"/>
      <c r="D35" s="88"/>
      <c r="E35" s="88" t="s">
        <v>56</v>
      </c>
      <c r="F35" s="88" t="s">
        <v>56</v>
      </c>
      <c r="G35" s="88" t="s">
        <v>56</v>
      </c>
      <c r="H35" s="88" t="s">
        <v>56</v>
      </c>
      <c r="I35" s="88" t="s">
        <v>56</v>
      </c>
      <c r="J35" s="88" t="s">
        <v>56</v>
      </c>
      <c r="K35" s="88" t="s">
        <v>56</v>
      </c>
      <c r="L35" s="9"/>
      <c r="M35" s="9"/>
      <c r="N35" s="9"/>
      <c r="O35" s="9"/>
      <c r="P35" s="9"/>
    </row>
    <row r="36" spans="2:16" x14ac:dyDescent="0.45">
      <c r="B36" s="6" t="s">
        <v>382</v>
      </c>
      <c r="C36" s="9"/>
      <c r="D36" s="88"/>
      <c r="E36" s="88" t="s">
        <v>56</v>
      </c>
      <c r="F36" s="88" t="s">
        <v>56</v>
      </c>
      <c r="G36" s="88" t="s">
        <v>56</v>
      </c>
      <c r="H36" s="88" t="s">
        <v>56</v>
      </c>
      <c r="I36" s="88" t="s">
        <v>56</v>
      </c>
      <c r="J36" s="88" t="s">
        <v>56</v>
      </c>
      <c r="K36" s="88" t="s">
        <v>56</v>
      </c>
      <c r="L36" s="9"/>
      <c r="M36" s="9"/>
      <c r="N36" s="9"/>
      <c r="O36" s="9"/>
      <c r="P36" s="9"/>
    </row>
    <row r="37" spans="2:16" x14ac:dyDescent="0.45">
      <c r="B37" s="6" t="s">
        <v>383</v>
      </c>
      <c r="C37" s="9"/>
      <c r="D37" s="88"/>
      <c r="E37" s="97">
        <f>'Sanofi Standardized'!E26/'Sanofi Standardized'!E5</f>
        <v>8.3018138648850118E-2</v>
      </c>
      <c r="F37" s="97">
        <f>'Sanofi Standardized'!F26/'Sanofi Standardized'!F5</f>
        <v>9.3589707654791604E-2</v>
      </c>
      <c r="G37" s="97">
        <f>'Sanofi Standardized'!G26/'Sanofi Standardized'!G5</f>
        <v>9.5479790598177031E-2</v>
      </c>
      <c r="H37" s="97">
        <f>'Sanofi Standardized'!H26/'Sanofi Standardized'!H5</f>
        <v>8.5257834033557231E-2</v>
      </c>
      <c r="I37" s="97">
        <f>'Sanofi Standardized'!I26/'Sanofi Standardized'!I5</f>
        <v>7.6604977664326737E-2</v>
      </c>
      <c r="J37" s="97">
        <f>'Sanofi Standardized'!J26/'Sanofi Standardized'!J5</f>
        <v>7.5749305279872961E-2</v>
      </c>
      <c r="K37" s="97">
        <f>'Sanofi Standardized'!K26/'Sanofi Standardized'!K5</f>
        <v>7.898513707460654E-2</v>
      </c>
      <c r="L37" s="9"/>
      <c r="M37" s="9"/>
      <c r="N37" s="9"/>
      <c r="O37" s="9"/>
      <c r="P37" s="9"/>
    </row>
    <row r="38" spans="2:16" ht="28.5" x14ac:dyDescent="0.45">
      <c r="B38" s="6" t="s">
        <v>384</v>
      </c>
      <c r="C38" s="9"/>
      <c r="D38" s="88"/>
      <c r="E38" s="97"/>
      <c r="F38" s="97">
        <f>'Sanofi Standardized'!D26/SUM('Sanofi Standardized'!D35:D36)</f>
        <v>4.4387157253339582E-2</v>
      </c>
      <c r="G38" s="97">
        <f>'Sanofi Standardized'!E26/SUM('Sanofi Standardized'!E35:E36)</f>
        <v>4.7164928240922284E-2</v>
      </c>
      <c r="H38" s="97">
        <f>'Sanofi Standardized'!F26/SUM('Sanofi Standardized'!F35:F36)</f>
        <v>4.358040643721367E-2</v>
      </c>
      <c r="I38" s="97">
        <f>'Sanofi Standardized'!G26/SUM('Sanofi Standardized'!G35:G36)</f>
        <v>4.9194244013308325E-2</v>
      </c>
      <c r="J38" s="97">
        <f>'Sanofi Standardized'!H26/SUM('Sanofi Standardized'!H35:H36)</f>
        <v>4.2853684125575012E-2</v>
      </c>
      <c r="K38" s="97">
        <f>'Sanofi Standardized'!I26/SUM('Sanofi Standardized'!I35:I36)</f>
        <v>3.6345359638605287E-2</v>
      </c>
      <c r="L38" s="9"/>
      <c r="M38" s="9"/>
      <c r="N38" s="9"/>
      <c r="O38" s="9"/>
      <c r="P38" s="9"/>
    </row>
    <row r="39" spans="2:16" x14ac:dyDescent="0.45">
      <c r="B39" s="6" t="s">
        <v>10</v>
      </c>
      <c r="C39" s="9"/>
      <c r="D39" s="88"/>
      <c r="E39" s="12"/>
      <c r="F39" s="12">
        <f t="shared" ref="F39:K39" si="6">1/F38</f>
        <v>22.529039070749736</v>
      </c>
      <c r="G39" s="12">
        <f t="shared" si="6"/>
        <v>21.202194878616559</v>
      </c>
      <c r="H39" s="12">
        <f t="shared" si="6"/>
        <v>22.946091644204852</v>
      </c>
      <c r="I39" s="12">
        <f t="shared" si="6"/>
        <v>20.327581408293906</v>
      </c>
      <c r="J39" s="12">
        <f t="shared" si="6"/>
        <v>23.335216572504709</v>
      </c>
      <c r="K39" s="12">
        <f t="shared" si="6"/>
        <v>27.513828723758746</v>
      </c>
      <c r="L39" s="9"/>
      <c r="M39" s="9"/>
      <c r="N39" s="9"/>
      <c r="O39" s="9"/>
      <c r="P39" s="9"/>
    </row>
    <row r="40" spans="2:16" x14ac:dyDescent="0.45">
      <c r="B40" s="6" t="s">
        <v>8</v>
      </c>
      <c r="C40" s="9"/>
      <c r="D40" s="88"/>
      <c r="E40" s="97">
        <f>'Sanofi Standardized'!D35/SUM('Sanofi Standardized'!D35:D36)</f>
        <v>0.20059370361690493</v>
      </c>
      <c r="F40" s="97">
        <f>'Sanofi Standardized'!E35/SUM('Sanofi Standardized'!E35:E36)</f>
        <v>0.15233315034114972</v>
      </c>
      <c r="G40" s="97">
        <f>'Sanofi Standardized'!F35/SUM('Sanofi Standardized'!F35:F36)</f>
        <v>0.13089784251536865</v>
      </c>
      <c r="H40" s="97">
        <f>'Sanofi Standardized'!G35/SUM('Sanofi Standardized'!G35:G36)</f>
        <v>0.15729014061366156</v>
      </c>
      <c r="I40" s="97">
        <f>'Sanofi Standardized'!H35/SUM('Sanofi Standardized'!H35:H36)</f>
        <v>0.14935571516961235</v>
      </c>
      <c r="J40" s="97">
        <f>'Sanofi Standardized'!I35/SUM('Sanofi Standardized'!I35:I36)</f>
        <v>0.15285397667405443</v>
      </c>
      <c r="K40" s="97">
        <f>'Sanofi Standardized'!J35/SUM('Sanofi Standardized'!J35:J36)</f>
        <v>0.14776534659326349</v>
      </c>
      <c r="L40" s="9"/>
      <c r="M40" s="9"/>
      <c r="N40" s="9"/>
      <c r="O40" s="9"/>
      <c r="P40" s="9"/>
    </row>
    <row r="41" spans="2:16" x14ac:dyDescent="0.45">
      <c r="B41" s="6" t="s">
        <v>385</v>
      </c>
      <c r="C41" s="9"/>
      <c r="D41" s="88"/>
      <c r="E41" s="88">
        <f>'Sanofi Standardized'!E10/'Sanofi Standardized'!E5</f>
        <v>2.7608293531376825E-5</v>
      </c>
      <c r="F41" s="88">
        <f>'Sanofi Standardized'!F10/'Sanofi Standardized'!F5</f>
        <v>-9.3617736917341703E-3</v>
      </c>
      <c r="G41" s="88">
        <f>'Sanofi Standardized'!G10/'Sanofi Standardized'!G5</f>
        <v>-1.9133161489197737E-2</v>
      </c>
      <c r="H41" s="88">
        <f>'Sanofi Standardized'!H10/'Sanofi Standardized'!H5</f>
        <v>-2.7429152506087934E-2</v>
      </c>
      <c r="I41" s="88">
        <f>'Sanofi Standardized'!I10/'Sanofi Standardized'!I5</f>
        <v>-3.7983407785577537E-2</v>
      </c>
      <c r="J41" s="88">
        <f>'Sanofi Standardized'!J10/'Sanofi Standardized'!J5</f>
        <v>-2.9525605398967845E-2</v>
      </c>
      <c r="K41" s="88">
        <f>'Sanofi Standardized'!K10/'Sanofi Standardized'!K5</f>
        <v>-7.1711790605463524E-2</v>
      </c>
      <c r="L41" s="9"/>
      <c r="M41" s="9"/>
      <c r="N41" s="9"/>
      <c r="O41" s="9"/>
      <c r="P41" s="9"/>
    </row>
    <row r="42" spans="2:16" x14ac:dyDescent="0.45">
      <c r="B42" s="6"/>
      <c r="C42" s="9"/>
      <c r="D42" s="88"/>
      <c r="E42" s="88"/>
      <c r="F42" s="88"/>
      <c r="G42" s="88"/>
      <c r="H42" s="88"/>
      <c r="I42" s="88"/>
      <c r="J42" s="88"/>
      <c r="K42" s="88"/>
      <c r="L42" s="9"/>
      <c r="M42" s="9"/>
      <c r="N42" s="9"/>
      <c r="O42" s="9"/>
      <c r="P42" s="9"/>
    </row>
    <row r="43" spans="2:16" x14ac:dyDescent="0.45">
      <c r="B43" s="5" t="s">
        <v>25</v>
      </c>
      <c r="C43" s="9"/>
      <c r="D43" s="88"/>
      <c r="E43" s="88"/>
      <c r="F43" s="88"/>
      <c r="G43" s="88"/>
      <c r="H43" s="88"/>
      <c r="I43" s="88"/>
      <c r="J43" s="88"/>
      <c r="K43" s="88"/>
      <c r="L43" s="9"/>
      <c r="M43" s="9"/>
      <c r="N43" s="9"/>
      <c r="O43" s="9"/>
      <c r="P43" s="9"/>
    </row>
    <row r="44" spans="2:16" x14ac:dyDescent="0.45">
      <c r="B44" s="6" t="s">
        <v>26</v>
      </c>
      <c r="C44" s="9"/>
      <c r="D44" s="16"/>
      <c r="E44" s="16">
        <f t="shared" ref="E44:K44" si="7">1+E32</f>
        <v>0.68396786394632947</v>
      </c>
      <c r="F44" s="16">
        <f t="shared" si="7"/>
        <v>0.68268071867029179</v>
      </c>
      <c r="G44" s="16">
        <f t="shared" si="7"/>
        <v>0.68175174722967768</v>
      </c>
      <c r="H44" s="16">
        <f t="shared" si="7"/>
        <v>0.67604163879151169</v>
      </c>
      <c r="I44" s="16">
        <f t="shared" si="7"/>
        <v>0.68727504786215698</v>
      </c>
      <c r="J44" s="16">
        <f t="shared" si="7"/>
        <v>0.70551310043668125</v>
      </c>
      <c r="K44" s="16">
        <f t="shared" si="7"/>
        <v>0.69303558831399448</v>
      </c>
      <c r="L44" s="9"/>
      <c r="M44" s="9"/>
      <c r="N44" s="9"/>
      <c r="O44" s="9"/>
      <c r="P44" s="9"/>
    </row>
    <row r="45" spans="2:16" x14ac:dyDescent="0.45">
      <c r="B45" s="6" t="s">
        <v>27</v>
      </c>
      <c r="C45" s="9"/>
      <c r="D45" s="88"/>
      <c r="E45" s="93">
        <f t="shared" ref="E45:K45" si="8">SUM(E26:E27)-E37</f>
        <v>8.1582507385218453E-2</v>
      </c>
      <c r="F45" s="93">
        <f t="shared" si="8"/>
        <v>5.7067578552008308E-2</v>
      </c>
      <c r="G45" s="93">
        <f t="shared" si="8"/>
        <v>-1.1161010868698112E-3</v>
      </c>
      <c r="H45" s="93">
        <f t="shared" si="8"/>
        <v>0.30533329765313488</v>
      </c>
      <c r="I45" s="93">
        <f t="shared" si="8"/>
        <v>0.13268666241225269</v>
      </c>
      <c r="J45" s="93">
        <f t="shared" si="8"/>
        <v>0.18214073044859075</v>
      </c>
      <c r="K45" s="93">
        <f t="shared" si="8"/>
        <v>8.4093507504439405E-2</v>
      </c>
      <c r="L45" s="9"/>
      <c r="M45" s="9"/>
      <c r="N45" s="9"/>
      <c r="O45" s="9"/>
      <c r="P45" s="9"/>
    </row>
    <row r="46" spans="2:16" x14ac:dyDescent="0.45">
      <c r="D46" s="89"/>
      <c r="E46" s="89"/>
      <c r="F46" s="89"/>
      <c r="G46" s="89"/>
      <c r="H46" s="89"/>
      <c r="I46" s="89"/>
      <c r="J46" s="89"/>
      <c r="K46" s="89"/>
    </row>
    <row r="47" spans="2:16" x14ac:dyDescent="0.45">
      <c r="B47" s="4" t="s">
        <v>28</v>
      </c>
      <c r="D47" s="89"/>
      <c r="E47" s="89"/>
      <c r="F47" s="89"/>
      <c r="G47" s="89"/>
      <c r="H47" s="89"/>
      <c r="I47" s="89"/>
      <c r="J47" s="89"/>
      <c r="K47" s="89"/>
    </row>
    <row r="48" spans="2:16" x14ac:dyDescent="0.45">
      <c r="B48" s="7" t="s">
        <v>369</v>
      </c>
      <c r="C48" s="8"/>
      <c r="D48" s="90"/>
      <c r="E48" s="90"/>
      <c r="F48" s="90"/>
      <c r="G48" s="90"/>
      <c r="H48" s="90"/>
      <c r="I48" s="90"/>
      <c r="J48" s="90"/>
      <c r="K48" s="90"/>
      <c r="L48" s="8"/>
      <c r="M48" s="8"/>
      <c r="N48" s="8"/>
      <c r="O48" s="8"/>
      <c r="P48" s="8"/>
    </row>
    <row r="49" spans="2:16" x14ac:dyDescent="0.45">
      <c r="B49" s="6" t="s">
        <v>386</v>
      </c>
      <c r="C49" s="9"/>
      <c r="D49" s="16"/>
      <c r="E49" s="16">
        <f>AVERAGE('Sanofi Adjusted'!D124:E124)/'Sanofi Adjusted'!E96</f>
        <v>0.14719430716987383</v>
      </c>
      <c r="F49" s="16">
        <f>AVERAGE('Sanofi Adjusted'!E124:F124)/'Sanofi Adjusted'!F96</f>
        <v>0.11854836449253017</v>
      </c>
      <c r="G49" s="16">
        <f>AVERAGE('Sanofi Adjusted'!F124:G124)/'Sanofi Adjusted'!G96</f>
        <v>0.14062076479498284</v>
      </c>
      <c r="H49" s="16">
        <f>AVERAGE('Sanofi Adjusted'!G124:H124)/'Sanofi Adjusted'!H96</f>
        <v>0.15091385908105648</v>
      </c>
      <c r="I49" s="16">
        <f>AVERAGE('Sanofi Adjusted'!H124:I124)/'Sanofi Adjusted'!I96</f>
        <v>0.12929419272495216</v>
      </c>
      <c r="J49" s="16">
        <f>AVERAGE('Sanofi Adjusted'!I124:J124)/'Sanofi Adjusted'!J96</f>
        <v>0.10593179337038508</v>
      </c>
      <c r="K49" s="16">
        <f>AVERAGE('Sanofi Adjusted'!J124:K124)/'Sanofi Adjusted'!K96</f>
        <v>7.2935975090612781E-2</v>
      </c>
      <c r="L49" s="9"/>
      <c r="M49" s="9"/>
      <c r="N49" s="9"/>
      <c r="O49" s="9"/>
      <c r="P49" s="9"/>
    </row>
    <row r="50" spans="2:16" x14ac:dyDescent="0.45">
      <c r="B50" s="6" t="s">
        <v>387</v>
      </c>
      <c r="C50" s="9"/>
      <c r="D50" s="16"/>
      <c r="E50" s="16">
        <f>AVERAGE('Sanofi Adjusted'!D130:E130)/'Sanofi Adjusted'!E96</f>
        <v>1.6670991965986581</v>
      </c>
      <c r="F50" s="16">
        <f>AVERAGE('Sanofi Adjusted'!E130:F130)/'Sanofi Adjusted'!F96</f>
        <v>1.8496790649438013</v>
      </c>
      <c r="G50" s="16">
        <f>AVERAGE('Sanofi Adjusted'!F130:G130)/'Sanofi Adjusted'!G96</f>
        <v>1.8853339002418219</v>
      </c>
      <c r="H50" s="16">
        <f>AVERAGE('Sanofi Adjusted'!G130:H130)/'Sanofi Adjusted'!H96</f>
        <v>1.8829109689849877</v>
      </c>
      <c r="I50" s="16">
        <f>AVERAGE('Sanofi Adjusted'!H130:I130)/'Sanofi Adjusted'!I96</f>
        <v>1.9113337587747288</v>
      </c>
      <c r="J50" s="16">
        <f>AVERAGE('Sanofi Adjusted'!I130:J130)/'Sanofi Adjusted'!J96</f>
        <v>1.9875198491464867</v>
      </c>
      <c r="K50" s="16">
        <f>AVERAGE('Sanofi Adjusted'!J130:K130)/'Sanofi Adjusted'!K96</f>
        <v>2.0018730691576052</v>
      </c>
      <c r="L50" s="9"/>
      <c r="M50" s="9"/>
      <c r="N50" s="9"/>
      <c r="O50" s="9"/>
      <c r="P50" s="9"/>
    </row>
    <row r="51" spans="2:16" x14ac:dyDescent="0.45">
      <c r="B51" s="6" t="s">
        <v>389</v>
      </c>
      <c r="C51" s="9"/>
      <c r="D51" s="16"/>
      <c r="E51" s="16">
        <f>AVERAGE('Sanofi Adjusted'!D126:E126)/'Sanofi Adjusted'!E96</f>
        <v>0.31129731371303937</v>
      </c>
      <c r="F51" s="16">
        <f>AVERAGE('Sanofi Adjusted'!E126:F126)/'Sanofi Adjusted'!F96</f>
        <v>0.27666283600078484</v>
      </c>
      <c r="G51" s="16">
        <f>AVERAGE('Sanofi Adjusted'!F126:G126)/'Sanofi Adjusted'!G96</f>
        <v>0.28589460816879703</v>
      </c>
      <c r="H51" s="16">
        <f>AVERAGE('Sanofi Adjusted'!G126:H126)/'Sanofi Adjusted'!H96</f>
        <v>0.30228264069148225</v>
      </c>
      <c r="I51" s="16">
        <f>AVERAGE('Sanofi Adjusted'!H126:I126)/'Sanofi Adjusted'!I96</f>
        <v>0.30280791320995532</v>
      </c>
      <c r="J51" s="16">
        <f>AVERAGE('Sanofi Adjusted'!I126:J126)/'Sanofi Adjusted'!J96</f>
        <v>0.31140829694323147</v>
      </c>
      <c r="K51" s="16">
        <f>AVERAGE('Sanofi Adjusted'!J126:K126)/'Sanofi Adjusted'!K96</f>
        <v>0.30246418059305746</v>
      </c>
      <c r="L51" s="9"/>
      <c r="M51" s="9"/>
      <c r="N51" s="9"/>
      <c r="O51" s="9"/>
      <c r="P51" s="9"/>
    </row>
    <row r="52" spans="2:16" x14ac:dyDescent="0.45">
      <c r="B52" s="6" t="s">
        <v>390</v>
      </c>
      <c r="C52" s="11"/>
      <c r="D52" s="88"/>
      <c r="E52" s="88">
        <f t="shared" ref="E52:K54" si="9">1/E49</f>
        <v>6.7937410028087646</v>
      </c>
      <c r="F52" s="88">
        <f t="shared" si="9"/>
        <v>8.4353757580772939</v>
      </c>
      <c r="G52" s="88">
        <f t="shared" si="9"/>
        <v>7.1113252829903448</v>
      </c>
      <c r="H52" s="88">
        <f t="shared" si="9"/>
        <v>6.6262966575050983</v>
      </c>
      <c r="I52" s="88">
        <f t="shared" si="9"/>
        <v>7.7342994215316567</v>
      </c>
      <c r="J52" s="88">
        <f t="shared" si="9"/>
        <v>9.4400365384502773</v>
      </c>
      <c r="K52" s="88">
        <f t="shared" si="9"/>
        <v>13.710655115772969</v>
      </c>
      <c r="L52" s="11"/>
      <c r="M52" s="11"/>
      <c r="N52" s="11"/>
      <c r="O52" s="11"/>
      <c r="P52" s="11"/>
    </row>
    <row r="53" spans="2:16" x14ac:dyDescent="0.45">
      <c r="B53" s="6" t="s">
        <v>391</v>
      </c>
      <c r="C53" s="11"/>
      <c r="D53" s="88"/>
      <c r="E53" s="88">
        <f t="shared" si="9"/>
        <v>0.59984432962374146</v>
      </c>
      <c r="F53" s="88">
        <f t="shared" si="9"/>
        <v>0.54063432892364116</v>
      </c>
      <c r="G53" s="88">
        <f t="shared" si="9"/>
        <v>0.53041002438439966</v>
      </c>
      <c r="H53" s="88">
        <f t="shared" si="9"/>
        <v>0.53109255640433461</v>
      </c>
      <c r="I53" s="88">
        <f t="shared" si="9"/>
        <v>0.52319486087090072</v>
      </c>
      <c r="J53" s="88">
        <f t="shared" si="9"/>
        <v>0.50313962923662692</v>
      </c>
      <c r="K53" s="88">
        <f t="shared" si="9"/>
        <v>0.49953217084877577</v>
      </c>
      <c r="L53" s="11"/>
      <c r="M53" s="11"/>
      <c r="N53" s="11"/>
      <c r="O53" s="11"/>
      <c r="P53" s="11"/>
    </row>
    <row r="54" spans="2:16" x14ac:dyDescent="0.45">
      <c r="B54" s="6" t="s">
        <v>29</v>
      </c>
      <c r="C54" s="11"/>
      <c r="D54" s="88"/>
      <c r="E54" s="88">
        <f t="shared" si="9"/>
        <v>3.2123630881113923</v>
      </c>
      <c r="F54" s="88">
        <f t="shared" si="9"/>
        <v>3.6145078770072434</v>
      </c>
      <c r="G54" s="88">
        <f t="shared" si="9"/>
        <v>3.4977924431844585</v>
      </c>
      <c r="H54" s="88">
        <f t="shared" si="9"/>
        <v>3.3081621813031159</v>
      </c>
      <c r="I54" s="88">
        <f t="shared" si="9"/>
        <v>3.3024236037934669</v>
      </c>
      <c r="J54" s="88">
        <f t="shared" si="9"/>
        <v>3.2112182296231375</v>
      </c>
      <c r="K54" s="88">
        <f t="shared" si="9"/>
        <v>3.3061766125140744</v>
      </c>
      <c r="L54" s="11"/>
      <c r="M54" s="11"/>
      <c r="N54" s="11"/>
      <c r="O54" s="11"/>
      <c r="P54" s="11"/>
    </row>
    <row r="55" spans="2:16" x14ac:dyDescent="0.45">
      <c r="B55" s="6" t="s">
        <v>392</v>
      </c>
      <c r="C55" s="11"/>
      <c r="D55" s="88"/>
      <c r="E55" s="88">
        <f>'Sanofi Adjusted'!E96/AVERAGE('Sanofi Adjusted'!D119:E119)</f>
        <v>4.9867143938872447</v>
      </c>
      <c r="F55" s="88">
        <f>'Sanofi Adjusted'!F96/AVERAGE('Sanofi Adjusted'!E119:F119)</f>
        <v>4.9291240674219399</v>
      </c>
      <c r="G55" s="88">
        <f>'Sanofi Adjusted'!G96/AVERAGE('Sanofi Adjusted'!F119:G119)</f>
        <v>4.9524248206882939</v>
      </c>
      <c r="H55" s="88">
        <f>'Sanofi Adjusted'!H96/AVERAGE('Sanofi Adjusted'!G119:H119)</f>
        <v>4.8443090484832769</v>
      </c>
      <c r="I55" s="88">
        <f>'Sanofi Adjusted'!I96/AVERAGE('Sanofi Adjusted'!H119:I119)</f>
        <v>5.2028687163822296</v>
      </c>
      <c r="J55" s="88">
        <f>'Sanofi Adjusted'!J96/AVERAGE('Sanofi Adjusted'!I119:J119)</f>
        <v>5.0405202601300649</v>
      </c>
      <c r="K55" s="88">
        <f>'Sanofi Adjusted'!K96/AVERAGE('Sanofi Adjusted'!J119:K119)</f>
        <v>4.8773803167823457</v>
      </c>
      <c r="L55" s="11"/>
      <c r="M55" s="11"/>
      <c r="N55" s="11"/>
      <c r="O55" s="11"/>
      <c r="P55" s="11"/>
    </row>
    <row r="56" spans="2:16" x14ac:dyDescent="0.45">
      <c r="B56" s="6" t="s">
        <v>30</v>
      </c>
      <c r="C56" s="12"/>
      <c r="D56" s="88"/>
      <c r="E56" s="88">
        <f t="shared" ref="E56:K56" si="10">360*(1/E55)</f>
        <v>72.191822423456003</v>
      </c>
      <c r="F56" s="88">
        <f t="shared" si="10"/>
        <v>73.035288841550582</v>
      </c>
      <c r="G56" s="88">
        <f t="shared" si="10"/>
        <v>72.6916637878345</v>
      </c>
      <c r="H56" s="88">
        <f t="shared" si="10"/>
        <v>74.31400358585995</v>
      </c>
      <c r="I56" s="88">
        <f t="shared" si="10"/>
        <v>69.192597319719212</v>
      </c>
      <c r="J56" s="88">
        <f t="shared" si="10"/>
        <v>71.421198888447805</v>
      </c>
      <c r="K56" s="88">
        <f t="shared" si="10"/>
        <v>73.810114573451074</v>
      </c>
      <c r="L56" s="12"/>
      <c r="M56" s="12"/>
      <c r="N56" s="12"/>
      <c r="O56" s="12"/>
      <c r="P56" s="12"/>
    </row>
    <row r="57" spans="2:16" x14ac:dyDescent="0.45">
      <c r="B57" s="6" t="s">
        <v>393</v>
      </c>
      <c r="C57" s="11"/>
      <c r="D57" s="88"/>
      <c r="E57" s="88">
        <f>-'Sanofi Adjusted'!E25/AVERAGE('Sanofi Adjusted'!D120:E120)</f>
        <v>1.6693889456030333</v>
      </c>
      <c r="F57" s="88">
        <f>-'Sanofi Adjusted'!F25/AVERAGE('Sanofi Adjusted'!E120:F120)</f>
        <v>1.5839104582021686</v>
      </c>
      <c r="G57" s="88">
        <f>-'Sanofi Adjusted'!G25/AVERAGE('Sanofi Adjusted'!F120:G120)</f>
        <v>1.5481869303858833</v>
      </c>
      <c r="H57" s="88">
        <f>-'Sanofi Adjusted'!H25/AVERAGE('Sanofi Adjusted'!G120:H120)</f>
        <v>1.4812186467637343</v>
      </c>
      <c r="I57" s="88">
        <f>-'Sanofi Adjusted'!I25/AVERAGE('Sanofi Adjusted'!H120:I120)</f>
        <v>1.4356360227339309</v>
      </c>
      <c r="J57" s="88">
        <f>-'Sanofi Adjusted'!J25/AVERAGE('Sanofi Adjusted'!I120:J120)</f>
        <v>1.343026874115983</v>
      </c>
      <c r="K57" s="88">
        <f>-'Sanofi Adjusted'!K25/AVERAGE('Sanofi Adjusted'!J120:K120)</f>
        <v>1.354987651669709</v>
      </c>
      <c r="L57" s="11"/>
      <c r="M57" s="11"/>
      <c r="N57" s="11"/>
      <c r="O57" s="11"/>
      <c r="P57" s="11"/>
    </row>
    <row r="58" spans="2:16" x14ac:dyDescent="0.45">
      <c r="B58" s="6" t="s">
        <v>31</v>
      </c>
      <c r="C58" s="12"/>
      <c r="D58" s="88"/>
      <c r="E58" s="88">
        <f t="shared" ref="E58:K58" si="11">360*(1/E57)</f>
        <v>215.64776797414171</v>
      </c>
      <c r="F58" s="88">
        <f t="shared" si="11"/>
        <v>227.28557547919795</v>
      </c>
      <c r="G58" s="88">
        <f t="shared" si="11"/>
        <v>232.53006012024048</v>
      </c>
      <c r="H58" s="88">
        <f t="shared" si="11"/>
        <v>243.04311911448869</v>
      </c>
      <c r="I58" s="88">
        <f t="shared" si="11"/>
        <v>250.75993796424783</v>
      </c>
      <c r="J58" s="88">
        <f t="shared" si="11"/>
        <v>268.05122588255119</v>
      </c>
      <c r="K58" s="88">
        <f t="shared" si="11"/>
        <v>265.68507805689831</v>
      </c>
      <c r="L58" s="12"/>
      <c r="M58" s="12"/>
      <c r="N58" s="12"/>
      <c r="O58" s="12"/>
      <c r="P58" s="12"/>
    </row>
    <row r="59" spans="2:16" x14ac:dyDescent="0.45">
      <c r="B59" s="6" t="s">
        <v>394</v>
      </c>
      <c r="C59" s="11"/>
      <c r="D59" s="88"/>
      <c r="E59" s="88">
        <f>-'Sanofi Adjusted'!E25/AVERAGE('Sanofi Adjusted'!D122:E122)</f>
        <v>2.563717805151176</v>
      </c>
      <c r="F59" s="88">
        <f>-'Sanofi Adjusted'!F25/AVERAGE('Sanofi Adjusted'!E122:F122)</f>
        <v>2.3405003101095723</v>
      </c>
      <c r="G59" s="88">
        <f>-'Sanofi Adjusted'!G25/AVERAGE('Sanofi Adjusted'!F122:G122)</f>
        <v>2.3133088661386902</v>
      </c>
      <c r="H59" s="88">
        <f>-'Sanofi Adjusted'!H25/AVERAGE('Sanofi Adjusted'!G122:H122)</f>
        <v>2.2824283559577676</v>
      </c>
      <c r="I59" s="88">
        <f>-'Sanofi Adjusted'!I25/AVERAGE('Sanofi Adjusted'!H122:I122)</f>
        <v>2.1352505446623096</v>
      </c>
      <c r="J59" s="88">
        <f>-'Sanofi Adjusted'!J25/AVERAGE('Sanofi Adjusted'!I122:J122)</f>
        <v>1.8269837604864159</v>
      </c>
      <c r="K59" s="88">
        <f>-'Sanofi Adjusted'!K25/AVERAGE('Sanofi Adjusted'!J122:K122)</f>
        <v>1.7847394102255851</v>
      </c>
      <c r="L59" s="11"/>
      <c r="M59" s="11"/>
      <c r="N59" s="11"/>
      <c r="O59" s="11"/>
      <c r="P59" s="11"/>
    </row>
    <row r="60" spans="2:16" x14ac:dyDescent="0.45">
      <c r="B60" s="6" t="s">
        <v>32</v>
      </c>
      <c r="C60" s="12"/>
      <c r="D60" s="88"/>
      <c r="E60" s="88">
        <f t="shared" ref="E60:K60" si="12">360*(1/E59)</f>
        <v>140.42107102297544</v>
      </c>
      <c r="F60" s="88">
        <f t="shared" si="12"/>
        <v>153.81326737920676</v>
      </c>
      <c r="G60" s="88">
        <f t="shared" si="12"/>
        <v>155.62124248496994</v>
      </c>
      <c r="H60" s="88">
        <f t="shared" si="12"/>
        <v>157.72674706756982</v>
      </c>
      <c r="I60" s="88">
        <f t="shared" si="12"/>
        <v>168.59848175659127</v>
      </c>
      <c r="J60" s="88">
        <f t="shared" si="12"/>
        <v>197.04608644367678</v>
      </c>
      <c r="K60" s="88">
        <f t="shared" si="12"/>
        <v>201.71011966082889</v>
      </c>
      <c r="L60" s="12"/>
      <c r="M60" s="12"/>
      <c r="N60" s="12"/>
      <c r="O60" s="12"/>
      <c r="P60" s="12"/>
    </row>
    <row r="61" spans="2:16" x14ac:dyDescent="0.45">
      <c r="B61" s="6" t="s">
        <v>33</v>
      </c>
      <c r="C61" s="12"/>
      <c r="D61" s="88"/>
      <c r="E61" s="88">
        <f t="shared" ref="E61:K61" si="13">E56+E58-E60</f>
        <v>147.41851937462226</v>
      </c>
      <c r="F61" s="88">
        <f t="shared" si="13"/>
        <v>146.50759694154175</v>
      </c>
      <c r="G61" s="88">
        <f t="shared" si="13"/>
        <v>149.60048142310504</v>
      </c>
      <c r="H61" s="88">
        <f t="shared" si="13"/>
        <v>159.63037563277885</v>
      </c>
      <c r="I61" s="88">
        <f t="shared" si="13"/>
        <v>151.35405352737578</v>
      </c>
      <c r="J61" s="88">
        <f t="shared" si="13"/>
        <v>142.42633832732221</v>
      </c>
      <c r="K61" s="88">
        <f t="shared" si="13"/>
        <v>137.78507296952048</v>
      </c>
      <c r="L61" s="12"/>
      <c r="M61" s="12"/>
      <c r="N61" s="12"/>
      <c r="O61" s="12"/>
      <c r="P61" s="12"/>
    </row>
    <row r="63" spans="2:16" x14ac:dyDescent="0.45">
      <c r="B63" s="4" t="s">
        <v>395</v>
      </c>
    </row>
    <row r="64" spans="2:16" x14ac:dyDescent="0.45">
      <c r="B64" s="7" t="s">
        <v>369</v>
      </c>
      <c r="C64" s="8"/>
      <c r="D64" s="8"/>
      <c r="E64" s="8"/>
      <c r="F64" s="8"/>
      <c r="G64" s="8"/>
      <c r="H64" s="8"/>
      <c r="I64" s="8"/>
      <c r="J64" s="8"/>
      <c r="K64" s="8"/>
      <c r="L64" s="8"/>
      <c r="M64" s="8"/>
      <c r="N64" s="8"/>
      <c r="O64" s="8"/>
      <c r="P64" s="8"/>
    </row>
    <row r="65" spans="2:16" x14ac:dyDescent="0.45">
      <c r="B65" s="6" t="s">
        <v>396</v>
      </c>
      <c r="C65" s="11"/>
      <c r="D65" s="11"/>
      <c r="E65" s="11">
        <f>AVERAGE('Sanofi Adjusted'!D47:E47)/AVERAGE('Sanofi Adjusted'!D66:E66)</f>
        <v>1.7975287755656928</v>
      </c>
      <c r="F65" s="11">
        <f>AVERAGE('Sanofi Adjusted'!E47:F47)/AVERAGE('Sanofi Adjusted'!E66:F66)</f>
        <v>1.5540972624014129</v>
      </c>
      <c r="G65" s="11">
        <f>AVERAGE('Sanofi Adjusted'!F47:G47)/AVERAGE('Sanofi Adjusted'!F66:G66)</f>
        <v>1.4189285808860526</v>
      </c>
      <c r="H65" s="11">
        <f>AVERAGE('Sanofi Adjusted'!G47:H47)/AVERAGE('Sanofi Adjusted'!G66:H66)</f>
        <v>1.5812136032470316</v>
      </c>
      <c r="I65" s="11">
        <f>AVERAGE('Sanofi Adjusted'!H47:I47)/AVERAGE('Sanofi Adjusted'!H66:I66)</f>
        <v>1.5881454097350585</v>
      </c>
      <c r="J65" s="11">
        <f>AVERAGE('Sanofi Adjusted'!I47:J47)/AVERAGE('Sanofi Adjusted'!I66:J66)</f>
        <v>1.4306479047471781</v>
      </c>
      <c r="K65" s="11">
        <f>AVERAGE('Sanofi Adjusted'!J47:K47)/AVERAGE('Sanofi Adjusted'!J66:K66)</f>
        <v>1.34453415246674</v>
      </c>
      <c r="L65" s="11"/>
      <c r="M65" s="11"/>
      <c r="N65" s="11"/>
      <c r="O65" s="11"/>
      <c r="P65" s="11"/>
    </row>
    <row r="66" spans="2:16" x14ac:dyDescent="0.45">
      <c r="B66" s="6" t="s">
        <v>397</v>
      </c>
      <c r="C66" s="11"/>
      <c r="D66" s="11"/>
      <c r="E66" s="11">
        <f>AVERAGE('Sanofi Adjusted'!D44+'Sanofi Adjusted'!D46,'Sanofi Adjusted'!E44+'Sanofi Adjusted'!E46)/AVERAGE('Sanofi Adjusted'!D66:E66)</f>
        <v>1.0608440832603245</v>
      </c>
      <c r="F66" s="11">
        <f>AVERAGE('Sanofi Adjusted'!E44+'Sanofi Adjusted'!E46,'Sanofi Adjusted'!F44+'Sanofi Adjusted'!F46)/AVERAGE('Sanofi Adjusted'!E66:F66)</f>
        <v>0.96580285635981611</v>
      </c>
      <c r="G66" s="11">
        <f>AVERAGE('Sanofi Adjusted'!F44+'Sanofi Adjusted'!F46,'Sanofi Adjusted'!G44+'Sanofi Adjusted'!G46)/AVERAGE('Sanofi Adjusted'!F66:G66)</f>
        <v>0.8354473955988666</v>
      </c>
      <c r="H66" s="11">
        <f>AVERAGE('Sanofi Adjusted'!G44+'Sanofi Adjusted'!G46,'Sanofi Adjusted'!H44+'Sanofi Adjusted'!H46)/AVERAGE('Sanofi Adjusted'!G66:H66)</f>
        <v>0.97738674464920461</v>
      </c>
      <c r="I66" s="11">
        <f>AVERAGE('Sanofi Adjusted'!H44+'Sanofi Adjusted'!H46,'Sanofi Adjusted'!I44+'Sanofi Adjusted'!I46)/AVERAGE('Sanofi Adjusted'!H66:I66)</f>
        <v>0.96295748613678378</v>
      </c>
      <c r="J66" s="11">
        <f>AVERAGE('Sanofi Adjusted'!I44+'Sanofi Adjusted'!I46,'Sanofi Adjusted'!J44+'Sanofi Adjusted'!J46)/AVERAGE('Sanofi Adjusted'!I66:J66)</f>
        <v>0.85767302127283573</v>
      </c>
      <c r="K66" s="11">
        <f>AVERAGE('Sanofi Adjusted'!J44+'Sanofi Adjusted'!J46,'Sanofi Adjusted'!K44+'Sanofi Adjusted'!K46)/AVERAGE('Sanofi Adjusted'!J66:K66)</f>
        <v>0.794981424212864</v>
      </c>
      <c r="L66" s="11"/>
      <c r="M66" s="11"/>
      <c r="N66" s="11"/>
      <c r="O66" s="11"/>
      <c r="P66" s="11"/>
    </row>
    <row r="67" spans="2:16" x14ac:dyDescent="0.45">
      <c r="B67" s="6" t="s">
        <v>398</v>
      </c>
      <c r="C67" s="11"/>
      <c r="D67" s="11"/>
      <c r="E67" s="11">
        <f>AVERAGE('Sanofi Adjusted'!D46:E46)/AVERAGE('Sanofi Adjusted'!D66:E66)</f>
        <v>0.62197516691338628</v>
      </c>
      <c r="F67" s="11">
        <f>AVERAGE('Sanofi Adjusted'!E46:F46)/AVERAGE('Sanofi Adjusted'!E66:F66)</f>
        <v>0.52498553549133653</v>
      </c>
      <c r="G67" s="11">
        <f>AVERAGE('Sanofi Adjusted'!F46:G46)/AVERAGE('Sanofi Adjusted'!F66:G66)</f>
        <v>0.43301644466806133</v>
      </c>
      <c r="H67" s="11">
        <f>AVERAGE('Sanofi Adjusted'!G46:H46)/AVERAGE('Sanofi Adjusted'!G66:H66)</f>
        <v>0.58844883656439861</v>
      </c>
      <c r="I67" s="11">
        <f>AVERAGE('Sanofi Adjusted'!H46:I46)/AVERAGE('Sanofi Adjusted'!H66:I66)</f>
        <v>0.59181762168823171</v>
      </c>
      <c r="J67" s="11">
        <f>AVERAGE('Sanofi Adjusted'!I46:J46)/AVERAGE('Sanofi Adjusted'!I66:J66)</f>
        <v>0.50440698933044692</v>
      </c>
      <c r="K67" s="11">
        <f>AVERAGE('Sanofi Adjusted'!J46:K46)/AVERAGE('Sanofi Adjusted'!J66:K66)</f>
        <v>0.44511321890371724</v>
      </c>
      <c r="L67" s="11"/>
      <c r="M67" s="11"/>
      <c r="N67" s="11"/>
      <c r="O67" s="11"/>
      <c r="P67" s="11"/>
    </row>
    <row r="68" spans="2:16" x14ac:dyDescent="0.45">
      <c r="B68" s="6" t="s">
        <v>399</v>
      </c>
      <c r="C68" s="11"/>
      <c r="D68" s="11"/>
      <c r="E68" s="11">
        <f>'Sanofi Adjusted'!E79/AVERAGE('Sanofi Adjusted'!D66:E66)</f>
        <v>0.46336968671641338</v>
      </c>
      <c r="F68" s="11">
        <f>'Sanofi Adjusted'!F79/AVERAGE('Sanofi Adjusted'!E66:F66)</f>
        <v>0.36213039373915162</v>
      </c>
      <c r="G68" s="11">
        <f>'Sanofi Adjusted'!G79/AVERAGE('Sanofi Adjusted'!F66:G66)</f>
        <v>0.43259274951672272</v>
      </c>
      <c r="H68" s="11">
        <f>'Sanofi Adjusted'!H79/AVERAGE('Sanofi Adjusted'!G66:H66)</f>
        <v>0.3952907958756649</v>
      </c>
      <c r="I68" s="11">
        <f>'Sanofi Adjusted'!I79/AVERAGE('Sanofi Adjusted'!H66:I66)</f>
        <v>0.53634011090573008</v>
      </c>
      <c r="J68" s="11">
        <f>'Sanofi Adjusted'!J79/AVERAGE('Sanofi Adjusted'!I66:J66)</f>
        <v>0.47224369877841349</v>
      </c>
      <c r="K68" s="11">
        <f>'Sanofi Adjusted'!K79/AVERAGE('Sanofi Adjusted'!J66:K66)</f>
        <v>0.42838463294659723</v>
      </c>
      <c r="L68" s="11"/>
      <c r="M68" s="11"/>
      <c r="N68" s="11"/>
      <c r="O68" s="11"/>
      <c r="P68" s="11"/>
    </row>
    <row r="70" spans="2:16" x14ac:dyDescent="0.45">
      <c r="B70" s="4" t="s">
        <v>34</v>
      </c>
    </row>
    <row r="71" spans="2:16" x14ac:dyDescent="0.45">
      <c r="B71" s="7" t="s">
        <v>369</v>
      </c>
      <c r="C71" s="8"/>
      <c r="D71" s="8"/>
      <c r="E71" s="8"/>
      <c r="F71" s="8"/>
      <c r="G71" s="8"/>
      <c r="H71" s="8"/>
      <c r="I71" s="8"/>
      <c r="J71" s="8"/>
      <c r="K71" s="8"/>
      <c r="L71" s="8"/>
      <c r="M71" s="8"/>
      <c r="N71" s="8"/>
      <c r="O71" s="8"/>
      <c r="P71" s="8"/>
    </row>
    <row r="72" spans="2:16" x14ac:dyDescent="0.45">
      <c r="B72" s="6" t="s">
        <v>400</v>
      </c>
      <c r="C72" s="11"/>
      <c r="D72" s="11"/>
      <c r="E72" s="11">
        <f>AVERAGE('Sanofi Adjusted'!D61+'Sanofi Adjusted'!D66,'Sanofi Adjusted'!E61+'Sanofi Adjusted'!E66)/AVERAGE('Sanofi Adjusted'!D144:E144)</f>
        <v>0.76345495468304003</v>
      </c>
      <c r="F72" s="11">
        <f>AVERAGE('Sanofi Adjusted'!E61+'Sanofi Adjusted'!E66,'Sanofi Adjusted'!F61+'Sanofi Adjusted'!F66)/AVERAGE('Sanofi Adjusted'!E144:F144)</f>
        <v>0.80108975561505535</v>
      </c>
      <c r="G72" s="11">
        <f>AVERAGE('Sanofi Adjusted'!F61+'Sanofi Adjusted'!F66,'Sanofi Adjusted'!G61+'Sanofi Adjusted'!G66)/AVERAGE('Sanofi Adjusted'!F144:G144)</f>
        <v>0.89437280683211429</v>
      </c>
      <c r="H72" s="11">
        <f>AVERAGE('Sanofi Adjusted'!G61+'Sanofi Adjusted'!G66,'Sanofi Adjusted'!H61+'Sanofi Adjusted'!H66)/AVERAGE('Sanofi Adjusted'!G144:H144)</f>
        <v>0.85368462304665171</v>
      </c>
      <c r="I72" s="11">
        <f>AVERAGE('Sanofi Adjusted'!H61+'Sanofi Adjusted'!H66,'Sanofi Adjusted'!I61+'Sanofi Adjusted'!I66)/AVERAGE('Sanofi Adjusted'!H144:I144)</f>
        <v>0.77388628924351577</v>
      </c>
      <c r="J72" s="11">
        <f>AVERAGE('Sanofi Adjusted'!I61+'Sanofi Adjusted'!I66,'Sanofi Adjusted'!J61+'Sanofi Adjusted'!J66)/AVERAGE('Sanofi Adjusted'!I144:J144)</f>
        <v>0.712851029594335</v>
      </c>
      <c r="K72" s="11">
        <f>AVERAGE('Sanofi Adjusted'!J61+'Sanofi Adjusted'!J66,'Sanofi Adjusted'!K61+'Sanofi Adjusted'!K66)/AVERAGE('Sanofi Adjusted'!J144:K144)</f>
        <v>0.69349520082940375</v>
      </c>
      <c r="L72" s="11"/>
      <c r="M72" s="11"/>
      <c r="N72" s="11"/>
      <c r="O72" s="11"/>
      <c r="P72" s="11"/>
    </row>
    <row r="73" spans="2:16" x14ac:dyDescent="0.45">
      <c r="B73" s="6" t="s">
        <v>35</v>
      </c>
      <c r="C73" s="11"/>
      <c r="D73" s="11"/>
      <c r="E73" s="11">
        <f>AVERAGE('Sanofi Adjusted'!D140:E140)/AVERAGE('Sanofi Adjusted'!D144:E144)</f>
        <v>0.3666577556247359</v>
      </c>
      <c r="F73" s="11">
        <f>AVERAGE('Sanofi Adjusted'!E140:F140)/AVERAGE('Sanofi Adjusted'!E144:F144)</f>
        <v>0.40692736667974144</v>
      </c>
      <c r="G73" s="11">
        <f>AVERAGE('Sanofi Adjusted'!F140:G140)/AVERAGE('Sanofi Adjusted'!F144:G144)</f>
        <v>0.4878535492326555</v>
      </c>
      <c r="H73" s="11">
        <f>AVERAGE('Sanofi Adjusted'!G140:H140)/AVERAGE('Sanofi Adjusted'!G144:H144)</f>
        <v>0.46116980454270834</v>
      </c>
      <c r="I73" s="11">
        <f>AVERAGE('Sanofi Adjusted'!H140:I140)/AVERAGE('Sanofi Adjusted'!H144:I144)</f>
        <v>0.39546275787516161</v>
      </c>
      <c r="J73" s="11">
        <f>AVERAGE('Sanofi Adjusted'!I140:J140)/AVERAGE('Sanofi Adjusted'!I144:J144)</f>
        <v>0.33716180132193113</v>
      </c>
      <c r="K73" s="11">
        <f>AVERAGE('Sanofi Adjusted'!J140:K140)/AVERAGE('Sanofi Adjusted'!J144:K144)</f>
        <v>0.29355539948496706</v>
      </c>
      <c r="L73" s="11"/>
      <c r="M73" s="11"/>
      <c r="N73" s="11"/>
      <c r="O73" s="11"/>
      <c r="P73" s="11"/>
    </row>
    <row r="74" spans="2:16" x14ac:dyDescent="0.45">
      <c r="B74" s="6" t="s">
        <v>36</v>
      </c>
      <c r="C74" s="11"/>
      <c r="D74" s="11"/>
      <c r="E74" s="11">
        <f>AVERAGE('Sanofi Adjusted'!D140:E140)/AVERAGE('Sanofi Adjusted'!D145:E145)</f>
        <v>0.2682879119630992</v>
      </c>
      <c r="F74" s="11">
        <f>AVERAGE('Sanofi Adjusted'!E140:F140)/AVERAGE('Sanofi Adjusted'!E145:F145)</f>
        <v>0.28923125409100825</v>
      </c>
      <c r="G74" s="11">
        <f>AVERAGE('Sanofi Adjusted'!F140:G140)/AVERAGE('Sanofi Adjusted'!F145:G145)</f>
        <v>0.32789083944737757</v>
      </c>
      <c r="H74" s="11">
        <f>AVERAGE('Sanofi Adjusted'!G140:H140)/AVERAGE('Sanofi Adjusted'!G145:H145)</f>
        <v>0.31561684556370728</v>
      </c>
      <c r="I74" s="11">
        <f>AVERAGE('Sanofi Adjusted'!H140:I140)/AVERAGE('Sanofi Adjusted'!H145:I145)</f>
        <v>0.28339183947647839</v>
      </c>
      <c r="J74" s="11">
        <f>AVERAGE('Sanofi Adjusted'!I140:J140)/AVERAGE('Sanofi Adjusted'!I145:J145)</f>
        <v>0.2521473474553414</v>
      </c>
      <c r="K74" s="11">
        <f>AVERAGE('Sanofi Adjusted'!J140:K140)/AVERAGE('Sanofi Adjusted'!J145:K145)</f>
        <v>0.22693685914174763</v>
      </c>
      <c r="L74" s="11"/>
      <c r="M74" s="11"/>
      <c r="N74" s="11"/>
      <c r="O74" s="11"/>
      <c r="P74" s="11"/>
    </row>
    <row r="75" spans="2:16" x14ac:dyDescent="0.45">
      <c r="B75" s="6" t="s">
        <v>37</v>
      </c>
      <c r="C75" s="11"/>
      <c r="D75" s="11"/>
      <c r="E75" s="11">
        <f>('Sanofi Adjusted'!E18-'Sanofi Adjusted'!E17-'Sanofi Adjusted'!E15+-'Sanofi Adjusted'!E15)/'Sanofi Adjusted'!E15</f>
        <v>-18.23121387283237</v>
      </c>
      <c r="F75" s="11">
        <f>('Sanofi Adjusted'!F18-'Sanofi Adjusted'!F17-'Sanofi Adjusted'!F15+-'Sanofi Adjusted'!F15)/'Sanofi Adjusted'!F15</f>
        <v>-12.411889596602972</v>
      </c>
      <c r="G75" s="11">
        <f>('Sanofi Adjusted'!G18-'Sanofi Adjusted'!G17-'Sanofi Adjusted'!G15+-'Sanofi Adjusted'!G15)/'Sanofi Adjusted'!G15</f>
        <v>-7.5275735294117645</v>
      </c>
      <c r="H75" s="11">
        <f>('Sanofi Adjusted'!H18-'Sanofi Adjusted'!H17-'Sanofi Adjusted'!H15+-'Sanofi Adjusted'!H15)/'Sanofi Adjusted'!H15</f>
        <v>-32.799564270152509</v>
      </c>
      <c r="I75" s="11">
        <f>('Sanofi Adjusted'!I18-'Sanofi Adjusted'!I17-'Sanofi Adjusted'!I15+-'Sanofi Adjusted'!I15)/'Sanofi Adjusted'!I15</f>
        <v>-23.649171270718231</v>
      </c>
      <c r="J75" s="11">
        <f>('Sanofi Adjusted'!J18-'Sanofi Adjusted'!J17-'Sanofi Adjusted'!J15+-'Sanofi Adjusted'!J15)/'Sanofi Adjusted'!J15</f>
        <v>-26.855721393034827</v>
      </c>
      <c r="K75" s="11">
        <f>('Sanofi Adjusted'!K18-'Sanofi Adjusted'!K17-'Sanofi Adjusted'!K15+-'Sanofi Adjusted'!K15)/'Sanofi Adjusted'!K15</f>
        <v>-12.382003395585739</v>
      </c>
      <c r="L75" s="11"/>
      <c r="M75" s="11"/>
      <c r="N75" s="11"/>
      <c r="O75" s="11"/>
      <c r="P75" s="11"/>
    </row>
    <row r="76" spans="2:16" x14ac:dyDescent="0.45">
      <c r="B76" s="6" t="s">
        <v>401</v>
      </c>
      <c r="C76" s="11"/>
      <c r="D76" s="11"/>
      <c r="E76" s="11" t="e">
        <f>('Sanofi Adjusted'!E79-E75)/-E77</f>
        <v>#DIV/0!</v>
      </c>
      <c r="F76" s="11" t="e">
        <f>('Sanofi Adjusted'!F79-F75)/-F77</f>
        <v>#DIV/0!</v>
      </c>
      <c r="G76" s="11" t="e">
        <f>('Sanofi Adjusted'!G79-G75)/-G77</f>
        <v>#DIV/0!</v>
      </c>
      <c r="H76" s="11" t="e">
        <f>('Sanofi Adjusted'!H79-H75)/-H77</f>
        <v>#DIV/0!</v>
      </c>
      <c r="I76" s="11" t="e">
        <f>('Sanofi Adjusted'!I79-I75)/-I77</f>
        <v>#DIV/0!</v>
      </c>
      <c r="J76" s="11" t="e">
        <f>('Sanofi Adjusted'!J79-J75)/-J77</f>
        <v>#DIV/0!</v>
      </c>
      <c r="K76" s="11" t="e">
        <f>('Sanofi Adjusted'!K79-K75)/-K77</f>
        <v>#DIV/0!</v>
      </c>
      <c r="L76" s="11"/>
      <c r="M76" s="11"/>
      <c r="N76" s="11"/>
      <c r="O76" s="11"/>
      <c r="P76" s="11"/>
    </row>
    <row r="77" spans="2:16" x14ac:dyDescent="0.45">
      <c r="B77" s="6" t="s">
        <v>402</v>
      </c>
      <c r="C77" s="11"/>
      <c r="D77" s="11"/>
      <c r="E77" s="11" t="e">
        <f>'Sanofi Adjusted'!E73-(1-'Sanofi Adjusted'!E104)*('Sanofi Adjusted'!E86/'Sanofi Adjusted'!E104)</f>
        <v>#DIV/0!</v>
      </c>
      <c r="F77" s="11" t="e">
        <f>'Sanofi Adjusted'!F73-(1-'Sanofi Adjusted'!F104)*('Sanofi Adjusted'!F86/'Sanofi Adjusted'!F104)</f>
        <v>#DIV/0!</v>
      </c>
      <c r="G77" s="11" t="e">
        <f>'Sanofi Adjusted'!G73-(1-'Sanofi Adjusted'!G104)*('Sanofi Adjusted'!G86/'Sanofi Adjusted'!G104)</f>
        <v>#DIV/0!</v>
      </c>
      <c r="H77" s="11" t="e">
        <f>'Sanofi Adjusted'!H73-(1-'Sanofi Adjusted'!H104)*('Sanofi Adjusted'!H86/'Sanofi Adjusted'!H104)</f>
        <v>#DIV/0!</v>
      </c>
      <c r="I77" s="11" t="e">
        <f>'Sanofi Adjusted'!I73-(1-'Sanofi Adjusted'!I104)*('Sanofi Adjusted'!I86/'Sanofi Adjusted'!I104)</f>
        <v>#DIV/0!</v>
      </c>
      <c r="J77" s="11" t="e">
        <f>'Sanofi Adjusted'!J73-(1-'Sanofi Adjusted'!J104)*('Sanofi Adjusted'!J86/'Sanofi Adjusted'!J104)</f>
        <v>#DIV/0!</v>
      </c>
      <c r="K77" s="11" t="e">
        <f>'Sanofi Adjusted'!K73-(1-'Sanofi Adjusted'!K104)*('Sanofi Adjusted'!K86/'Sanofi Adjusted'!K104)</f>
        <v>#DIV/0!</v>
      </c>
      <c r="L77" s="11"/>
      <c r="M77" s="11"/>
      <c r="N77" s="11"/>
      <c r="O77" s="11"/>
      <c r="P77" s="11"/>
    </row>
    <row r="78" spans="2:16" x14ac:dyDescent="0.45">
      <c r="B78" s="6" t="s">
        <v>403</v>
      </c>
      <c r="C78" s="19"/>
      <c r="D78" s="19"/>
      <c r="E78" s="19" t="e">
        <f>'Sanofi Adjusted'!E86/'Sanofi Adjusted'!E104</f>
        <v>#DIV/0!</v>
      </c>
      <c r="F78" s="19" t="e">
        <f>'Sanofi Adjusted'!F86/'Sanofi Adjusted'!F104</f>
        <v>#DIV/0!</v>
      </c>
      <c r="G78" s="19" t="e">
        <f>'Sanofi Adjusted'!G86/'Sanofi Adjusted'!G104</f>
        <v>#DIV/0!</v>
      </c>
      <c r="H78" s="19" t="e">
        <f>'Sanofi Adjusted'!H86/'Sanofi Adjusted'!H104</f>
        <v>#DIV/0!</v>
      </c>
      <c r="I78" s="19" t="e">
        <f>'Sanofi Adjusted'!I86/'Sanofi Adjusted'!I104</f>
        <v>#DIV/0!</v>
      </c>
      <c r="J78" s="19" t="e">
        <f>'Sanofi Adjusted'!J86/'Sanofi Adjusted'!J104</f>
        <v>#DIV/0!</v>
      </c>
      <c r="K78" s="19" t="e">
        <f>'Sanofi Adjusted'!K86/'Sanofi Adjusted'!K104</f>
        <v>#DIV/0!</v>
      </c>
      <c r="L78" s="19"/>
      <c r="M78" s="19"/>
      <c r="N78" s="19"/>
      <c r="O78" s="19"/>
      <c r="P78" s="19"/>
    </row>
    <row r="79" spans="2:16" x14ac:dyDescent="0.45">
      <c r="C79" s="16"/>
      <c r="D79" s="16"/>
      <c r="E79" s="16"/>
      <c r="F79" s="16"/>
      <c r="G79" s="16"/>
      <c r="H79" s="16"/>
      <c r="I79" s="16"/>
      <c r="J79" s="16"/>
      <c r="K79" s="16"/>
      <c r="L79" s="11"/>
      <c r="M79" s="11"/>
      <c r="N79" s="11"/>
      <c r="O79" s="11"/>
      <c r="P79" s="11"/>
    </row>
    <row r="80" spans="2:16" x14ac:dyDescent="0.45">
      <c r="B80" s="4" t="s">
        <v>38</v>
      </c>
    </row>
    <row r="81" spans="2:16" x14ac:dyDescent="0.45">
      <c r="B81" s="7" t="s">
        <v>369</v>
      </c>
      <c r="C81" s="8"/>
      <c r="D81" s="8"/>
      <c r="E81" s="8"/>
      <c r="F81" s="8"/>
      <c r="G81" s="8"/>
      <c r="H81" s="8"/>
      <c r="I81" s="8"/>
      <c r="J81" s="8"/>
      <c r="K81" s="8"/>
      <c r="L81" s="8"/>
      <c r="M81" s="8"/>
      <c r="N81" s="8"/>
      <c r="O81" s="8"/>
      <c r="P81" s="8"/>
    </row>
    <row r="82" spans="2:16" x14ac:dyDescent="0.45">
      <c r="B82" s="6" t="s">
        <v>39</v>
      </c>
      <c r="C82" s="9"/>
      <c r="D82" s="9"/>
      <c r="E82" s="9">
        <f t="shared" ref="E82:K82" si="14">E4</f>
        <v>6.7160510861410297E-2</v>
      </c>
      <c r="F82" s="9">
        <f t="shared" si="14"/>
        <v>7.5430189129730374E-2</v>
      </c>
      <c r="G82" s="9">
        <f t="shared" si="14"/>
        <v>4.8805648332135458E-2</v>
      </c>
      <c r="H82" s="9">
        <f t="shared" si="14"/>
        <v>0.20133570647115495</v>
      </c>
      <c r="I82" s="9">
        <f t="shared" si="14"/>
        <v>9.4932833395069666E-2</v>
      </c>
      <c r="J82" s="9">
        <f t="shared" si="14"/>
        <v>0.11212140127476887</v>
      </c>
      <c r="K82" s="9">
        <f t="shared" si="14"/>
        <v>6.819838801377881E-2</v>
      </c>
      <c r="L82" s="9"/>
      <c r="M82" s="9"/>
      <c r="N82" s="9"/>
      <c r="O82" s="9"/>
      <c r="P82" s="9"/>
    </row>
    <row r="83" spans="2:16" x14ac:dyDescent="0.45">
      <c r="B83" s="6" t="s">
        <v>404</v>
      </c>
      <c r="C83" s="13"/>
      <c r="D83" s="13"/>
      <c r="E83" s="13">
        <f>-'Sanofi Adjusted'!E90/'Sanofi Adjusted'!E114</f>
        <v>0.95274781715459678</v>
      </c>
      <c r="F83" s="13">
        <f>-'Sanofi Adjusted'!F90/'Sanofi Adjusted'!F114</f>
        <v>0.85304092245082519</v>
      </c>
      <c r="G83" s="13">
        <f>-'Sanofi Adjusted'!G90/'Sanofi Adjusted'!G114</f>
        <v>1.3284823284823284</v>
      </c>
      <c r="H83" s="13">
        <f>-'Sanofi Adjusted'!H90/'Sanofi Adjusted'!H114</f>
        <v>0.31930251419302513</v>
      </c>
      <c r="I83" s="13">
        <f>-'Sanofi Adjusted'!I90/'Sanofi Adjusted'!I114</f>
        <v>0.63831820353559487</v>
      </c>
      <c r="J83" s="13">
        <f>-'Sanofi Adjusted'!J90/'Sanofi Adjusted'!J114</f>
        <v>0.515650129902264</v>
      </c>
      <c r="K83" s="13">
        <f>-'Sanofi Adjusted'!K90/'Sanofi Adjusted'!K114</f>
        <v>0.87367595135347198</v>
      </c>
      <c r="L83" s="13"/>
      <c r="M83" s="13"/>
      <c r="N83" s="13"/>
      <c r="O83" s="13"/>
      <c r="P83" s="13"/>
    </row>
    <row r="84" spans="2:16" x14ac:dyDescent="0.45">
      <c r="B84" s="6" t="s">
        <v>38</v>
      </c>
      <c r="C84" s="9"/>
      <c r="D84" s="9"/>
      <c r="E84" s="9">
        <f t="shared" ref="E84:K84" si="15">(1-E83)*E82</f>
        <v>3.1734807392140487E-3</v>
      </c>
      <c r="F84" s="9">
        <f t="shared" si="15"/>
        <v>1.108515101386497E-2</v>
      </c>
      <c r="G84" s="9">
        <f t="shared" si="15"/>
        <v>-1.6031793007229522E-2</v>
      </c>
      <c r="H84" s="9">
        <f t="shared" si="15"/>
        <v>0.13704870919808626</v>
      </c>
      <c r="I84" s="9">
        <f t="shared" si="15"/>
        <v>3.4335477725784866E-2</v>
      </c>
      <c r="J84" s="9">
        <f t="shared" si="15"/>
        <v>5.4305986142610431E-2</v>
      </c>
      <c r="K84" s="9">
        <f t="shared" si="15"/>
        <v>8.6150964850673882E-3</v>
      </c>
      <c r="L84" s="9"/>
      <c r="M84" s="9"/>
      <c r="N84" s="9"/>
      <c r="O84" s="9"/>
      <c r="P84" s="9"/>
    </row>
  </sheetData>
  <pageMargins left="0.7" right="0.7" top="0.75" bottom="0.75" header="0.3" footer="0.3"/>
  <pageSetup paperSize="9" orientation="portrait"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16FC2-82A9-494A-9318-8DA05987D12C}">
  <dimension ref="B2:R84"/>
  <sheetViews>
    <sheetView showGridLines="0" topLeftCell="A57" workbookViewId="0">
      <selection activeCell="B78" sqref="B78"/>
    </sheetView>
  </sheetViews>
  <sheetFormatPr defaultColWidth="9.1328125" defaultRowHeight="14.25" x14ac:dyDescent="0.45"/>
  <cols>
    <col min="1" max="1" width="3.33203125" style="1" customWidth="1"/>
    <col min="2" max="2" width="41.33203125" style="1" customWidth="1"/>
    <col min="3" max="16" width="14" style="1" customWidth="1"/>
    <col min="17" max="16384" width="9.1328125" style="1"/>
  </cols>
  <sheetData>
    <row r="2" spans="2:18" x14ac:dyDescent="0.45">
      <c r="B2" s="4" t="s">
        <v>368</v>
      </c>
    </row>
    <row r="3" spans="2:18" x14ac:dyDescent="0.45">
      <c r="B3" s="7" t="s">
        <v>369</v>
      </c>
      <c r="C3" s="21">
        <v>2015</v>
      </c>
      <c r="D3" s="21">
        <f t="shared" ref="D3:Q3" si="0">C3+1</f>
        <v>2016</v>
      </c>
      <c r="E3" s="21">
        <f t="shared" si="0"/>
        <v>2017</v>
      </c>
      <c r="F3" s="21">
        <f t="shared" si="0"/>
        <v>2018</v>
      </c>
      <c r="G3" s="21">
        <f t="shared" si="0"/>
        <v>2019</v>
      </c>
      <c r="H3" s="21">
        <f t="shared" si="0"/>
        <v>2020</v>
      </c>
      <c r="I3" s="21">
        <f t="shared" si="0"/>
        <v>2021</v>
      </c>
      <c r="J3" s="21">
        <f t="shared" si="0"/>
        <v>2022</v>
      </c>
      <c r="K3" s="21">
        <f t="shared" si="0"/>
        <v>2023</v>
      </c>
      <c r="L3" s="22">
        <f t="shared" si="0"/>
        <v>2024</v>
      </c>
      <c r="M3" s="22">
        <f t="shared" si="0"/>
        <v>2025</v>
      </c>
      <c r="N3" s="22">
        <f t="shared" si="0"/>
        <v>2026</v>
      </c>
      <c r="O3" s="22">
        <f t="shared" si="0"/>
        <v>2027</v>
      </c>
      <c r="P3" s="22">
        <f t="shared" si="0"/>
        <v>2028</v>
      </c>
      <c r="Q3" s="22">
        <f t="shared" si="0"/>
        <v>2029</v>
      </c>
    </row>
    <row r="4" spans="2:18" x14ac:dyDescent="0.45">
      <c r="B4" s="6" t="s">
        <v>368</v>
      </c>
      <c r="C4" s="9"/>
      <c r="E4" s="93">
        <f>'GSK Adjusted'!E18/AVERAGE(SUM('GSK Adjusted'!D53:D55), SUM('GSK Adjusted'!E53:E55))</f>
        <v>0.50840858929806909</v>
      </c>
      <c r="F4" s="93">
        <f>'GSK Adjusted'!F18/AVERAGE(SUM('GSK Adjusted'!E53:E55), SUM('GSK Adjusted'!F53:F55))</f>
        <v>1.1413260615228396</v>
      </c>
      <c r="G4" s="93">
        <f>'GSK Adjusted'!G18/AVERAGE(SUM('GSK Adjusted'!F53:F55), SUM('GSK Adjusted'!G53:G55))</f>
        <v>0.46652017837058657</v>
      </c>
      <c r="H4" s="93">
        <f>'GSK Adjusted'!H18/AVERAGE(SUM('GSK Adjusted'!G53:G55), SUM('GSK Adjusted'!H53:H55))</f>
        <v>0.25582575360992948</v>
      </c>
      <c r="I4" s="93">
        <f>'GSK Adjusted'!I18/AVERAGE(SUM('GSK Adjusted'!H53:H55), SUM('GSK Adjusted'!I53:I55))</f>
        <v>0.16821699034785595</v>
      </c>
      <c r="J4" s="93">
        <f>'GSK Adjusted'!J18/AVERAGE(SUM('GSK Adjusted'!I53:I55), SUM('GSK Adjusted'!J53:J55))</f>
        <v>0.31380251844978113</v>
      </c>
      <c r="K4" s="93">
        <f>'GSK Adjusted'!K18/AVERAGE(SUM('GSK Adjusted'!J53:J55), SUM('GSK Adjusted'!K53:K55))</f>
        <v>0.46723004690523068</v>
      </c>
      <c r="L4" s="9"/>
      <c r="M4" s="9"/>
      <c r="N4" s="9"/>
      <c r="O4" s="9"/>
      <c r="P4" s="9"/>
      <c r="R4" s="14"/>
    </row>
    <row r="5" spans="2:18" x14ac:dyDescent="0.45">
      <c r="B5" s="6"/>
      <c r="C5" s="9"/>
      <c r="D5" s="88"/>
      <c r="E5" s="88"/>
      <c r="F5" s="88"/>
      <c r="G5" s="88"/>
      <c r="H5" s="88"/>
      <c r="I5" s="88"/>
      <c r="J5" s="88"/>
      <c r="K5" s="88"/>
      <c r="L5" s="9"/>
      <c r="M5" s="9"/>
      <c r="N5" s="9"/>
      <c r="O5" s="9"/>
      <c r="P5" s="9"/>
      <c r="R5" s="14"/>
    </row>
    <row r="6" spans="2:18" x14ac:dyDescent="0.45">
      <c r="B6" s="4" t="s">
        <v>15</v>
      </c>
      <c r="D6" s="89"/>
      <c r="E6" s="89"/>
      <c r="F6" s="89"/>
      <c r="G6" s="89"/>
      <c r="H6" s="89"/>
      <c r="I6" s="89"/>
      <c r="J6" s="89"/>
      <c r="K6" s="89"/>
    </row>
    <row r="7" spans="2:18" x14ac:dyDescent="0.45">
      <c r="B7" s="7" t="s">
        <v>369</v>
      </c>
      <c r="C7" s="8"/>
      <c r="D7" s="90"/>
      <c r="E7" s="90"/>
      <c r="F7" s="90"/>
      <c r="G7" s="90"/>
      <c r="H7" s="90"/>
      <c r="I7" s="90"/>
      <c r="J7" s="90"/>
      <c r="K7" s="90"/>
      <c r="L7" s="8"/>
      <c r="M7" s="8"/>
      <c r="N7" s="8"/>
      <c r="O7" s="8"/>
      <c r="P7" s="8"/>
    </row>
    <row r="8" spans="2:18" x14ac:dyDescent="0.45">
      <c r="B8" s="6" t="s">
        <v>16</v>
      </c>
      <c r="C8" s="9"/>
      <c r="D8" s="88"/>
      <c r="E8" s="93">
        <f>'GSK Adjusted'!E18/'GSK Adjusted'!E9</f>
        <v>7.1854494550588996E-2</v>
      </c>
      <c r="F8" s="93">
        <f>'GSK Adjusted'!F18/'GSK Adjusted'!F9</f>
        <v>0.13127411398682476</v>
      </c>
      <c r="G8" s="93">
        <f>'GSK Adjusted'!G18/'GSK Adjusted'!G9</f>
        <v>0.15607038134748399</v>
      </c>
      <c r="H8" s="93">
        <f>'GSK Adjusted'!H18/'GSK Adjusted'!H9</f>
        <v>0.20953439190008524</v>
      </c>
      <c r="I8" s="93">
        <f>'GSK Adjusted'!I18/'GSK Adjusted'!I9</f>
        <v>0.14237123728591758</v>
      </c>
      <c r="J8" s="93">
        <f>'GSK Adjusted'!J18/'GSK Adjusted'!J9</f>
        <v>0.16781473429473517</v>
      </c>
      <c r="K8" s="93">
        <f>'GSK Adjusted'!K18/'GSK Adjusted'!K9</f>
        <v>0.17501982349554709</v>
      </c>
      <c r="L8" s="9"/>
      <c r="M8" s="9"/>
      <c r="N8" s="9"/>
      <c r="O8" s="9"/>
      <c r="P8" s="9"/>
    </row>
    <row r="9" spans="2:18" x14ac:dyDescent="0.45">
      <c r="B9" s="6" t="s">
        <v>17</v>
      </c>
      <c r="C9" s="10"/>
      <c r="D9" s="91"/>
      <c r="E9" s="91">
        <f>'GSK Adjusted'!E9/AVERAGE('GSK Adjusted'!D50:E50)</f>
        <v>0.51949078634682877</v>
      </c>
      <c r="F9" s="91">
        <f>'GSK Adjusted'!F9/AVERAGE('GSK Adjusted'!E50:F50)</f>
        <v>0.54396853179265747</v>
      </c>
      <c r="G9" s="91">
        <f>'GSK Adjusted'!G9/AVERAGE('GSK Adjusted'!F50:G50)</f>
        <v>0.48508676916885402</v>
      </c>
      <c r="H9" s="91">
        <f>'GSK Adjusted'!H9/AVERAGE('GSK Adjusted'!G50:H50)</f>
        <v>0.29814702057447756</v>
      </c>
      <c r="I9" s="91">
        <f>'GSK Adjusted'!I9/AVERAGE('GSK Adjusted'!H50:I50)</f>
        <v>0.31238222914174435</v>
      </c>
      <c r="J9" s="91">
        <f>'GSK Adjusted'!J9/AVERAGE('GSK Adjusted'!I50:J50)</f>
        <v>0.42471307263822533</v>
      </c>
      <c r="K9" s="91">
        <f>'GSK Adjusted'!K9/AVERAGE('GSK Adjusted'!J50:K50)</f>
        <v>0.51358951833847344</v>
      </c>
      <c r="L9" s="10"/>
      <c r="M9" s="10"/>
      <c r="N9" s="10"/>
      <c r="O9" s="10"/>
      <c r="P9" s="10"/>
    </row>
    <row r="10" spans="2:18" x14ac:dyDescent="0.45">
      <c r="B10" s="6" t="s">
        <v>18</v>
      </c>
      <c r="C10" s="9"/>
      <c r="D10" s="88"/>
      <c r="E10" s="88">
        <f t="shared" ref="E10:K10" si="1">E8*E9</f>
        <v>3.7327747876639401E-2</v>
      </c>
      <c r="F10" s="88">
        <f t="shared" si="1"/>
        <v>7.1408987047795025E-2</v>
      </c>
      <c r="G10" s="88">
        <f t="shared" si="1"/>
        <v>7.5707677050801989E-2</v>
      </c>
      <c r="H10" s="88">
        <f t="shared" si="1"/>
        <v>6.2472054652895362E-2</v>
      </c>
      <c r="I10" s="88">
        <f t="shared" si="1"/>
        <v>4.4474244469043162E-2</v>
      </c>
      <c r="J10" s="88">
        <f t="shared" si="1"/>
        <v>7.1273111436284342E-2</v>
      </c>
      <c r="K10" s="88">
        <f t="shared" si="1"/>
        <v>8.9888346848762665E-2</v>
      </c>
      <c r="L10" s="9"/>
      <c r="M10" s="9"/>
      <c r="N10" s="9"/>
      <c r="O10" s="9"/>
      <c r="P10" s="9"/>
    </row>
    <row r="11" spans="2:18" x14ac:dyDescent="0.45">
      <c r="B11" s="6" t="s">
        <v>370</v>
      </c>
      <c r="C11" s="10"/>
      <c r="D11" s="91"/>
      <c r="E11" s="91">
        <f>AVERAGE('GSK Adjusted'!D50:E50)/AVERAGE(SUM('GSK Adjusted'!D53:D55),SUM('GSK Adjusted'!E53:E55))</f>
        <v>13.620124926321722</v>
      </c>
      <c r="F11" s="91">
        <f>AVERAGE('GSK Adjusted'!E50:F50)/AVERAGE(SUM('GSK Adjusted'!E53:E55),SUM('GSK Adjusted'!F53:F55))</f>
        <v>15.982947087023293</v>
      </c>
      <c r="G11" s="91">
        <f>AVERAGE('GSK Adjusted'!F50:G50)/AVERAGE(SUM('GSK Adjusted'!F53:F55),SUM('GSK Adjusted'!G53:G55))</f>
        <v>6.1621251178732956</v>
      </c>
      <c r="H11" s="91">
        <f>AVERAGE('GSK Adjusted'!G50:H50)/AVERAGE(SUM('GSK Adjusted'!G53:G55),SUM('GSK Adjusted'!H53:H55))</f>
        <v>4.0950430561526741</v>
      </c>
      <c r="I11" s="91">
        <f>AVERAGE('GSK Adjusted'!H50:I50)/AVERAGE(SUM('GSK Adjusted'!H53:H55),SUM('GSK Adjusted'!I53:I55))</f>
        <v>3.782346217594442</v>
      </c>
      <c r="J11" s="91">
        <f>AVERAGE('GSK Adjusted'!I50:J50)/AVERAGE(SUM('GSK Adjusted'!I53:I55),SUM('GSK Adjusted'!J53:J55))</f>
        <v>4.4028177264340354</v>
      </c>
      <c r="K11" s="91">
        <f>AVERAGE('GSK Adjusted'!J50:K50)/AVERAGE(SUM('GSK Adjusted'!J53:J55),SUM('GSK Adjusted'!K53:K55))</f>
        <v>5.19789342317471</v>
      </c>
      <c r="L11" s="10"/>
      <c r="M11" s="10"/>
      <c r="N11" s="10"/>
      <c r="O11" s="10"/>
      <c r="P11" s="10"/>
    </row>
    <row r="12" spans="2:18" x14ac:dyDescent="0.45">
      <c r="B12" s="6" t="s">
        <v>20</v>
      </c>
      <c r="C12" s="9"/>
      <c r="D12" s="88"/>
      <c r="E12" s="93">
        <f t="shared" ref="E12:K12" si="2">E10*E11</f>
        <v>0.50840858929806909</v>
      </c>
      <c r="F12" s="93">
        <f t="shared" si="2"/>
        <v>1.1413260615228396</v>
      </c>
      <c r="G12" s="93">
        <f t="shared" si="2"/>
        <v>0.46652017837058662</v>
      </c>
      <c r="H12" s="93">
        <f t="shared" si="2"/>
        <v>0.25582575360992948</v>
      </c>
      <c r="I12" s="93">
        <f t="shared" si="2"/>
        <v>0.16821699034785592</v>
      </c>
      <c r="J12" s="93">
        <f t="shared" si="2"/>
        <v>0.31380251844978108</v>
      </c>
      <c r="K12" s="93">
        <f t="shared" si="2"/>
        <v>0.46723004690523062</v>
      </c>
      <c r="L12" s="9"/>
      <c r="M12" s="9"/>
      <c r="N12" s="9"/>
      <c r="O12" s="9"/>
      <c r="P12" s="9"/>
    </row>
    <row r="13" spans="2:18" x14ac:dyDescent="0.45">
      <c r="D13" s="89"/>
      <c r="E13" s="89"/>
      <c r="F13" s="89"/>
      <c r="G13" s="89"/>
      <c r="H13" s="89"/>
      <c r="I13" s="89"/>
      <c r="J13" s="89"/>
      <c r="K13" s="89"/>
    </row>
    <row r="14" spans="2:18" x14ac:dyDescent="0.45">
      <c r="B14" s="4" t="s">
        <v>371</v>
      </c>
      <c r="D14" s="89"/>
      <c r="E14" s="89"/>
      <c r="F14" s="89"/>
      <c r="G14" s="89"/>
      <c r="H14" s="89"/>
      <c r="I14" s="89"/>
      <c r="J14" s="89"/>
      <c r="K14" s="89"/>
    </row>
    <row r="15" spans="2:18" x14ac:dyDescent="0.45">
      <c r="B15" s="7" t="s">
        <v>369</v>
      </c>
      <c r="C15" s="8"/>
      <c r="D15" s="90"/>
      <c r="E15" s="90"/>
      <c r="F15" s="90"/>
      <c r="G15" s="90"/>
      <c r="H15" s="90"/>
      <c r="I15" s="90"/>
      <c r="J15" s="90"/>
      <c r="K15" s="90"/>
      <c r="L15" s="8"/>
      <c r="M15" s="8"/>
      <c r="N15" s="8"/>
      <c r="O15" s="8"/>
      <c r="P15" s="8"/>
    </row>
    <row r="16" spans="2:18" x14ac:dyDescent="0.45">
      <c r="B16" s="6" t="s">
        <v>22</v>
      </c>
      <c r="C16" s="9"/>
      <c r="D16" s="88"/>
      <c r="E16" s="93">
        <f>'GSK Adjusted'!E101/'GSK Adjusted'!E96</f>
        <v>7.3078903182362834E-2</v>
      </c>
      <c r="F16" s="93">
        <f>'GSK Adjusted'!F101/'GSK Adjusted'!F96</f>
        <v>0.1319982958279729</v>
      </c>
      <c r="G16" s="93">
        <f>'GSK Adjusted'!G101/'GSK Adjusted'!G96</f>
        <v>0.15680007297700957</v>
      </c>
      <c r="H16" s="93">
        <f>'GSK Adjusted'!H101/'GSK Adjusted'!H96</f>
        <v>0.2110458478993274</v>
      </c>
      <c r="I16" s="93">
        <f>'GSK Adjusted'!I101/'GSK Adjusted'!I96</f>
        <v>0.14366132440853244</v>
      </c>
      <c r="J16" s="93">
        <f>'GSK Adjusted'!J101/'GSK Adjusted'!J96</f>
        <v>0.16863215373661447</v>
      </c>
      <c r="K16" s="93">
        <f>'GSK Adjusted'!K101/'GSK Adjusted'!K96</f>
        <v>0.17613364486991628</v>
      </c>
      <c r="L16" s="9"/>
      <c r="M16" s="9"/>
      <c r="N16" s="9"/>
      <c r="O16" s="9"/>
      <c r="P16" s="9"/>
    </row>
    <row r="17" spans="2:16" x14ac:dyDescent="0.45">
      <c r="B17" s="6" t="s">
        <v>23</v>
      </c>
      <c r="C17" s="10"/>
      <c r="D17" s="91"/>
      <c r="E17" s="91">
        <f>'GSK Adjusted'!E96/AVERAGE('GSK Adjusted'!D124+'GSK Adjusted'!D130,'GSK Adjusted'!E124+'GSK Adjusted'!E130)</f>
        <v>1.4201338637116887</v>
      </c>
      <c r="F17" s="91">
        <f>'GSK Adjusted'!F96/AVERAGE('GSK Adjusted'!E124+'GSK Adjusted'!E130,'GSK Adjusted'!F124+'GSK Adjusted'!F130)</f>
        <v>1.2664544295365359</v>
      </c>
      <c r="G17" s="91">
        <f>'GSK Adjusted'!G96/AVERAGE('GSK Adjusted'!F124+'GSK Adjusted'!F130,'GSK Adjusted'!G124+'GSK Adjusted'!G130)</f>
        <v>0.89187874827041114</v>
      </c>
      <c r="H17" s="91">
        <f>'GSK Adjusted'!H96/AVERAGE('GSK Adjusted'!G124+'GSK Adjusted'!G130,'GSK Adjusted'!H124+'GSK Adjusted'!H130)</f>
        <v>0.5372183916137464</v>
      </c>
      <c r="I17" s="91">
        <f>'GSK Adjusted'!I96/AVERAGE('GSK Adjusted'!H124+'GSK Adjusted'!H130,'GSK Adjusted'!I124+'GSK Adjusted'!I130)</f>
        <v>0.58446900709363458</v>
      </c>
      <c r="J17" s="91">
        <f>'GSK Adjusted'!J96/AVERAGE('GSK Adjusted'!I124+'GSK Adjusted'!I130,'GSK Adjusted'!J124+'GSK Adjusted'!J130)</f>
        <v>0.82239206450607161</v>
      </c>
      <c r="K17" s="91">
        <f>'GSK Adjusted'!K96/AVERAGE('GSK Adjusted'!J124+'GSK Adjusted'!J130,'GSK Adjusted'!K124+'GSK Adjusted'!K130)</f>
        <v>1.0333967360894623</v>
      </c>
      <c r="L17" s="10"/>
      <c r="M17" s="10"/>
      <c r="N17" s="10"/>
      <c r="O17" s="10"/>
      <c r="P17" s="10"/>
    </row>
    <row r="18" spans="2:16" x14ac:dyDescent="0.45">
      <c r="B18" s="6" t="s">
        <v>24</v>
      </c>
      <c r="C18" s="9"/>
      <c r="D18" s="88"/>
      <c r="E18" s="93">
        <f t="shared" ref="E18:K18" si="3">E16*E17</f>
        <v>0.10378182513218136</v>
      </c>
      <c r="F18" s="93">
        <f t="shared" si="3"/>
        <v>0.16716982644261033</v>
      </c>
      <c r="G18" s="93">
        <f t="shared" si="3"/>
        <v>0.13984665281544442</v>
      </c>
      <c r="H18" s="93">
        <f t="shared" si="3"/>
        <v>0.11337771096523602</v>
      </c>
      <c r="I18" s="93">
        <f t="shared" si="3"/>
        <v>8.3965591634811487E-2</v>
      </c>
      <c r="J18" s="93">
        <f t="shared" si="3"/>
        <v>0.13868174505355962</v>
      </c>
      <c r="K18" s="93">
        <f t="shared" si="3"/>
        <v>0.18201593372411196</v>
      </c>
      <c r="L18" s="9"/>
      <c r="M18" s="9"/>
      <c r="N18" s="9"/>
      <c r="O18" s="9"/>
      <c r="P18" s="9"/>
    </row>
    <row r="19" spans="2:16" x14ac:dyDescent="0.45">
      <c r="B19" s="4"/>
      <c r="C19" s="9"/>
      <c r="D19" s="88"/>
      <c r="E19" s="88"/>
      <c r="F19" s="88"/>
      <c r="G19" s="88"/>
      <c r="H19" s="88"/>
      <c r="I19" s="88"/>
      <c r="J19" s="88"/>
      <c r="K19" s="88"/>
      <c r="L19" s="9"/>
      <c r="M19" s="9"/>
      <c r="N19" s="9"/>
      <c r="O19" s="9"/>
      <c r="P19" s="9"/>
    </row>
    <row r="20" spans="2:16" x14ac:dyDescent="0.45">
      <c r="B20" s="4" t="s">
        <v>372</v>
      </c>
      <c r="D20" s="89"/>
      <c r="E20" s="89"/>
      <c r="F20" s="89"/>
      <c r="G20" s="89"/>
      <c r="H20" s="89"/>
      <c r="I20" s="89"/>
      <c r="J20" s="89"/>
      <c r="K20" s="89"/>
    </row>
    <row r="21" spans="2:16" x14ac:dyDescent="0.45">
      <c r="B21" s="7"/>
      <c r="C21" s="8"/>
      <c r="D21" s="90"/>
      <c r="E21" s="90"/>
      <c r="F21" s="90"/>
      <c r="G21" s="90"/>
      <c r="H21" s="90"/>
      <c r="I21" s="90"/>
      <c r="J21" s="90"/>
      <c r="K21" s="90"/>
      <c r="L21" s="8"/>
      <c r="M21" s="8"/>
      <c r="N21" s="8"/>
      <c r="O21" s="8"/>
      <c r="P21" s="8"/>
    </row>
    <row r="22" spans="2:16" x14ac:dyDescent="0.45">
      <c r="B22" s="3" t="s">
        <v>373</v>
      </c>
      <c r="D22" s="89"/>
      <c r="E22" s="89"/>
      <c r="F22" s="89"/>
      <c r="G22" s="89"/>
      <c r="H22" s="89"/>
      <c r="I22" s="89"/>
      <c r="J22" s="89"/>
      <c r="K22" s="89"/>
    </row>
    <row r="23" spans="2:16" x14ac:dyDescent="0.45">
      <c r="B23" s="6" t="s">
        <v>96</v>
      </c>
      <c r="C23" s="9"/>
      <c r="D23" s="88"/>
      <c r="E23" s="88">
        <f>'GSK Adjusted'!E9/'GSK Adjusted'!E9</f>
        <v>1</v>
      </c>
      <c r="F23" s="88">
        <f>'GSK Adjusted'!F9/'GSK Adjusted'!F9</f>
        <v>1</v>
      </c>
      <c r="G23" s="88">
        <f>'GSK Adjusted'!G9/'GSK Adjusted'!G9</f>
        <v>1</v>
      </c>
      <c r="H23" s="88">
        <f>'GSK Adjusted'!H9/'GSK Adjusted'!H9</f>
        <v>1</v>
      </c>
      <c r="I23" s="88">
        <f>'GSK Adjusted'!I9/'GSK Adjusted'!I9</f>
        <v>1</v>
      </c>
      <c r="J23" s="88">
        <f>'GSK Adjusted'!J9/'GSK Adjusted'!J9</f>
        <v>1</v>
      </c>
      <c r="K23" s="88">
        <f>'GSK Adjusted'!K9/'GSK Adjusted'!K9</f>
        <v>1</v>
      </c>
      <c r="L23" s="9"/>
      <c r="M23" s="9"/>
      <c r="N23" s="9"/>
      <c r="O23" s="9"/>
      <c r="P23" s="9"/>
    </row>
    <row r="24" spans="2:16" x14ac:dyDescent="0.45">
      <c r="B24" s="6" t="s">
        <v>374</v>
      </c>
      <c r="C24" s="9"/>
      <c r="D24" s="88"/>
      <c r="E24" s="88">
        <f>'GSK Adjusted'!E10/'GSK Adjusted'!E9</f>
        <v>-0.77734711201926321</v>
      </c>
      <c r="F24" s="88">
        <f>'GSK Adjusted'!F10/'GSK Adjusted'!F9</f>
        <v>-0.75682166061885947</v>
      </c>
      <c r="G24" s="88">
        <f>'GSK Adjusted'!G10/'GSK Adjusted'!G9</f>
        <v>-0.75703620951468664</v>
      </c>
      <c r="H24" s="88">
        <f>'GSK Adjusted'!H10/'GSK Adjusted'!H9</f>
        <v>-0.75158084910885992</v>
      </c>
      <c r="I24" s="88">
        <f>'GSK Adjusted'!I10/'GSK Adjusted'!I9</f>
        <v>-0.77186588992312377</v>
      </c>
      <c r="J24" s="88">
        <f>'GSK Adjusted'!J10/'GSK Adjusted'!J9</f>
        <v>-0.75030689700751829</v>
      </c>
      <c r="K24" s="88">
        <f>'GSK Adjusted'!K10/'GSK Adjusted'!K9</f>
        <v>-0.72292931176476605</v>
      </c>
      <c r="L24" s="9"/>
      <c r="M24" s="9"/>
      <c r="N24" s="9"/>
      <c r="O24" s="9"/>
      <c r="P24" s="9"/>
    </row>
    <row r="25" spans="2:16" x14ac:dyDescent="0.45">
      <c r="B25" s="6" t="s">
        <v>256</v>
      </c>
      <c r="C25" s="13"/>
      <c r="D25" s="91"/>
      <c r="E25" s="91">
        <f>'GSK Adjusted'!E13/'GSK Adjusted'!E9</f>
        <v>-6.5063281389641084E-2</v>
      </c>
      <c r="F25" s="91">
        <f>'GSK Adjusted'!F13/'GSK Adjusted'!F9</f>
        <v>-6.3300995796599535E-2</v>
      </c>
      <c r="G25" s="91">
        <f>'GSK Adjusted'!G13/'GSK Adjusted'!G9</f>
        <v>-3.4336659821910941E-2</v>
      </c>
      <c r="H25" s="91">
        <f>'GSK Adjusted'!H13/'GSK Adjusted'!H9</f>
        <v>1.4248177937772333E-2</v>
      </c>
      <c r="I25" s="91">
        <f>'GSK Adjusted'!I13/'GSK Adjusted'!I9</f>
        <v>-3.9399107334281876E-2</v>
      </c>
      <c r="J25" s="91">
        <f>'GSK Adjusted'!J13/'GSK Adjusted'!J9</f>
        <v>-3.0521095987942091E-2</v>
      </c>
      <c r="K25" s="91">
        <f>'GSK Adjusted'!K13/'GSK Adjusted'!K9</f>
        <v>-3.9996018812972559E-2</v>
      </c>
      <c r="L25" s="13"/>
      <c r="M25" s="13"/>
      <c r="N25" s="13"/>
      <c r="O25" s="13"/>
      <c r="P25" s="13"/>
    </row>
    <row r="26" spans="2:16" x14ac:dyDescent="0.45">
      <c r="B26" s="6" t="s">
        <v>375</v>
      </c>
      <c r="C26" s="9"/>
      <c r="D26" s="88"/>
      <c r="E26" s="88">
        <f t="shared" ref="E26:K26" si="4">SUM(E23:E25)</f>
        <v>0.15758960659109572</v>
      </c>
      <c r="F26" s="88">
        <f t="shared" si="4"/>
        <v>0.17987734358454099</v>
      </c>
      <c r="G26" s="88">
        <f t="shared" si="4"/>
        <v>0.20862713066340241</v>
      </c>
      <c r="H26" s="88">
        <f t="shared" si="4"/>
        <v>0.26266732882891242</v>
      </c>
      <c r="I26" s="88">
        <f t="shared" si="4"/>
        <v>0.18873500274259436</v>
      </c>
      <c r="J26" s="88">
        <f t="shared" si="4"/>
        <v>0.21917200700453962</v>
      </c>
      <c r="K26" s="88">
        <f t="shared" si="4"/>
        <v>0.23707466942226141</v>
      </c>
      <c r="L26" s="9"/>
      <c r="M26" s="9"/>
      <c r="N26" s="9"/>
      <c r="O26" s="9"/>
      <c r="P26" s="9"/>
    </row>
    <row r="27" spans="2:16" x14ac:dyDescent="0.45">
      <c r="B27" s="6" t="s">
        <v>376</v>
      </c>
      <c r="C27" s="9"/>
      <c r="D27" s="88"/>
      <c r="E27" s="88">
        <f>('GSK Adjusted'!E12+'GSK Adjusted'!E14)/'GSK Adjusted'!E9</f>
        <v>-1.6928377905923719E-2</v>
      </c>
      <c r="F27" s="88">
        <f>('GSK Adjusted'!F12+'GSK Adjusted'!F14)/'GSK Adjusted'!F9</f>
        <v>3.8933396568172486E-4</v>
      </c>
      <c r="G27" s="88">
        <f>('GSK Adjusted'!G12+'GSK Adjusted'!G14)/'GSK Adjusted'!G9</f>
        <v>1.6590525969168092E-3</v>
      </c>
      <c r="H27" s="88">
        <f>('GSK Adjusted'!H12+'GSK Adjusted'!H14)/'GSK Adjusted'!H9</f>
        <v>-1.5726365502539068E-2</v>
      </c>
      <c r="I27" s="88">
        <f>('GSK Adjusted'!I12+'GSK Adjusted'!I14)/'GSK Adjusted'!I9</f>
        <v>-1.21477088896252E-2</v>
      </c>
      <c r="J27" s="88">
        <f>('GSK Adjusted'!J12+'GSK Adjusted'!J14)/'GSK Adjusted'!J9</f>
        <v>6.8203533973293113E-4</v>
      </c>
      <c r="K27" s="88">
        <f>('GSK Adjusted'!K12+'GSK Adjusted'!K14)/'GSK Adjusted'!K9</f>
        <v>-1.3716657451115258E-2</v>
      </c>
      <c r="L27" s="9"/>
      <c r="M27" s="9"/>
      <c r="N27" s="9"/>
      <c r="O27" s="9"/>
      <c r="P27" s="9"/>
    </row>
    <row r="28" spans="2:16" x14ac:dyDescent="0.45">
      <c r="B28" s="6" t="s">
        <v>258</v>
      </c>
      <c r="C28" s="9"/>
      <c r="D28" s="88"/>
      <c r="E28" s="88">
        <f>'GSK Adjusted'!E15/'GSK Adjusted'!E9</f>
        <v>-2.3885243153204297E-2</v>
      </c>
      <c r="F28" s="88">
        <f>'GSK Adjusted'!F15/'GSK Adjusted'!F9</f>
        <v>-2.4528728670619247E-2</v>
      </c>
      <c r="G28" s="88">
        <f>'GSK Adjusted'!G15/'GSK Adjusted'!G9</f>
        <v>-2.5982106914436531E-2</v>
      </c>
      <c r="H28" s="88">
        <f>'GSK Adjusted'!H15/'GSK Adjusted'!H9</f>
        <v>-3.4655501138865299E-2</v>
      </c>
      <c r="I28" s="88">
        <f>'GSK Adjusted'!I15/'GSK Adjusted'!I9</f>
        <v>-3.0855195197536399E-2</v>
      </c>
      <c r="J28" s="88">
        <f>'GSK Adjusted'!J15/'GSK Adjusted'!J9</f>
        <v>-2.7929350069042198E-2</v>
      </c>
      <c r="K28" s="88">
        <f>'GSK Adjusted'!K15/'GSK Adjusted'!K9</f>
        <v>-2.3410721694524416E-2</v>
      </c>
      <c r="L28" s="9"/>
      <c r="M28" s="9"/>
      <c r="N28" s="9"/>
      <c r="O28" s="9"/>
      <c r="P28" s="9"/>
    </row>
    <row r="29" spans="2:16" x14ac:dyDescent="0.45">
      <c r="B29" s="6" t="s">
        <v>260</v>
      </c>
      <c r="C29" s="17"/>
      <c r="D29" s="91"/>
      <c r="E29" s="91">
        <f>'GSK Adjusted'!E17/'GSK Adjusted'!E9</f>
        <v>-4.4921490981378626E-2</v>
      </c>
      <c r="F29" s="91">
        <f>'GSK Adjusted'!F17/'GSK Adjusted'!F9</f>
        <v>-2.4463834892778744E-2</v>
      </c>
      <c r="G29" s="91">
        <f>'GSK Adjusted'!G17/'GSK Adjusted'!G9</f>
        <v>-2.8233694998398756E-2</v>
      </c>
      <c r="H29" s="91">
        <f>'GSK Adjusted'!H17/'GSK Adjusted'!H9</f>
        <v>-2.7510702874227653E-3</v>
      </c>
      <c r="I29" s="91">
        <f>'GSK Adjusted'!I17/'GSK Adjusted'!I9</f>
        <v>-3.3608613695151595E-3</v>
      </c>
      <c r="J29" s="91">
        <f>'GSK Adjusted'!J17/'GSK Adjusted'!J9</f>
        <v>-2.4109957980495162E-2</v>
      </c>
      <c r="K29" s="91">
        <f>'GSK Adjusted'!K17/'GSK Adjusted'!K9</f>
        <v>-2.4927466781074659E-2</v>
      </c>
      <c r="L29" s="13"/>
      <c r="M29" s="13"/>
      <c r="N29" s="13"/>
      <c r="O29" s="13"/>
      <c r="P29" s="13"/>
    </row>
    <row r="30" spans="2:16" x14ac:dyDescent="0.45">
      <c r="B30" s="6" t="s">
        <v>323</v>
      </c>
      <c r="C30" s="15"/>
      <c r="D30" s="88"/>
      <c r="E30" s="88">
        <f t="shared" ref="E30:K30" si="5">SUM(E26:E29)</f>
        <v>7.1854494550589079E-2</v>
      </c>
      <c r="F30" s="88">
        <f t="shared" si="5"/>
        <v>0.1312741139868247</v>
      </c>
      <c r="G30" s="88">
        <f t="shared" si="5"/>
        <v>0.15607038134748394</v>
      </c>
      <c r="H30" s="88">
        <f t="shared" si="5"/>
        <v>0.20953439190008527</v>
      </c>
      <c r="I30" s="88">
        <f t="shared" si="5"/>
        <v>0.14237123728591761</v>
      </c>
      <c r="J30" s="88">
        <f t="shared" si="5"/>
        <v>0.16781473429473517</v>
      </c>
      <c r="K30" s="88">
        <f t="shared" si="5"/>
        <v>0.17501982349554709</v>
      </c>
      <c r="L30" s="9"/>
      <c r="M30" s="9"/>
      <c r="N30" s="9"/>
      <c r="O30" s="9"/>
      <c r="P30" s="9"/>
    </row>
    <row r="31" spans="2:16" ht="28.5" x14ac:dyDescent="0.45">
      <c r="B31" s="3" t="s">
        <v>377</v>
      </c>
      <c r="C31" s="15"/>
      <c r="D31" s="88"/>
      <c r="E31" s="88"/>
      <c r="F31" s="88"/>
      <c r="G31" s="88"/>
      <c r="H31" s="88"/>
      <c r="I31" s="88"/>
      <c r="J31" s="88"/>
      <c r="K31" s="88"/>
      <c r="L31" s="9"/>
      <c r="M31" s="9"/>
      <c r="N31" s="9"/>
      <c r="O31" s="9"/>
      <c r="P31" s="9"/>
    </row>
    <row r="32" spans="2:16" x14ac:dyDescent="0.45">
      <c r="B32" s="6" t="s">
        <v>378</v>
      </c>
      <c r="C32" s="9"/>
      <c r="D32" s="88"/>
      <c r="E32" s="88">
        <f>'GSK Adjusted'!E25/'GSK Adjusted'!E9</f>
        <v>-0.30865302014254498</v>
      </c>
      <c r="F32" s="88">
        <f>'GSK Adjusted'!F25/'GSK Adjusted'!F9</f>
        <v>-0.31517472829067061</v>
      </c>
      <c r="G32" s="88">
        <f>'GSK Adjusted'!G25/'GSK Adjusted'!G9</f>
        <v>-0.31972506623609326</v>
      </c>
      <c r="H32" s="88">
        <f>'GSK Adjusted'!H25/'GSK Adjusted'!H9</f>
        <v>-0.3006077074415488</v>
      </c>
      <c r="I32" s="88">
        <f>'GSK Adjusted'!I25/'GSK Adjusted'!I9</f>
        <v>-0.32527533836931194</v>
      </c>
      <c r="J32" s="88">
        <f>'GSK Adjusted'!J25/'GSK Adjusted'!J9</f>
        <v>-0.32079524355495936</v>
      </c>
      <c r="K32" s="88">
        <f>'GSK Adjusted'!K25/'GSK Adjusted'!K9</f>
        <v>-0.27657610804329102</v>
      </c>
      <c r="L32" s="9"/>
      <c r="M32" s="9"/>
      <c r="N32" s="9"/>
      <c r="O32" s="9"/>
      <c r="P32" s="9"/>
    </row>
    <row r="33" spans="2:16" x14ac:dyDescent="0.45">
      <c r="B33" s="6" t="s">
        <v>379</v>
      </c>
      <c r="C33" s="9"/>
      <c r="D33" s="88"/>
      <c r="E33" s="88">
        <f>'GSK Adjusted'!E26/'GSK Adjusted'!E9</f>
        <v>-0.31219770779651063</v>
      </c>
      <c r="F33" s="88">
        <f>'GSK Adjusted'!F26/'GSK Adjusted'!F9</f>
        <v>-0.30823140977671115</v>
      </c>
      <c r="G33" s="88">
        <f>'GSK Adjusted'!G26/'GSK Adjusted'!G9</f>
        <v>-0.32476151394973407</v>
      </c>
      <c r="H33" s="88">
        <f>'GSK Adjusted'!H26/'GSK Adjusted'!H9</f>
        <v>-0.28911063628335032</v>
      </c>
      <c r="I33" s="88">
        <f>'GSK Adjusted'!I26/'GSK Adjusted'!I9</f>
        <v>-0.27470036809235165</v>
      </c>
      <c r="J33" s="88">
        <f>'GSK Adjusted'!J26/'GSK Adjusted'!J9</f>
        <v>-0.27891829695118692</v>
      </c>
      <c r="K33" s="88">
        <f>'GSK Adjusted'!K26/'GSK Adjusted'!K9</f>
        <v>-0.30189922750806397</v>
      </c>
      <c r="L33" s="9"/>
      <c r="M33" s="9"/>
      <c r="N33" s="9"/>
      <c r="O33" s="9"/>
      <c r="P33" s="9"/>
    </row>
    <row r="34" spans="2:16" ht="28.5" x14ac:dyDescent="0.45">
      <c r="B34" s="3" t="s">
        <v>380</v>
      </c>
      <c r="C34" s="9"/>
      <c r="D34" s="88"/>
      <c r="E34" s="88"/>
      <c r="F34" s="88"/>
      <c r="G34" s="88"/>
      <c r="H34" s="88"/>
      <c r="I34" s="88"/>
      <c r="J34" s="88"/>
      <c r="K34" s="88"/>
      <c r="L34" s="9"/>
      <c r="M34" s="9"/>
      <c r="N34" s="9"/>
      <c r="O34" s="9"/>
      <c r="P34" s="9"/>
    </row>
    <row r="35" spans="2:16" x14ac:dyDescent="0.45">
      <c r="B35" s="6" t="s">
        <v>381</v>
      </c>
      <c r="C35" s="9"/>
      <c r="D35" s="88"/>
      <c r="E35" s="88" t="s">
        <v>56</v>
      </c>
      <c r="F35" s="88" t="s">
        <v>56</v>
      </c>
      <c r="G35" s="88" t="s">
        <v>56</v>
      </c>
      <c r="H35" s="88" t="s">
        <v>56</v>
      </c>
      <c r="I35" s="88" t="s">
        <v>56</v>
      </c>
      <c r="J35" s="88" t="s">
        <v>56</v>
      </c>
      <c r="K35" s="88" t="s">
        <v>56</v>
      </c>
      <c r="L35" s="9"/>
      <c r="M35" s="9"/>
      <c r="N35" s="9"/>
      <c r="O35" s="9"/>
      <c r="P35" s="9"/>
    </row>
    <row r="36" spans="2:16" x14ac:dyDescent="0.45">
      <c r="B36" s="6" t="s">
        <v>382</v>
      </c>
      <c r="C36" s="9"/>
      <c r="D36" s="88"/>
      <c r="E36" s="88" t="s">
        <v>56</v>
      </c>
      <c r="F36" s="88" t="s">
        <v>56</v>
      </c>
      <c r="G36" s="88" t="s">
        <v>56</v>
      </c>
      <c r="H36" s="88" t="s">
        <v>56</v>
      </c>
      <c r="I36" s="88" t="s">
        <v>56</v>
      </c>
      <c r="J36" s="88" t="s">
        <v>56</v>
      </c>
      <c r="K36" s="88" t="s">
        <v>56</v>
      </c>
      <c r="L36" s="9"/>
      <c r="M36" s="9"/>
      <c r="N36" s="9"/>
      <c r="O36" s="9"/>
      <c r="P36" s="9"/>
    </row>
    <row r="37" spans="2:16" x14ac:dyDescent="0.45">
      <c r="B37" s="6" t="s">
        <v>383</v>
      </c>
      <c r="C37" s="9"/>
      <c r="D37" s="88"/>
      <c r="E37" s="97">
        <f>'GSK Standardized'!E26/'GSK Standardized'!E5</f>
        <v>6.3671896731769664E-2</v>
      </c>
      <c r="F37" s="97">
        <f>'GSK Standardized'!F26/'GSK Standardized'!F5</f>
        <v>6.0218670505301532E-2</v>
      </c>
      <c r="G37" s="97">
        <f>'GSK Standardized'!G26/'GSK Standardized'!G5</f>
        <v>6.9147353229770475E-2</v>
      </c>
      <c r="H37" s="97">
        <f>'GSK Standardized'!H26/'GSK Standardized'!H5</f>
        <v>8.4175094741835002E-2</v>
      </c>
      <c r="I37" s="97">
        <f>'GSK Standardized'!I26/'GSK Standardized'!I5</f>
        <v>8.592485291619914E-2</v>
      </c>
      <c r="J37" s="97">
        <f>'GSK Standardized'!J26/'GSK Standardized'!J5</f>
        <v>6.6259724534118158E-2</v>
      </c>
      <c r="K37" s="97">
        <f>'GSK Standardized'!K26/'GSK Standardized'!K5</f>
        <v>6.8946193500313599E-2</v>
      </c>
      <c r="L37" s="9"/>
      <c r="M37" s="9"/>
      <c r="N37" s="9"/>
      <c r="O37" s="9"/>
      <c r="P37" s="9"/>
    </row>
    <row r="38" spans="2:16" ht="28.5" x14ac:dyDescent="0.45">
      <c r="B38" s="6" t="s">
        <v>384</v>
      </c>
      <c r="C38" s="9"/>
      <c r="D38" s="88"/>
      <c r="E38" s="97"/>
      <c r="F38" s="97">
        <f>'GSK Standardized'!D26/SUM('GSK Standardized'!D35:D36)</f>
        <v>5.0460791477070645E-2</v>
      </c>
      <c r="G38" s="97">
        <f>'GSK Standardized'!E26/SUM('GSK Standardized'!E35:E36)</f>
        <v>5.4798181142499805E-2</v>
      </c>
      <c r="H38" s="97">
        <f>'GSK Standardized'!F26/SUM('GSK Standardized'!F35:F36)</f>
        <v>5.2812282645511466E-2</v>
      </c>
      <c r="I38" s="97">
        <f>'GSK Standardized'!G26/SUM('GSK Standardized'!G35:G36)</f>
        <v>4.1893174742735011E-2</v>
      </c>
      <c r="J38" s="97">
        <f>'GSK Standardized'!H26/SUM('GSK Standardized'!H35:H36)</f>
        <v>3.9439269808343488E-2</v>
      </c>
      <c r="K38" s="97">
        <f>'GSK Standardized'!I26/SUM('GSK Standardized'!I35:I36)</f>
        <v>3.9171095071236645E-2</v>
      </c>
      <c r="L38" s="9"/>
      <c r="M38" s="9"/>
      <c r="N38" s="9"/>
      <c r="O38" s="9"/>
      <c r="P38" s="9"/>
    </row>
    <row r="39" spans="2:16" x14ac:dyDescent="0.45">
      <c r="B39" s="6" t="s">
        <v>10</v>
      </c>
      <c r="C39" s="9"/>
      <c r="D39" s="88"/>
      <c r="E39" s="12"/>
      <c r="F39" s="12">
        <f t="shared" ref="F39:K39" si="6">1/F38</f>
        <v>19.817366528117169</v>
      </c>
      <c r="G39" s="12">
        <f t="shared" si="6"/>
        <v>18.248780874670864</v>
      </c>
      <c r="H39" s="12">
        <f t="shared" si="6"/>
        <v>18.934989171216788</v>
      </c>
      <c r="I39" s="12">
        <f t="shared" si="6"/>
        <v>23.870236766274608</v>
      </c>
      <c r="J39" s="12">
        <f t="shared" si="6"/>
        <v>25.355439004310551</v>
      </c>
      <c r="K39" s="12">
        <f t="shared" si="6"/>
        <v>25.529028437458734</v>
      </c>
      <c r="L39" s="9"/>
      <c r="M39" s="9"/>
      <c r="N39" s="9"/>
      <c r="O39" s="9"/>
      <c r="P39" s="9"/>
    </row>
    <row r="40" spans="2:16" x14ac:dyDescent="0.45">
      <c r="B40" s="6" t="s">
        <v>8</v>
      </c>
      <c r="C40" s="9"/>
      <c r="D40" s="88"/>
      <c r="E40" s="97">
        <f>'GSK Standardized'!D35/SUM('GSK Standardized'!D35:D36)</f>
        <v>0.32673887991939604</v>
      </c>
      <c r="F40" s="97">
        <f>'GSK Standardized'!E35/SUM('GSK Standardized'!E35:E36)</f>
        <v>0.34504765400756054</v>
      </c>
      <c r="G40" s="97">
        <f>'GSK Standardized'!F35/SUM('GSK Standardized'!F35:F36)</f>
        <v>0.35579590657688753</v>
      </c>
      <c r="H40" s="97">
        <f>'GSK Standardized'!G35/SUM('GSK Standardized'!G35:G36)</f>
        <v>0.2287242914461769</v>
      </c>
      <c r="I40" s="97">
        <f>'GSK Standardized'!H35/SUM('GSK Standardized'!H35:H36)</f>
        <v>0.22862159208047719</v>
      </c>
      <c r="J40" s="97">
        <f>'GSK Standardized'!I35/SUM('GSK Standardized'!I35:I36)</f>
        <v>0.23243600849354995</v>
      </c>
      <c r="K40" s="97">
        <f>'GSK Standardized'!J35/SUM('GSK Standardized'!J35:J36)</f>
        <v>0.33536586476345748</v>
      </c>
      <c r="L40" s="9"/>
      <c r="M40" s="9"/>
      <c r="N40" s="9"/>
      <c r="O40" s="9"/>
      <c r="P40" s="9"/>
    </row>
    <row r="41" spans="2:16" x14ac:dyDescent="0.45">
      <c r="B41" s="6" t="s">
        <v>385</v>
      </c>
      <c r="C41" s="9"/>
      <c r="D41" s="88"/>
      <c r="E41" s="88">
        <f>'GSK Standardized'!E10/'GSK Standardized'!E5</f>
        <v>-2.6469218356932712E-2</v>
      </c>
      <c r="F41" s="88">
        <f>'GSK Standardized'!F10/'GSK Standardized'!F5</f>
        <v>-1.0155402659577201E-2</v>
      </c>
      <c r="G41" s="88">
        <f>'GSK Standardized'!G10/'GSK Standardized'!G5</f>
        <v>1.7953414748807406E-2</v>
      </c>
      <c r="H41" s="88">
        <f>'GSK Standardized'!H10/'GSK Standardized'!H5</f>
        <v>1.8682777124223626E-2</v>
      </c>
      <c r="I41" s="88">
        <f>'GSK Standardized'!I10/'GSK Standardized'!I5</f>
        <v>1.5468092630078326E-2</v>
      </c>
      <c r="J41" s="88">
        <f>'GSK Standardized'!J10/'GSK Standardized'!J5</f>
        <v>2.5133010990094559E-2</v>
      </c>
      <c r="K41" s="88">
        <f>'GSK Standardized'!K10/'GSK Standardized'!K5</f>
        <v>4.7546825758922377E-2</v>
      </c>
      <c r="L41" s="9"/>
      <c r="M41" s="9"/>
      <c r="N41" s="9"/>
      <c r="O41" s="9"/>
      <c r="P41" s="9"/>
    </row>
    <row r="42" spans="2:16" x14ac:dyDescent="0.45">
      <c r="B42" s="6"/>
      <c r="C42" s="9"/>
      <c r="D42" s="88"/>
      <c r="E42" s="88"/>
      <c r="F42" s="88"/>
      <c r="G42" s="88"/>
      <c r="H42" s="88"/>
      <c r="I42" s="88"/>
      <c r="J42" s="88"/>
      <c r="K42" s="88"/>
      <c r="L42" s="9"/>
      <c r="M42" s="9"/>
      <c r="N42" s="9"/>
      <c r="O42" s="9"/>
      <c r="P42" s="9"/>
    </row>
    <row r="43" spans="2:16" x14ac:dyDescent="0.45">
      <c r="B43" s="5" t="s">
        <v>25</v>
      </c>
      <c r="C43" s="9"/>
      <c r="D43" s="88"/>
      <c r="E43" s="88"/>
      <c r="F43" s="88"/>
      <c r="G43" s="88"/>
      <c r="H43" s="88"/>
      <c r="I43" s="88"/>
      <c r="J43" s="88"/>
      <c r="K43" s="88"/>
      <c r="L43" s="9"/>
      <c r="M43" s="9"/>
      <c r="N43" s="9"/>
      <c r="O43" s="9"/>
      <c r="P43" s="9"/>
    </row>
    <row r="44" spans="2:16" x14ac:dyDescent="0.45">
      <c r="B44" s="6" t="s">
        <v>26</v>
      </c>
      <c r="C44" s="9"/>
      <c r="D44" s="16"/>
      <c r="E44" s="16">
        <f t="shared" ref="E44:K44" si="7">1+E32</f>
        <v>0.69134697985745497</v>
      </c>
      <c r="F44" s="16">
        <f t="shared" si="7"/>
        <v>0.68482527170932939</v>
      </c>
      <c r="G44" s="16">
        <f t="shared" si="7"/>
        <v>0.68027493376390669</v>
      </c>
      <c r="H44" s="16">
        <f t="shared" si="7"/>
        <v>0.69939229255845126</v>
      </c>
      <c r="I44" s="16">
        <f t="shared" si="7"/>
        <v>0.67472466163068812</v>
      </c>
      <c r="J44" s="16">
        <f t="shared" si="7"/>
        <v>0.67920475644504064</v>
      </c>
      <c r="K44" s="16">
        <f t="shared" si="7"/>
        <v>0.72342389195670898</v>
      </c>
      <c r="L44" s="9"/>
      <c r="M44" s="9"/>
      <c r="N44" s="9"/>
      <c r="O44" s="9"/>
      <c r="P44" s="9"/>
    </row>
    <row r="45" spans="2:16" x14ac:dyDescent="0.45">
      <c r="B45" s="6" t="s">
        <v>27</v>
      </c>
      <c r="C45" s="9"/>
      <c r="D45" s="88"/>
      <c r="E45" s="93">
        <f t="shared" ref="E45:K45" si="8">SUM(E26:E27)-E37</f>
        <v>7.6989331953402337E-2</v>
      </c>
      <c r="F45" s="93">
        <f t="shared" si="8"/>
        <v>0.12004800704492119</v>
      </c>
      <c r="G45" s="93">
        <f t="shared" si="8"/>
        <v>0.14113883003054875</v>
      </c>
      <c r="H45" s="93">
        <f t="shared" si="8"/>
        <v>0.16276586858453834</v>
      </c>
      <c r="I45" s="93">
        <f t="shared" si="8"/>
        <v>9.0662440936770033E-2</v>
      </c>
      <c r="J45" s="93">
        <f t="shared" si="8"/>
        <v>0.1535943178101544</v>
      </c>
      <c r="K45" s="93">
        <f t="shared" si="8"/>
        <v>0.15441181847083257</v>
      </c>
      <c r="L45" s="9"/>
      <c r="M45" s="9"/>
      <c r="N45" s="9"/>
      <c r="O45" s="9"/>
      <c r="P45" s="9"/>
    </row>
    <row r="46" spans="2:16" x14ac:dyDescent="0.45">
      <c r="D46" s="89"/>
      <c r="E46" s="89"/>
      <c r="F46" s="89"/>
      <c r="G46" s="89"/>
      <c r="H46" s="89"/>
      <c r="I46" s="89"/>
      <c r="J46" s="89"/>
      <c r="K46" s="89"/>
    </row>
    <row r="47" spans="2:16" x14ac:dyDescent="0.45">
      <c r="B47" s="4" t="s">
        <v>28</v>
      </c>
      <c r="D47" s="89"/>
      <c r="E47" s="89"/>
      <c r="F47" s="89"/>
      <c r="G47" s="89"/>
      <c r="H47" s="89"/>
      <c r="I47" s="89"/>
      <c r="J47" s="89"/>
      <c r="K47" s="89"/>
    </row>
    <row r="48" spans="2:16" x14ac:dyDescent="0.45">
      <c r="B48" s="7" t="s">
        <v>369</v>
      </c>
      <c r="C48" s="8"/>
      <c r="D48" s="90"/>
      <c r="E48" s="90"/>
      <c r="F48" s="90"/>
      <c r="G48" s="90"/>
      <c r="H48" s="90"/>
      <c r="I48" s="90"/>
      <c r="J48" s="90"/>
      <c r="K48" s="90"/>
      <c r="L48" s="8"/>
      <c r="M48" s="8"/>
      <c r="N48" s="8"/>
      <c r="O48" s="8"/>
      <c r="P48" s="8"/>
    </row>
    <row r="49" spans="2:16" x14ac:dyDescent="0.45">
      <c r="B49" s="6" t="s">
        <v>386</v>
      </c>
      <c r="C49" s="9"/>
      <c r="D49" s="16"/>
      <c r="E49" s="16">
        <f>AVERAGE('GSK Adjusted'!D124:E124)/'GSK Adjusted'!E96</f>
        <v>-1.7421662278056853E-2</v>
      </c>
      <c r="F49" s="16">
        <f>AVERAGE('GSK Adjusted'!E124:F124)/'GSK Adjusted'!F96</f>
        <v>2.1880894631763421E-2</v>
      </c>
      <c r="G49" s="16">
        <f>AVERAGE('GSK Adjusted'!F124:G124)/'GSK Adjusted'!G96</f>
        <v>0.17977815786781173</v>
      </c>
      <c r="H49" s="16">
        <f>AVERAGE('GSK Adjusted'!G124:H124)/'GSK Adjusted'!H96</f>
        <v>0.24498661431405355</v>
      </c>
      <c r="I49" s="16">
        <f>AVERAGE('GSK Adjusted'!H124:I124)/'GSK Adjusted'!I96</f>
        <v>9.1638874986426186E-2</v>
      </c>
      <c r="J49" s="16">
        <f>AVERAGE('GSK Adjusted'!I124:J124)/'GSK Adjusted'!J96</f>
        <v>4.4232977975537532E-2</v>
      </c>
      <c r="K49" s="16">
        <f>AVERAGE('GSK Adjusted'!J124:K124)/'GSK Adjusted'!K96</f>
        <v>9.0216882360654629E-2</v>
      </c>
      <c r="L49" s="9"/>
      <c r="M49" s="9"/>
      <c r="N49" s="9"/>
      <c r="O49" s="9"/>
      <c r="P49" s="9"/>
    </row>
    <row r="50" spans="2:16" x14ac:dyDescent="0.45">
      <c r="B50" s="6" t="s">
        <v>387</v>
      </c>
      <c r="C50" s="9"/>
      <c r="D50" s="16"/>
      <c r="E50" s="16">
        <f>AVERAGE('GSK Adjusted'!D130:E130)/'GSK Adjusted'!E96</f>
        <v>0.72158063316998455</v>
      </c>
      <c r="F50" s="16">
        <f>AVERAGE('GSK Adjusted'!E130:F130)/'GSK Adjusted'!F96</f>
        <v>0.76772509250664001</v>
      </c>
      <c r="G50" s="16">
        <f>AVERAGE('GSK Adjusted'!F130:G130)/'GSK Adjusted'!G96</f>
        <v>0.94145048665283027</v>
      </c>
      <c r="H50" s="16">
        <f>AVERAGE('GSK Adjusted'!G130:H130)/'GSK Adjusted'!H96</f>
        <v>1.6164537526028484</v>
      </c>
      <c r="I50" s="16">
        <f>AVERAGE('GSK Adjusted'!H130:I130)/'GSK Adjusted'!I96</f>
        <v>1.6193158340967118</v>
      </c>
      <c r="J50" s="16">
        <f>AVERAGE('GSK Adjusted'!I130:J130)/'GSK Adjusted'!J96</f>
        <v>1.1717320624952743</v>
      </c>
      <c r="K50" s="16">
        <f>AVERAGE('GSK Adjusted'!J130:K130)/'GSK Adjusted'!K96</f>
        <v>0.87746567853474666</v>
      </c>
      <c r="L50" s="9"/>
      <c r="M50" s="9"/>
      <c r="N50" s="9"/>
      <c r="O50" s="9"/>
      <c r="P50" s="9"/>
    </row>
    <row r="51" spans="2:16" x14ac:dyDescent="0.45">
      <c r="B51" s="6" t="s">
        <v>389</v>
      </c>
      <c r="C51" s="9"/>
      <c r="D51" s="16"/>
      <c r="E51" s="16">
        <f>AVERAGE('GSK Adjusted'!D126:E126)/'GSK Adjusted'!E96</f>
        <v>0.40451624236409323</v>
      </c>
      <c r="F51" s="16">
        <f>AVERAGE('GSK Adjusted'!E126:F126)/'GSK Adjusted'!F96</f>
        <v>0.40109957211149572</v>
      </c>
      <c r="G51" s="16">
        <f>AVERAGE('GSK Adjusted'!F126:G126)/'GSK Adjusted'!G96</f>
        <v>0.37238620946532175</v>
      </c>
      <c r="H51" s="16">
        <f>AVERAGE('GSK Adjusted'!G126:H126)/'GSK Adjusted'!H96</f>
        <v>0.50909698238009327</v>
      </c>
      <c r="I51" s="16">
        <f>AVERAGE('GSK Adjusted'!H126:I126)/'GSK Adjusted'!I96</f>
        <v>0.48762334713447625</v>
      </c>
      <c r="J51" s="16">
        <f>AVERAGE('GSK Adjusted'!I126:J126)/'GSK Adjusted'!J96</f>
        <v>0.38957879245093679</v>
      </c>
      <c r="K51" s="16">
        <f>AVERAGE('GSK Adjusted'!J126:K126)/'GSK Adjusted'!K96</f>
        <v>0.36448204524508371</v>
      </c>
      <c r="L51" s="9"/>
      <c r="M51" s="9"/>
      <c r="N51" s="9"/>
      <c r="O51" s="9"/>
      <c r="P51" s="9"/>
    </row>
    <row r="52" spans="2:16" x14ac:dyDescent="0.45">
      <c r="B52" s="6" t="s">
        <v>390</v>
      </c>
      <c r="C52" s="11"/>
      <c r="D52" s="88"/>
      <c r="E52" s="88">
        <f t="shared" ref="E52:K54" si="9">1/E49</f>
        <v>-57.399803993418722</v>
      </c>
      <c r="F52" s="88">
        <f t="shared" si="9"/>
        <v>45.701970455465251</v>
      </c>
      <c r="G52" s="88">
        <f t="shared" si="9"/>
        <v>5.5624109839599392</v>
      </c>
      <c r="H52" s="88">
        <f t="shared" si="9"/>
        <v>4.0818556670940342</v>
      </c>
      <c r="I52" s="88">
        <f t="shared" si="9"/>
        <v>10.912399351782994</v>
      </c>
      <c r="J52" s="88">
        <f t="shared" si="9"/>
        <v>22.60756670177253</v>
      </c>
      <c r="K52" s="88">
        <f t="shared" si="9"/>
        <v>11.084399879862396</v>
      </c>
      <c r="L52" s="11"/>
      <c r="M52" s="11"/>
      <c r="N52" s="11"/>
      <c r="O52" s="11"/>
      <c r="P52" s="11"/>
    </row>
    <row r="53" spans="2:16" x14ac:dyDescent="0.45">
      <c r="B53" s="6" t="s">
        <v>391</v>
      </c>
      <c r="C53" s="11"/>
      <c r="D53" s="88"/>
      <c r="E53" s="88">
        <f t="shared" si="9"/>
        <v>1.3858465070035042</v>
      </c>
      <c r="F53" s="88">
        <f t="shared" si="9"/>
        <v>1.302549584168178</v>
      </c>
      <c r="G53" s="88">
        <f t="shared" si="9"/>
        <v>1.062190751587301</v>
      </c>
      <c r="H53" s="88">
        <f t="shared" si="9"/>
        <v>0.61863817532037557</v>
      </c>
      <c r="I53" s="88">
        <f t="shared" si="9"/>
        <v>0.61754475497846339</v>
      </c>
      <c r="J53" s="88">
        <f t="shared" si="9"/>
        <v>0.85343742994489669</v>
      </c>
      <c r="K53" s="88">
        <f t="shared" si="9"/>
        <v>1.1396457143142849</v>
      </c>
      <c r="L53" s="11"/>
      <c r="M53" s="11"/>
      <c r="N53" s="11"/>
      <c r="O53" s="11"/>
      <c r="P53" s="11"/>
    </row>
    <row r="54" spans="2:16" x14ac:dyDescent="0.45">
      <c r="B54" s="6" t="s">
        <v>29</v>
      </c>
      <c r="C54" s="11"/>
      <c r="D54" s="88"/>
      <c r="E54" s="88">
        <f t="shared" si="9"/>
        <v>2.4720886215983615</v>
      </c>
      <c r="F54" s="88">
        <f t="shared" si="9"/>
        <v>2.4931465140581723</v>
      </c>
      <c r="G54" s="88">
        <f t="shared" si="9"/>
        <v>2.6853840840019734</v>
      </c>
      <c r="H54" s="88">
        <f t="shared" si="9"/>
        <v>1.9642622812747241</v>
      </c>
      <c r="I54" s="88">
        <f t="shared" si="9"/>
        <v>2.0507631676713403</v>
      </c>
      <c r="J54" s="88">
        <f t="shared" si="9"/>
        <v>2.566874838614166</v>
      </c>
      <c r="K54" s="88">
        <f t="shared" si="9"/>
        <v>2.7436193717788857</v>
      </c>
      <c r="L54" s="11"/>
      <c r="M54" s="11"/>
      <c r="N54" s="11"/>
      <c r="O54" s="11"/>
      <c r="P54" s="11"/>
    </row>
    <row r="55" spans="2:16" x14ac:dyDescent="0.45">
      <c r="B55" s="6" t="s">
        <v>392</v>
      </c>
      <c r="C55" s="11"/>
      <c r="D55" s="88"/>
      <c r="E55" s="88">
        <f>'GSK Adjusted'!E96/AVERAGE('GSK Adjusted'!D119:E119)</f>
        <v>6.4374992818994281</v>
      </c>
      <c r="F55" s="88">
        <f>'GSK Adjusted'!F96/AVERAGE('GSK Adjusted'!E119:F119)</f>
        <v>6.3017892557835431</v>
      </c>
      <c r="G55" s="88">
        <f>'GSK Adjusted'!G96/AVERAGE('GSK Adjusted'!F119:G119)</f>
        <v>6.274492331894673</v>
      </c>
      <c r="H55" s="88">
        <f>'GSK Adjusted'!H96/AVERAGE('GSK Adjusted'!G119:H119)</f>
        <v>4.3165709766212901</v>
      </c>
      <c r="I55" s="88">
        <f>'GSK Adjusted'!I96/AVERAGE('GSK Adjusted'!H119:I119)</f>
        <v>4.2055632092113973</v>
      </c>
      <c r="J55" s="88">
        <f>'GSK Adjusted'!J96/AVERAGE('GSK Adjusted'!I119:J119)</f>
        <v>5.0524477473374949</v>
      </c>
      <c r="K55" s="88">
        <f>'GSK Adjusted'!K96/AVERAGE('GSK Adjusted'!J119:K119)</f>
        <v>5.3759126301421665</v>
      </c>
      <c r="L55" s="11"/>
      <c r="M55" s="11"/>
      <c r="N55" s="11"/>
      <c r="O55" s="11"/>
      <c r="P55" s="11"/>
    </row>
    <row r="56" spans="2:16" x14ac:dyDescent="0.45">
      <c r="B56" s="6" t="s">
        <v>30</v>
      </c>
      <c r="C56" s="12"/>
      <c r="D56" s="88"/>
      <c r="E56" s="88">
        <f t="shared" ref="E56:K56" si="10">360*(1/E55)</f>
        <v>55.92233633520182</v>
      </c>
      <c r="F56" s="88">
        <f t="shared" si="10"/>
        <v>57.126632673348396</v>
      </c>
      <c r="G56" s="88">
        <f t="shared" si="10"/>
        <v>57.375159767115825</v>
      </c>
      <c r="H56" s="88">
        <f t="shared" si="10"/>
        <v>83.399532163324423</v>
      </c>
      <c r="I56" s="88">
        <f t="shared" si="10"/>
        <v>85.600901018797231</v>
      </c>
      <c r="J56" s="88">
        <f t="shared" si="10"/>
        <v>71.252592407256543</v>
      </c>
      <c r="K56" s="88">
        <f t="shared" si="10"/>
        <v>66.965374024406302</v>
      </c>
      <c r="L56" s="12"/>
      <c r="M56" s="12"/>
      <c r="N56" s="12"/>
      <c r="O56" s="12"/>
      <c r="P56" s="12"/>
    </row>
    <row r="57" spans="2:16" x14ac:dyDescent="0.45">
      <c r="B57" s="6" t="s">
        <v>393</v>
      </c>
      <c r="C57" s="11"/>
      <c r="D57" s="88"/>
      <c r="E57" s="88">
        <f>-'GSK Adjusted'!E25/AVERAGE('GSK Adjusted'!D120:E120)</f>
        <v>1.7391631112360439</v>
      </c>
      <c r="F57" s="88">
        <f>-'GSK Adjusted'!F25/AVERAGE('GSK Adjusted'!E120:F120)</f>
        <v>1.7782080320885187</v>
      </c>
      <c r="G57" s="88">
        <f>-'GSK Adjusted'!G25/AVERAGE('GSK Adjusted'!F120:G120)</f>
        <v>1.8767120676271478</v>
      </c>
      <c r="H57" s="88">
        <f>-'GSK Adjusted'!H25/AVERAGE('GSK Adjusted'!G120:H120)</f>
        <v>1.2016130814451946</v>
      </c>
      <c r="I57" s="88">
        <f>-'GSK Adjusted'!I25/AVERAGE('GSK Adjusted'!H120:I120)</f>
        <v>1.3766363122620595</v>
      </c>
      <c r="J57" s="88">
        <f>-'GSK Adjusted'!J25/AVERAGE('GSK Adjusted'!I120:J120)</f>
        <v>1.7396213625368191</v>
      </c>
      <c r="K57" s="88">
        <f>-'GSK Adjusted'!K25/AVERAGE('GSK Adjusted'!J120:K120)</f>
        <v>1.5893552499418941</v>
      </c>
      <c r="L57" s="11"/>
      <c r="M57" s="11"/>
      <c r="N57" s="11"/>
      <c r="O57" s="11"/>
      <c r="P57" s="11"/>
    </row>
    <row r="58" spans="2:16" x14ac:dyDescent="0.45">
      <c r="B58" s="6" t="s">
        <v>31</v>
      </c>
      <c r="C58" s="12"/>
      <c r="D58" s="88"/>
      <c r="E58" s="88">
        <f t="shared" ref="E58:K58" si="11">360*(1/E57)</f>
        <v>206.99611075820468</v>
      </c>
      <c r="F58" s="88">
        <f t="shared" si="11"/>
        <v>202.4510032030264</v>
      </c>
      <c r="G58" s="88">
        <f t="shared" si="11"/>
        <v>191.82484421021067</v>
      </c>
      <c r="H58" s="88">
        <f t="shared" si="11"/>
        <v>299.59727100093124</v>
      </c>
      <c r="I58" s="88">
        <f t="shared" si="11"/>
        <v>261.50697667451152</v>
      </c>
      <c r="J58" s="88">
        <f t="shared" si="11"/>
        <v>206.94158381397816</v>
      </c>
      <c r="K58" s="88">
        <f t="shared" si="11"/>
        <v>226.50694362582652</v>
      </c>
      <c r="L58" s="12"/>
      <c r="M58" s="12"/>
      <c r="N58" s="12"/>
      <c r="O58" s="12"/>
      <c r="P58" s="12"/>
    </row>
    <row r="59" spans="2:16" x14ac:dyDescent="0.45">
      <c r="B59" s="6" t="s">
        <v>394</v>
      </c>
      <c r="C59" s="11"/>
      <c r="D59" s="88"/>
      <c r="E59" s="88">
        <f>-'GSK Adjusted'!E25/AVERAGE('GSK Adjusted'!D122:E122)</f>
        <v>2.5994575242992819</v>
      </c>
      <c r="F59" s="88">
        <f>-'GSK Adjusted'!F25/AVERAGE('GSK Adjusted'!E122:F122)</f>
        <v>2.7354738987036535</v>
      </c>
      <c r="G59" s="88">
        <f>-'GSK Adjusted'!G25/AVERAGE('GSK Adjusted'!F122:G122)</f>
        <v>2.7504691177948049</v>
      </c>
      <c r="H59" s="88">
        <f>-'GSK Adjusted'!H25/AVERAGE('GSK Adjusted'!G122:H122)</f>
        <v>1.6891258409771979</v>
      </c>
      <c r="I59" s="88">
        <f>-'GSK Adjusted'!I25/AVERAGE('GSK Adjusted'!H122:I122)</f>
        <v>1.8213517972425939</v>
      </c>
      <c r="J59" s="88">
        <f>-'GSK Adjusted'!J25/AVERAGE('GSK Adjusted'!I122:J122)</f>
        <v>2.2617876452501857</v>
      </c>
      <c r="K59" s="88">
        <f>-'GSK Adjusted'!K25/AVERAGE('GSK Adjusted'!J122:K122)</f>
        <v>2.2322114635807555</v>
      </c>
      <c r="L59" s="11"/>
      <c r="M59" s="11"/>
      <c r="N59" s="11"/>
      <c r="O59" s="11"/>
      <c r="P59" s="11"/>
    </row>
    <row r="60" spans="2:16" x14ac:dyDescent="0.45">
      <c r="B60" s="6" t="s">
        <v>32</v>
      </c>
      <c r="C60" s="12"/>
      <c r="D60" s="88"/>
      <c r="E60" s="88">
        <f t="shared" ref="E60:K60" si="12">360*(1/E59)</f>
        <v>138.49043372887687</v>
      </c>
      <c r="F60" s="88">
        <f t="shared" si="12"/>
        <v>131.60425335098415</v>
      </c>
      <c r="G60" s="88">
        <f t="shared" si="12"/>
        <v>130.88676316010807</v>
      </c>
      <c r="H60" s="88">
        <f t="shared" si="12"/>
        <v>213.12799275614174</v>
      </c>
      <c r="I60" s="88">
        <f t="shared" si="12"/>
        <v>197.65539010366703</v>
      </c>
      <c r="J60" s="88">
        <f t="shared" si="12"/>
        <v>159.16613602342801</v>
      </c>
      <c r="K60" s="88">
        <f t="shared" si="12"/>
        <v>161.27504310120938</v>
      </c>
      <c r="L60" s="12"/>
      <c r="M60" s="12"/>
      <c r="N60" s="12"/>
      <c r="O60" s="12"/>
      <c r="P60" s="12"/>
    </row>
    <row r="61" spans="2:16" x14ac:dyDescent="0.45">
      <c r="B61" s="6" t="s">
        <v>33</v>
      </c>
      <c r="C61" s="12"/>
      <c r="D61" s="88"/>
      <c r="E61" s="88">
        <f t="shared" ref="E61:K61" si="13">E56+E58-E60</f>
        <v>124.42801336452962</v>
      </c>
      <c r="F61" s="88">
        <f t="shared" si="13"/>
        <v>127.97338252539066</v>
      </c>
      <c r="G61" s="88">
        <f t="shared" si="13"/>
        <v>118.31324081721843</v>
      </c>
      <c r="H61" s="88">
        <f t="shared" si="13"/>
        <v>169.86881040811392</v>
      </c>
      <c r="I61" s="88">
        <f t="shared" si="13"/>
        <v>149.45248758964172</v>
      </c>
      <c r="J61" s="88">
        <f t="shared" si="13"/>
        <v>119.02804019780666</v>
      </c>
      <c r="K61" s="88">
        <f t="shared" si="13"/>
        <v>132.19727454902343</v>
      </c>
      <c r="L61" s="12"/>
      <c r="M61" s="12"/>
      <c r="N61" s="12"/>
      <c r="O61" s="12"/>
      <c r="P61" s="12"/>
    </row>
    <row r="63" spans="2:16" x14ac:dyDescent="0.45">
      <c r="B63" s="4" t="s">
        <v>395</v>
      </c>
    </row>
    <row r="64" spans="2:16" x14ac:dyDescent="0.45">
      <c r="B64" s="7" t="s">
        <v>369</v>
      </c>
      <c r="C64" s="8"/>
      <c r="D64" s="8"/>
      <c r="E64" s="8"/>
      <c r="F64" s="8"/>
      <c r="G64" s="8"/>
      <c r="H64" s="8"/>
      <c r="I64" s="8"/>
      <c r="J64" s="8"/>
      <c r="K64" s="8"/>
      <c r="L64" s="8"/>
      <c r="M64" s="8"/>
      <c r="N64" s="8"/>
      <c r="O64" s="8"/>
      <c r="P64" s="8"/>
    </row>
    <row r="65" spans="2:16" x14ac:dyDescent="0.45">
      <c r="B65" s="6" t="s">
        <v>396</v>
      </c>
      <c r="C65" s="11"/>
      <c r="D65" s="11"/>
      <c r="E65" s="11">
        <f>AVERAGE('GSK Adjusted'!D47:E47)/AVERAGE('GSK Adjusted'!D66:E66)</f>
        <v>0.98173238621648085</v>
      </c>
      <c r="F65" s="11">
        <f>AVERAGE('GSK Adjusted'!E47:F47)/AVERAGE('GSK Adjusted'!E66:F66)</f>
        <v>0.9389928600437647</v>
      </c>
      <c r="G65" s="11">
        <f>AVERAGE('GSK Adjusted'!F47:G47)/AVERAGE('GSK Adjusted'!F66:G66)</f>
        <v>1.1947044332725096</v>
      </c>
      <c r="H65" s="11">
        <f>AVERAGE('GSK Adjusted'!G47:H47)/AVERAGE('GSK Adjusted'!G66:H66)</f>
        <v>1.3510572360773243</v>
      </c>
      <c r="I65" s="11">
        <f>AVERAGE('GSK Adjusted'!H47:I47)/AVERAGE('GSK Adjusted'!H66:I66)</f>
        <v>1.1974113062819629</v>
      </c>
      <c r="J65" s="11">
        <f>AVERAGE('GSK Adjusted'!I47:J47)/AVERAGE('GSK Adjusted'!I66:J66)</f>
        <v>1.0459721546565142</v>
      </c>
      <c r="K65" s="11">
        <f>AVERAGE('GSK Adjusted'!J47:K47)/AVERAGE('GSK Adjusted'!J66:K66)</f>
        <v>1.0998550103726739</v>
      </c>
      <c r="L65" s="11"/>
      <c r="M65" s="11"/>
      <c r="N65" s="11"/>
      <c r="O65" s="11"/>
      <c r="P65" s="11"/>
    </row>
    <row r="66" spans="2:16" x14ac:dyDescent="0.45">
      <c r="B66" s="6" t="s">
        <v>397</v>
      </c>
      <c r="C66" s="11"/>
      <c r="D66" s="11"/>
      <c r="E66" s="11">
        <f>AVERAGE('GSK Adjusted'!D44+'GSK Adjusted'!D46,'GSK Adjusted'!E44+'GSK Adjusted'!E46)/AVERAGE('GSK Adjusted'!D66:E66)</f>
        <v>0.54872149100569667</v>
      </c>
      <c r="F66" s="11">
        <f>AVERAGE('GSK Adjusted'!E44+'GSK Adjusted'!E46,'GSK Adjusted'!F44+'GSK Adjusted'!F46)/AVERAGE('GSK Adjusted'!E66:F66)</f>
        <v>0.51714733214065767</v>
      </c>
      <c r="G66" s="11">
        <f>AVERAGE('GSK Adjusted'!F44+'GSK Adjusted'!F46,'GSK Adjusted'!G44+'GSK Adjusted'!G46)/AVERAGE('GSK Adjusted'!F66:G66)</f>
        <v>0.67178731122806834</v>
      </c>
      <c r="H66" s="11">
        <f>AVERAGE('GSK Adjusted'!G44+'GSK Adjusted'!G46,'GSK Adjusted'!H44+'GSK Adjusted'!H46)/AVERAGE('GSK Adjusted'!G66:H66)</f>
        <v>0.79218008773789617</v>
      </c>
      <c r="I66" s="11">
        <f>AVERAGE('GSK Adjusted'!H44+'GSK Adjusted'!H46,'GSK Adjusted'!I44+'GSK Adjusted'!I46)/AVERAGE('GSK Adjusted'!H66:I66)</f>
        <v>0.72225964424811928</v>
      </c>
      <c r="J66" s="11">
        <f>AVERAGE('GSK Adjusted'!I44+'GSK Adjusted'!I46,'GSK Adjusted'!J44+'GSK Adjusted'!J46)/AVERAGE('GSK Adjusted'!I66:J66)</f>
        <v>0.56091539797227485</v>
      </c>
      <c r="K66" s="11">
        <f>AVERAGE('GSK Adjusted'!J44+'GSK Adjusted'!J46,'GSK Adjusted'!K44+'GSK Adjusted'!K46)/AVERAGE('GSK Adjusted'!J66:K66)</f>
        <v>0.53692037524363956</v>
      </c>
      <c r="L66" s="11"/>
      <c r="M66" s="11"/>
      <c r="N66" s="11"/>
      <c r="O66" s="11"/>
      <c r="P66" s="11"/>
    </row>
    <row r="67" spans="2:16" x14ac:dyDescent="0.45">
      <c r="B67" s="6" t="s">
        <v>398</v>
      </c>
      <c r="C67" s="11"/>
      <c r="D67" s="11"/>
      <c r="E67" s="11">
        <f>AVERAGE('GSK Adjusted'!D46:E46)/AVERAGE('GSK Adjusted'!D66:E66)</f>
        <v>0.26829137954669047</v>
      </c>
      <c r="F67" s="11">
        <f>AVERAGE('GSK Adjusted'!E46:F46)/AVERAGE('GSK Adjusted'!E66:F66)</f>
        <v>0.2345992519228178</v>
      </c>
      <c r="G67" s="11">
        <f>AVERAGE('GSK Adjusted'!F46:G46)/AVERAGE('GSK Adjusted'!F66:G66)</f>
        <v>0.3215218616734194</v>
      </c>
      <c r="H67" s="11">
        <f>AVERAGE('GSK Adjusted'!G46:H46)/AVERAGE('GSK Adjusted'!G66:H66)</f>
        <v>0.41600705823488193</v>
      </c>
      <c r="I67" s="11">
        <f>AVERAGE('GSK Adjusted'!H46:I46)/AVERAGE('GSK Adjusted'!H66:I66)</f>
        <v>0.35731651026604283</v>
      </c>
      <c r="J67" s="11">
        <f>AVERAGE('GSK Adjusted'!I46:J46)/AVERAGE('GSK Adjusted'!I66:J66)</f>
        <v>0.24890095596970496</v>
      </c>
      <c r="K67" s="11">
        <f>AVERAGE('GSK Adjusted'!J46:K46)/AVERAGE('GSK Adjusted'!J66:K66)</f>
        <v>0.21910975046057907</v>
      </c>
      <c r="L67" s="11"/>
      <c r="M67" s="11"/>
      <c r="N67" s="11"/>
      <c r="O67" s="11"/>
      <c r="P67" s="11"/>
    </row>
    <row r="68" spans="2:16" x14ac:dyDescent="0.45">
      <c r="B68" s="6" t="s">
        <v>399</v>
      </c>
      <c r="C68" s="11"/>
      <c r="D68" s="11"/>
      <c r="E68" s="11">
        <f>'GSK Adjusted'!E79/AVERAGE('GSK Adjusted'!D66:E66)</f>
        <v>0.45308140637678962</v>
      </c>
      <c r="F68" s="11">
        <f>'GSK Adjusted'!F79/AVERAGE('GSK Adjusted'!E66:F66)</f>
        <v>0.52588902964758333</v>
      </c>
      <c r="G68" s="11">
        <f>'GSK Adjusted'!G79/AVERAGE('GSK Adjusted'!F66:G66)</f>
        <v>0.57414378129259003</v>
      </c>
      <c r="H68" s="11">
        <f>'GSK Adjusted'!H79/AVERAGE('GSK Adjusted'!G66:H66)</f>
        <v>0.61733417775853694</v>
      </c>
      <c r="I68" s="11">
        <f>'GSK Adjusted'!I79/AVERAGE('GSK Adjusted'!H66:I66)</f>
        <v>0.54074411950552148</v>
      </c>
      <c r="J68" s="11">
        <f>'GSK Adjusted'!J79/AVERAGE('GSK Adjusted'!I66:J66)</f>
        <v>0.43867564475443444</v>
      </c>
      <c r="K68" s="11">
        <f>'GSK Adjusted'!K79/AVERAGE('GSK Adjusted'!J66:K66)</f>
        <v>0.41518753486034188</v>
      </c>
      <c r="L68" s="11"/>
      <c r="M68" s="11"/>
      <c r="N68" s="11"/>
      <c r="O68" s="11"/>
      <c r="P68" s="11"/>
    </row>
    <row r="70" spans="2:16" x14ac:dyDescent="0.45">
      <c r="B70" s="4" t="s">
        <v>34</v>
      </c>
    </row>
    <row r="71" spans="2:16" x14ac:dyDescent="0.45">
      <c r="B71" s="7" t="s">
        <v>369</v>
      </c>
      <c r="C71" s="8"/>
      <c r="D71" s="8"/>
      <c r="E71" s="8"/>
      <c r="F71" s="8"/>
      <c r="G71" s="8"/>
      <c r="H71" s="8"/>
      <c r="I71" s="8"/>
      <c r="J71" s="8"/>
      <c r="K71" s="8"/>
      <c r="L71" s="8"/>
      <c r="M71" s="8"/>
      <c r="N71" s="8"/>
      <c r="O71" s="8"/>
      <c r="P71" s="8"/>
    </row>
    <row r="72" spans="2:16" x14ac:dyDescent="0.45">
      <c r="B72" s="6" t="s">
        <v>400</v>
      </c>
      <c r="C72" s="11"/>
      <c r="D72" s="11"/>
      <c r="E72" s="11">
        <f>AVERAGE('GSK Adjusted'!D61+'GSK Adjusted'!D66,'GSK Adjusted'!E61+'GSK Adjusted'!E66)/AVERAGE('GSK Adjusted'!D144:E144)</f>
        <v>12.620124720982515</v>
      </c>
      <c r="F72" s="11">
        <f>AVERAGE('GSK Adjusted'!E61+'GSK Adjusted'!E66,'GSK Adjusted'!F61+'GSK Adjusted'!F66)/AVERAGE('GSK Adjusted'!E144:F144)</f>
        <v>14.98294721179127</v>
      </c>
      <c r="G72" s="11">
        <f>AVERAGE('GSK Adjusted'!F61+'GSK Adjusted'!F66,'GSK Adjusted'!G61+'GSK Adjusted'!G66)/AVERAGE('GSK Adjusted'!F144:G144)</f>
        <v>5.1621251567048869</v>
      </c>
      <c r="H72" s="11">
        <f>AVERAGE('GSK Adjusted'!G61+'GSK Adjusted'!G66,'GSK Adjusted'!H61+'GSK Adjusted'!H66)/AVERAGE('GSK Adjusted'!G144:H144)</f>
        <v>3.0950430115984982</v>
      </c>
      <c r="I72" s="11">
        <f>AVERAGE('GSK Adjusted'!H61+'GSK Adjusted'!H66,'GSK Adjusted'!I61+'GSK Adjusted'!I66)/AVERAGE('GSK Adjusted'!H144:I144)</f>
        <v>2.782346217594442</v>
      </c>
      <c r="J72" s="11">
        <f>AVERAGE('GSK Adjusted'!I61+'GSK Adjusted'!I66,'GSK Adjusted'!J61+'GSK Adjusted'!J66)/AVERAGE('GSK Adjusted'!I144:J144)</f>
        <v>3.4028178351512159</v>
      </c>
      <c r="K72" s="11">
        <f>AVERAGE('GSK Adjusted'!J61+'GSK Adjusted'!J66,'GSK Adjusted'!K61+'GSK Adjusted'!K66)/AVERAGE('GSK Adjusted'!J144:K144)</f>
        <v>4.1978934231747109</v>
      </c>
      <c r="L72" s="11"/>
      <c r="M72" s="11"/>
      <c r="N72" s="11"/>
      <c r="O72" s="11"/>
      <c r="P72" s="11"/>
    </row>
    <row r="73" spans="2:16" x14ac:dyDescent="0.45">
      <c r="B73" s="6" t="s">
        <v>35</v>
      </c>
      <c r="C73" s="11"/>
      <c r="D73" s="11"/>
      <c r="E73" s="11">
        <f>AVERAGE('GSK Adjusted'!D140:E140)/AVERAGE('GSK Adjusted'!D144:E144)</f>
        <v>5.1351768550677876</v>
      </c>
      <c r="F73" s="11">
        <f>AVERAGE('GSK Adjusted'!E140:F140)/AVERAGE('GSK Adjusted'!E144:F144)</f>
        <v>6.9510395480804004</v>
      </c>
      <c r="G73" s="11">
        <f>AVERAGE('GSK Adjusted'!F140:G140)/AVERAGE('GSK Adjusted'!F144:G144)</f>
        <v>2.8183340874428415</v>
      </c>
      <c r="H73" s="11">
        <f>AVERAGE('GSK Adjusted'!G140:H140)/AVERAGE('GSK Adjusted'!G144:H144)</f>
        <v>1.6588458940353343</v>
      </c>
      <c r="I73" s="11">
        <f>AVERAGE('GSK Adjusted'!H140:I140)/AVERAGE('GSK Adjusted'!H144:I144)</f>
        <v>1.3748710542391569</v>
      </c>
      <c r="J73" s="11">
        <f>AVERAGE('GSK Adjusted'!I140:J140)/AVERAGE('GSK Adjusted'!I144:J144)</f>
        <v>1.6051354516857725</v>
      </c>
      <c r="K73" s="11">
        <f>AVERAGE('GSK Adjusted'!J140:K140)/AVERAGE('GSK Adjusted'!J144:K144)</f>
        <v>1.914828171400268</v>
      </c>
      <c r="L73" s="11"/>
      <c r="M73" s="11"/>
      <c r="N73" s="11"/>
      <c r="O73" s="11"/>
      <c r="P73" s="11"/>
    </row>
    <row r="74" spans="2:16" x14ac:dyDescent="0.45">
      <c r="B74" s="6" t="s">
        <v>36</v>
      </c>
      <c r="C74" s="11"/>
      <c r="D74" s="11"/>
      <c r="E74" s="11">
        <f>AVERAGE('GSK Adjusted'!D140:E140)/AVERAGE('GSK Adjusted'!D145:E145)</f>
        <v>0.83700551367578291</v>
      </c>
      <c r="F74" s="11">
        <f>AVERAGE('GSK Adjusted'!E140:F140)/AVERAGE('GSK Adjusted'!E145:F145)</f>
        <v>0.87423028222247645</v>
      </c>
      <c r="G74" s="11">
        <f>AVERAGE('GSK Adjusted'!F140:G140)/AVERAGE('GSK Adjusted'!F145:G145)</f>
        <v>0.73810568245229025</v>
      </c>
      <c r="H74" s="11">
        <f>AVERAGE('GSK Adjusted'!G140:H140)/AVERAGE('GSK Adjusted'!G145:H145)</f>
        <v>0.62389696889040136</v>
      </c>
      <c r="I74" s="11">
        <f>AVERAGE('GSK Adjusted'!H140:I140)/AVERAGE('GSK Adjusted'!H145:I145)</f>
        <v>0.57892450698955</v>
      </c>
      <c r="J74" s="11">
        <f>AVERAGE('GSK Adjusted'!I140:J140)/AVERAGE('GSK Adjusted'!I145:J145)</f>
        <v>0.61614280004024202</v>
      </c>
      <c r="K74" s="11">
        <f>AVERAGE('GSK Adjusted'!J140:K140)/AVERAGE('GSK Adjusted'!J145:K145)</f>
        <v>0.65692660383489931</v>
      </c>
      <c r="L74" s="11"/>
      <c r="M74" s="11"/>
      <c r="N74" s="11"/>
      <c r="O74" s="11"/>
      <c r="P74" s="11"/>
    </row>
    <row r="75" spans="2:16" x14ac:dyDescent="0.45">
      <c r="B75" s="6" t="s">
        <v>37</v>
      </c>
      <c r="C75" s="11"/>
      <c r="D75" s="11"/>
      <c r="E75" s="11">
        <f>('GSK Adjusted'!E18-'GSK Adjusted'!E17-'GSK Adjusted'!E15+-'GSK Adjusted'!E15)/'GSK Adjusted'!E15</f>
        <v>-6.8890431963763232</v>
      </c>
      <c r="F75" s="11">
        <f>('GSK Adjusted'!F18-'GSK Adjusted'!F17-'GSK Adjusted'!F15+-'GSK Adjusted'!F15)/'GSK Adjusted'!F15</f>
        <v>-8.3492059034493682</v>
      </c>
      <c r="G75" s="11">
        <f>('GSK Adjusted'!G18-'GSK Adjusted'!G17-'GSK Adjusted'!G15+-'GSK Adjusted'!G15)/'GSK Adjusted'!G15</f>
        <v>-9.0935000364992415</v>
      </c>
      <c r="H75" s="11">
        <f>('GSK Adjusted'!H18-'GSK Adjusted'!H17-'GSK Adjusted'!H15+-'GSK Adjusted'!H15)/'GSK Adjusted'!H15</f>
        <v>-8.1255920477639574</v>
      </c>
      <c r="I75" s="11">
        <f>('GSK Adjusted'!I18-'GSK Adjusted'!I17-'GSK Adjusted'!I15+-'GSK Adjusted'!I15)/'GSK Adjusted'!I15</f>
        <v>-6.7230976087640695</v>
      </c>
      <c r="J75" s="11">
        <f>('GSK Adjusted'!J18-'GSK Adjusted'!J17-'GSK Adjusted'!J15+-'GSK Adjusted'!J15)/'GSK Adjusted'!J15</f>
        <v>-8.8717922830565943</v>
      </c>
      <c r="K75" s="11">
        <f>('GSK Adjusted'!K18-'GSK Adjusted'!K17-'GSK Adjusted'!K15+-'GSK Adjusted'!K15)/'GSK Adjusted'!K15</f>
        <v>-10.540842648323304</v>
      </c>
      <c r="L75" s="11"/>
      <c r="M75" s="11"/>
      <c r="N75" s="11"/>
      <c r="O75" s="11"/>
      <c r="P75" s="11"/>
    </row>
    <row r="76" spans="2:16" x14ac:dyDescent="0.45">
      <c r="B76" s="6" t="s">
        <v>401</v>
      </c>
      <c r="C76" s="11"/>
      <c r="D76" s="11"/>
      <c r="E76" s="11">
        <f>('GSK Adjusted'!E79-E75)/-E77</f>
        <v>-0.34532339942963902</v>
      </c>
      <c r="F76" s="11">
        <f>('GSK Adjusted'!F79-F75)/-F77</f>
        <v>-0.38456680324219578</v>
      </c>
      <c r="G76" s="11">
        <f>('GSK Adjusted'!G79-G75)/-G77</f>
        <v>-0.32207661879199367</v>
      </c>
      <c r="H76" s="11">
        <f>('GSK Adjusted'!H79-H75)/-H77</f>
        <v>-0.34039038223207457</v>
      </c>
      <c r="I76" s="11">
        <f>('GSK Adjusted'!I79-I75)/-I77</f>
        <v>-0.3545826761838487</v>
      </c>
      <c r="J76" s="11">
        <f>('GSK Adjusted'!J79-J75)/-J77</f>
        <v>-0.31689148155973051</v>
      </c>
      <c r="K76" s="11">
        <f>('GSK Adjusted'!K79-K75)/-K77</f>
        <v>-0.33238472549230941</v>
      </c>
      <c r="L76" s="11"/>
      <c r="M76" s="11"/>
      <c r="N76" s="11"/>
      <c r="O76" s="11"/>
      <c r="P76" s="11"/>
    </row>
    <row r="77" spans="2:16" x14ac:dyDescent="0.45">
      <c r="B77" s="6" t="s">
        <v>402</v>
      </c>
      <c r="C77" s="11"/>
      <c r="D77" s="11"/>
      <c r="E77" s="11">
        <f>'GSK Adjusted'!E73-(1-'GSK Adjusted'!E104)*('GSK Adjusted'!E86/'GSK Adjusted'!E104)</f>
        <v>25063.474000000002</v>
      </c>
      <c r="F77" s="11">
        <f>'GSK Adjusted'!F73-(1-'GSK Adjusted'!F104)*('GSK Adjusted'!F86/'GSK Adjusted'!F104)</f>
        <v>26780.323</v>
      </c>
      <c r="G77" s="11">
        <f>'GSK Adjusted'!G73-(1-'GSK Adjusted'!G104)*('GSK Adjusted'!G86/'GSK Adjusted'!G104)</f>
        <v>31247.330333333332</v>
      </c>
      <c r="H77" s="11">
        <f>'GSK Adjusted'!H73-(1-'GSK Adjusted'!H104)*('GSK Adjusted'!H86/'GSK Adjusted'!H104)</f>
        <v>30630.608666666667</v>
      </c>
      <c r="I77" s="11">
        <f>'GSK Adjusted'!I73-(1-'GSK Adjusted'!I104)*('GSK Adjusted'!I86/'GSK Adjusted'!I104)</f>
        <v>28567.873666666666</v>
      </c>
      <c r="J77" s="11">
        <f>'GSK Adjusted'!J73-(1-'GSK Adjusted'!J104)*('GSK Adjusted'!J86/'GSK Adjusted'!J104)</f>
        <v>30235.482333333333</v>
      </c>
      <c r="K77" s="11">
        <f>'GSK Adjusted'!K73-(1-'GSK Adjusted'!K104)*('GSK Adjusted'!K86/'GSK Adjusted'!K104)</f>
        <v>25528.453000000001</v>
      </c>
      <c r="L77" s="11"/>
      <c r="M77" s="11"/>
      <c r="N77" s="11"/>
      <c r="O77" s="11"/>
      <c r="P77" s="11"/>
    </row>
    <row r="78" spans="2:16" x14ac:dyDescent="0.45">
      <c r="B78" s="6" t="s">
        <v>403</v>
      </c>
      <c r="C78" s="19"/>
      <c r="D78" s="19"/>
      <c r="E78" s="19">
        <f>'GSK Adjusted'!E86/'GSK Adjusted'!E104</f>
        <v>-27434.400000000001</v>
      </c>
      <c r="F78" s="19">
        <f>'GSK Adjusted'!F86/'GSK Adjusted'!F104</f>
        <v>-28487.300000000003</v>
      </c>
      <c r="G78" s="19">
        <f>'GSK Adjusted'!G86/'GSK Adjusted'!G104</f>
        <v>-33334.033333333333</v>
      </c>
      <c r="H78" s="19">
        <f>'GSK Adjusted'!H86/'GSK Adjusted'!H104</f>
        <v>-31655.666666666668</v>
      </c>
      <c r="I78" s="19">
        <f>'GSK Adjusted'!I86/'GSK Adjusted'!I104</f>
        <v>-29550.966666666667</v>
      </c>
      <c r="J78" s="19">
        <f>'GSK Adjusted'!J86/'GSK Adjusted'!J104</f>
        <v>-32025.633333333335</v>
      </c>
      <c r="K78" s="19">
        <f>'GSK Adjusted'!K86/'GSK Adjusted'!K104</f>
        <v>-27214.2</v>
      </c>
      <c r="L78" s="19"/>
      <c r="M78" s="19"/>
      <c r="N78" s="19"/>
      <c r="O78" s="19"/>
      <c r="P78" s="19"/>
    </row>
    <row r="79" spans="2:16" x14ac:dyDescent="0.45">
      <c r="C79" s="16"/>
      <c r="D79" s="16"/>
      <c r="E79" s="16"/>
      <c r="F79" s="16"/>
      <c r="G79" s="16"/>
      <c r="H79" s="16"/>
      <c r="I79" s="16"/>
      <c r="J79" s="16"/>
      <c r="K79" s="16"/>
      <c r="L79" s="11"/>
      <c r="M79" s="11"/>
      <c r="N79" s="11"/>
      <c r="O79" s="11"/>
      <c r="P79" s="11"/>
    </row>
    <row r="80" spans="2:16" x14ac:dyDescent="0.45">
      <c r="B80" s="4" t="s">
        <v>38</v>
      </c>
    </row>
    <row r="81" spans="2:16" x14ac:dyDescent="0.45">
      <c r="B81" s="7" t="s">
        <v>369</v>
      </c>
      <c r="C81" s="8"/>
      <c r="D81" s="8"/>
      <c r="E81" s="8"/>
      <c r="F81" s="8"/>
      <c r="G81" s="8"/>
      <c r="H81" s="8"/>
      <c r="I81" s="8"/>
      <c r="J81" s="8"/>
      <c r="K81" s="8"/>
      <c r="L81" s="8"/>
      <c r="M81" s="8"/>
      <c r="N81" s="8"/>
      <c r="O81" s="8"/>
      <c r="P81" s="8"/>
    </row>
    <row r="82" spans="2:16" x14ac:dyDescent="0.45">
      <c r="B82" s="6" t="s">
        <v>39</v>
      </c>
      <c r="C82" s="9"/>
      <c r="D82" s="9"/>
      <c r="E82" s="9">
        <f t="shared" ref="E82:K82" si="14">E4</f>
        <v>0.50840858929806909</v>
      </c>
      <c r="F82" s="9">
        <f t="shared" si="14"/>
        <v>1.1413260615228396</v>
      </c>
      <c r="G82" s="9">
        <f t="shared" si="14"/>
        <v>0.46652017837058657</v>
      </c>
      <c r="H82" s="9">
        <f t="shared" si="14"/>
        <v>0.25582575360992948</v>
      </c>
      <c r="I82" s="9">
        <f t="shared" si="14"/>
        <v>0.16821699034785595</v>
      </c>
      <c r="J82" s="9">
        <f t="shared" si="14"/>
        <v>0.31380251844978113</v>
      </c>
      <c r="K82" s="9">
        <f t="shared" si="14"/>
        <v>0.46723004690523068</v>
      </c>
      <c r="L82" s="9"/>
      <c r="M82" s="9"/>
      <c r="N82" s="9"/>
      <c r="O82" s="9"/>
      <c r="P82" s="9"/>
    </row>
    <row r="83" spans="2:16" x14ac:dyDescent="0.45">
      <c r="B83" s="6" t="s">
        <v>404</v>
      </c>
      <c r="C83" s="13"/>
      <c r="D83" s="13"/>
      <c r="E83" s="13">
        <f>-'GSK Adjusted'!E90/'GSK Adjusted'!E114</f>
        <v>0</v>
      </c>
      <c r="F83" s="13">
        <f>-'GSK Adjusted'!F90/'GSK Adjusted'!F114</f>
        <v>0</v>
      </c>
      <c r="G83" s="13">
        <f>-'GSK Adjusted'!G90/'GSK Adjusted'!G114</f>
        <v>0</v>
      </c>
      <c r="H83" s="13">
        <f>-'GSK Adjusted'!H90/'GSK Adjusted'!H114</f>
        <v>0</v>
      </c>
      <c r="I83" s="13">
        <f>-'GSK Adjusted'!I90/'GSK Adjusted'!I114</f>
        <v>0</v>
      </c>
      <c r="J83" s="13">
        <f>-'GSK Adjusted'!J90/'GSK Adjusted'!J114</f>
        <v>0</v>
      </c>
      <c r="K83" s="13">
        <f>-'GSK Adjusted'!K90/'GSK Adjusted'!K114</f>
        <v>0</v>
      </c>
      <c r="L83" s="13"/>
      <c r="M83" s="13"/>
      <c r="N83" s="13"/>
      <c r="O83" s="13"/>
      <c r="P83" s="13"/>
    </row>
    <row r="84" spans="2:16" x14ac:dyDescent="0.45">
      <c r="B84" s="6" t="s">
        <v>38</v>
      </c>
      <c r="C84" s="9"/>
      <c r="D84" s="9"/>
      <c r="E84" s="9">
        <f t="shared" ref="E84:K84" si="15">(1-E83)*E82</f>
        <v>0.50840858929806909</v>
      </c>
      <c r="F84" s="9">
        <f t="shared" si="15"/>
        <v>1.1413260615228396</v>
      </c>
      <c r="G84" s="9">
        <f t="shared" si="15"/>
        <v>0.46652017837058657</v>
      </c>
      <c r="H84" s="9">
        <f t="shared" si="15"/>
        <v>0.25582575360992948</v>
      </c>
      <c r="I84" s="9">
        <f t="shared" si="15"/>
        <v>0.16821699034785595</v>
      </c>
      <c r="J84" s="9">
        <f t="shared" si="15"/>
        <v>0.31380251844978113</v>
      </c>
      <c r="K84" s="9">
        <f t="shared" si="15"/>
        <v>0.46723004690523068</v>
      </c>
      <c r="L84" s="9"/>
      <c r="M84" s="9"/>
      <c r="N84" s="9"/>
      <c r="O84" s="9"/>
      <c r="P84" s="9"/>
    </row>
  </sheetData>
  <pageMargins left="0.7" right="0.7" top="0.75" bottom="0.75" header="0.3" footer="0.3"/>
  <pageSetup paperSize="9" orientation="portrait"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D81A6-D294-49C8-A1FC-F4D07A646495}">
  <dimension ref="B2:R84"/>
  <sheetViews>
    <sheetView showGridLines="0" topLeftCell="A33" workbookViewId="0">
      <selection activeCell="F91" sqref="F91"/>
    </sheetView>
  </sheetViews>
  <sheetFormatPr defaultColWidth="9.1328125" defaultRowHeight="14.25" x14ac:dyDescent="0.45"/>
  <cols>
    <col min="1" max="1" width="3.33203125" style="1" customWidth="1"/>
    <col min="2" max="2" width="41.33203125" style="1" customWidth="1"/>
    <col min="3" max="16" width="14" style="1" customWidth="1"/>
    <col min="17" max="16384" width="9.1328125" style="1"/>
  </cols>
  <sheetData>
    <row r="2" spans="2:18" x14ac:dyDescent="0.45">
      <c r="B2" s="4" t="s">
        <v>368</v>
      </c>
    </row>
    <row r="3" spans="2:18" x14ac:dyDescent="0.45">
      <c r="B3" s="7" t="s">
        <v>369</v>
      </c>
      <c r="C3" s="21">
        <v>2015</v>
      </c>
      <c r="D3" s="21">
        <f t="shared" ref="D3:Q3" si="0">C3+1</f>
        <v>2016</v>
      </c>
      <c r="E3" s="21">
        <f t="shared" si="0"/>
        <v>2017</v>
      </c>
      <c r="F3" s="21">
        <f t="shared" si="0"/>
        <v>2018</v>
      </c>
      <c r="G3" s="21">
        <f t="shared" si="0"/>
        <v>2019</v>
      </c>
      <c r="H3" s="21">
        <f t="shared" si="0"/>
        <v>2020</v>
      </c>
      <c r="I3" s="21">
        <f t="shared" si="0"/>
        <v>2021</v>
      </c>
      <c r="J3" s="21">
        <f t="shared" si="0"/>
        <v>2022</v>
      </c>
      <c r="K3" s="21">
        <f t="shared" si="0"/>
        <v>2023</v>
      </c>
      <c r="L3" s="22">
        <f t="shared" si="0"/>
        <v>2024</v>
      </c>
      <c r="M3" s="22">
        <f t="shared" si="0"/>
        <v>2025</v>
      </c>
      <c r="N3" s="22">
        <f t="shared" si="0"/>
        <v>2026</v>
      </c>
      <c r="O3" s="22">
        <f t="shared" si="0"/>
        <v>2027</v>
      </c>
      <c r="P3" s="22">
        <f t="shared" si="0"/>
        <v>2028</v>
      </c>
      <c r="Q3" s="22">
        <f t="shared" si="0"/>
        <v>2029</v>
      </c>
    </row>
    <row r="4" spans="2:18" x14ac:dyDescent="0.45">
      <c r="B4" s="6" t="s">
        <v>368</v>
      </c>
      <c r="C4" s="9"/>
      <c r="E4" s="93">
        <f>'Takeda Adjusted'!E18/AVERAGE(SUM('Takeda Adjusted'!D53:D55), SUM('Takeda Adjusted'!E53:E55))</f>
        <v>9.1866568998050249E-2</v>
      </c>
      <c r="F4" s="93">
        <f>'Takeda Adjusted'!F18/AVERAGE(SUM('Takeda Adjusted'!E53:E55), SUM('Takeda Adjusted'!F53:F55))</f>
        <v>5.2872778761972362E-2</v>
      </c>
      <c r="G4" s="93">
        <f>'Takeda Adjusted'!G18/AVERAGE(SUM('Takeda Adjusted'!F53:F55), SUM('Takeda Adjusted'!G53:G55))</f>
        <v>3.9215979819243246E-3</v>
      </c>
      <c r="H4" s="93">
        <f>'Takeda Adjusted'!H18/AVERAGE(SUM('Takeda Adjusted'!G53:G55), SUM('Takeda Adjusted'!H53:H55))</f>
        <v>3.8659778733054255E-2</v>
      </c>
      <c r="I4" s="93">
        <f>'Takeda Adjusted'!I18/AVERAGE(SUM('Takeda Adjusted'!H53:H55), SUM('Takeda Adjusted'!I53:I55))</f>
        <v>8.7236597639449201E-2</v>
      </c>
      <c r="J4" s="93">
        <f>'Takeda Adjusted'!J18/AVERAGE(SUM('Takeda Adjusted'!I53:I55), SUM('Takeda Adjusted'!J53:J55))</f>
        <v>4.7119107467967408E-2</v>
      </c>
      <c r="K4" s="93">
        <f>'Takeda Adjusted'!K18/AVERAGE(SUM('Takeda Adjusted'!J53:J55), SUM('Takeda Adjusted'!K53:K55))</f>
        <v>2.7004855725432996E-2</v>
      </c>
      <c r="L4" s="9"/>
      <c r="M4" s="9"/>
      <c r="N4" s="9"/>
      <c r="O4" s="9"/>
      <c r="P4" s="9"/>
      <c r="R4" s="14"/>
    </row>
    <row r="5" spans="2:18" x14ac:dyDescent="0.45">
      <c r="B5" s="6"/>
      <c r="C5" s="9"/>
      <c r="D5" s="88"/>
      <c r="E5" s="88"/>
      <c r="F5" s="88"/>
      <c r="G5" s="88"/>
      <c r="H5" s="88"/>
      <c r="I5" s="88"/>
      <c r="J5" s="88"/>
      <c r="K5" s="88"/>
      <c r="L5" s="9"/>
      <c r="M5" s="9"/>
      <c r="N5" s="9"/>
      <c r="O5" s="9"/>
      <c r="P5" s="9"/>
      <c r="R5" s="14"/>
    </row>
    <row r="6" spans="2:18" x14ac:dyDescent="0.45">
      <c r="B6" s="4" t="s">
        <v>15</v>
      </c>
      <c r="D6" s="89"/>
      <c r="E6" s="89"/>
      <c r="F6" s="89"/>
      <c r="G6" s="89"/>
      <c r="H6" s="89"/>
      <c r="I6" s="89"/>
      <c r="J6" s="89"/>
      <c r="K6" s="89"/>
    </row>
    <row r="7" spans="2:18" x14ac:dyDescent="0.45">
      <c r="B7" s="7" t="s">
        <v>369</v>
      </c>
      <c r="C7" s="8"/>
      <c r="D7" s="90"/>
      <c r="E7" s="90"/>
      <c r="F7" s="90"/>
      <c r="G7" s="90"/>
      <c r="H7" s="90"/>
      <c r="I7" s="90"/>
      <c r="J7" s="90"/>
      <c r="K7" s="90"/>
      <c r="L7" s="8"/>
      <c r="M7" s="8"/>
      <c r="N7" s="8"/>
      <c r="O7" s="8"/>
      <c r="P7" s="8"/>
    </row>
    <row r="8" spans="2:18" x14ac:dyDescent="0.45">
      <c r="B8" s="6" t="s">
        <v>16</v>
      </c>
      <c r="C8" s="9"/>
      <c r="D8" s="88"/>
      <c r="E8" s="93">
        <f>'Takeda Adjusted'!E18/'Takeda Adjusted'!E9</f>
        <v>0.10536889656735031</v>
      </c>
      <c r="F8" s="93">
        <f>'Takeda Adjusted'!F18/'Takeda Adjusted'!F9</f>
        <v>6.1973286513625117E-2</v>
      </c>
      <c r="G8" s="93">
        <f>'Takeda Adjusted'!G18/'Takeda Adjusted'!G9</f>
        <v>4.1569724608347758E-3</v>
      </c>
      <c r="H8" s="93">
        <f>'Takeda Adjusted'!H18/'Takeda Adjusted'!H9</f>
        <v>5.6447463089352973E-2</v>
      </c>
      <c r="I8" s="93">
        <f>'Takeda Adjusted'!I18/'Takeda Adjusted'!I9</f>
        <v>0.12656836189685891</v>
      </c>
      <c r="J8" s="93">
        <f>'Takeda Adjusted'!J18/'Takeda Adjusted'!J9</f>
        <v>6.9595524396475233E-2</v>
      </c>
      <c r="K8" s="93">
        <f>'Takeda Adjusted'!K18/'Takeda Adjusted'!K9</f>
        <v>4.2774069265714573E-2</v>
      </c>
      <c r="L8" s="9"/>
      <c r="M8" s="9"/>
      <c r="N8" s="9"/>
      <c r="O8" s="9"/>
      <c r="P8" s="9"/>
    </row>
    <row r="9" spans="2:18" x14ac:dyDescent="0.45">
      <c r="B9" s="6" t="s">
        <v>17</v>
      </c>
      <c r="C9" s="10"/>
      <c r="D9" s="91"/>
      <c r="E9" s="91">
        <f>'Takeda Adjusted'!E9/AVERAGE('Takeda Adjusted'!D50:E50)</f>
        <v>0.42615897085650117</v>
      </c>
      <c r="F9" s="91">
        <f>'Takeda Adjusted'!F9/AVERAGE('Takeda Adjusted'!E50:F50)</f>
        <v>0.34811323417130724</v>
      </c>
      <c r="G9" s="91">
        <f>'Takeda Adjusted'!G9/AVERAGE('Takeda Adjusted'!F50:G50)</f>
        <v>0.3473249411193316</v>
      </c>
      <c r="H9" s="91">
        <f>'Takeda Adjusted'!H9/AVERAGE('Takeda Adjusted'!G50:H50)</f>
        <v>0.25739257379129132</v>
      </c>
      <c r="I9" s="91">
        <f>'Takeda Adjusted'!I9/AVERAGE('Takeda Adjusted'!H50:I50)</f>
        <v>0.27480825832021144</v>
      </c>
      <c r="J9" s="91">
        <f>'Takeda Adjusted'!J9/AVERAGE('Takeda Adjusted'!I50:J50)</f>
        <v>0.29688703321099846</v>
      </c>
      <c r="K9" s="91">
        <f>'Takeda Adjusted'!K9/AVERAGE('Takeda Adjusted'!J50:K50)</f>
        <v>0.29389344369339915</v>
      </c>
      <c r="L9" s="10"/>
      <c r="M9" s="10"/>
      <c r="N9" s="10"/>
      <c r="O9" s="10"/>
      <c r="P9" s="10"/>
    </row>
    <row r="10" spans="2:18" x14ac:dyDescent="0.45">
      <c r="B10" s="6" t="s">
        <v>18</v>
      </c>
      <c r="C10" s="9"/>
      <c r="D10" s="88"/>
      <c r="E10" s="88">
        <f t="shared" ref="E10:K10" si="1">E8*E9</f>
        <v>4.4903900521427127E-2</v>
      </c>
      <c r="F10" s="88">
        <f t="shared" si="1"/>
        <v>2.1573721200483096E-2</v>
      </c>
      <c r="G10" s="88">
        <f t="shared" si="1"/>
        <v>1.4438202151941216E-3</v>
      </c>
      <c r="H10" s="88">
        <f t="shared" si="1"/>
        <v>1.4529157808557479E-2</v>
      </c>
      <c r="I10" s="88">
        <f t="shared" si="1"/>
        <v>3.4782031091318014E-2</v>
      </c>
      <c r="J10" s="88">
        <f t="shared" si="1"/>
        <v>2.0662008762833195E-2</v>
      </c>
      <c r="K10" s="88">
        <f t="shared" si="1"/>
        <v>1.2571018517280841E-2</v>
      </c>
      <c r="L10" s="9"/>
      <c r="M10" s="9"/>
      <c r="N10" s="9"/>
      <c r="O10" s="9"/>
      <c r="P10" s="9"/>
    </row>
    <row r="11" spans="2:18" x14ac:dyDescent="0.45">
      <c r="B11" s="6" t="s">
        <v>370</v>
      </c>
      <c r="C11" s="10"/>
      <c r="D11" s="91"/>
      <c r="E11" s="91">
        <f>AVERAGE('Takeda Adjusted'!D50:E50)/AVERAGE(SUM('Takeda Adjusted'!D53:D55),SUM('Takeda Adjusted'!E53:E55))</f>
        <v>2.0458483100864164</v>
      </c>
      <c r="F11" s="91">
        <f>AVERAGE('Takeda Adjusted'!E50:F50)/AVERAGE(SUM('Takeda Adjusted'!E53:E55),SUM('Takeda Adjusted'!F53:F55))</f>
        <v>2.4507954965501448</v>
      </c>
      <c r="G11" s="91">
        <f>AVERAGE('Takeda Adjusted'!F50:G50)/AVERAGE(SUM('Takeda Adjusted'!F53:F55),SUM('Takeda Adjusted'!G53:G55))</f>
        <v>2.7161262466442651</v>
      </c>
      <c r="H11" s="91">
        <f>AVERAGE('Takeda Adjusted'!G50:H50)/AVERAGE(SUM('Takeda Adjusted'!G53:G55),SUM('Takeda Adjusted'!H53:H55))</f>
        <v>2.6608409959099055</v>
      </c>
      <c r="I11" s="91">
        <f>AVERAGE('Takeda Adjusted'!H50:I50)/AVERAGE(SUM('Takeda Adjusted'!H53:H55),SUM('Takeda Adjusted'!I53:I55))</f>
        <v>2.5080938318528627</v>
      </c>
      <c r="J11" s="91">
        <f>AVERAGE('Takeda Adjusted'!I50:J50)/AVERAGE(SUM('Takeda Adjusted'!I53:I55),SUM('Takeda Adjusted'!J53:J55))</f>
        <v>2.2804707910455067</v>
      </c>
      <c r="K11" s="91">
        <f>AVERAGE('Takeda Adjusted'!J50:K50)/AVERAGE(SUM('Takeda Adjusted'!J53:J55),SUM('Takeda Adjusted'!K53:K55))</f>
        <v>2.1481835929452</v>
      </c>
      <c r="L11" s="10"/>
      <c r="M11" s="10"/>
      <c r="N11" s="10"/>
      <c r="O11" s="10"/>
      <c r="P11" s="10"/>
    </row>
    <row r="12" spans="2:18" x14ac:dyDescent="0.45">
      <c r="B12" s="6" t="s">
        <v>20</v>
      </c>
      <c r="C12" s="9"/>
      <c r="D12" s="88"/>
      <c r="E12" s="93">
        <f t="shared" ref="E12:K12" si="2">E10*E11</f>
        <v>9.1866568998050235E-2</v>
      </c>
      <c r="F12" s="93">
        <f t="shared" si="2"/>
        <v>5.2872778761972355E-2</v>
      </c>
      <c r="G12" s="93">
        <f t="shared" si="2"/>
        <v>3.9215979819243246E-3</v>
      </c>
      <c r="H12" s="93">
        <f t="shared" si="2"/>
        <v>3.8659778733054262E-2</v>
      </c>
      <c r="I12" s="93">
        <f t="shared" si="2"/>
        <v>8.7236597639449201E-2</v>
      </c>
      <c r="J12" s="93">
        <f t="shared" si="2"/>
        <v>4.7119107467967408E-2</v>
      </c>
      <c r="K12" s="93">
        <f t="shared" si="2"/>
        <v>2.7004855725433E-2</v>
      </c>
      <c r="L12" s="9"/>
      <c r="M12" s="9"/>
      <c r="N12" s="9"/>
      <c r="O12" s="9"/>
      <c r="P12" s="9"/>
    </row>
    <row r="13" spans="2:18" x14ac:dyDescent="0.45">
      <c r="D13" s="89"/>
      <c r="E13" s="89"/>
      <c r="F13" s="89"/>
      <c r="G13" s="89"/>
      <c r="H13" s="89"/>
      <c r="I13" s="89"/>
      <c r="J13" s="89"/>
      <c r="K13" s="89"/>
    </row>
    <row r="14" spans="2:18" x14ac:dyDescent="0.45">
      <c r="B14" s="4" t="s">
        <v>371</v>
      </c>
      <c r="D14" s="89"/>
      <c r="E14" s="89"/>
      <c r="F14" s="89"/>
      <c r="G14" s="89"/>
      <c r="H14" s="89"/>
      <c r="I14" s="89"/>
      <c r="J14" s="89"/>
      <c r="K14" s="89"/>
    </row>
    <row r="15" spans="2:18" x14ac:dyDescent="0.45">
      <c r="B15" s="7" t="s">
        <v>369</v>
      </c>
      <c r="C15" s="8"/>
      <c r="D15" s="90"/>
      <c r="E15" s="90"/>
      <c r="F15" s="90"/>
      <c r="G15" s="90"/>
      <c r="H15" s="90"/>
      <c r="I15" s="90"/>
      <c r="J15" s="90"/>
      <c r="K15" s="90"/>
      <c r="L15" s="8"/>
      <c r="M15" s="8"/>
      <c r="N15" s="8"/>
      <c r="O15" s="8"/>
      <c r="P15" s="8"/>
    </row>
    <row r="16" spans="2:18" x14ac:dyDescent="0.45">
      <c r="B16" s="6" t="s">
        <v>22</v>
      </c>
      <c r="C16" s="9"/>
      <c r="D16" s="88"/>
      <c r="E16" s="93">
        <f>'Takeda Adjusted'!E101/'Takeda Adjusted'!E96</f>
        <v>0.1059668233828029</v>
      </c>
      <c r="F16" s="93">
        <f>'Takeda Adjusted'!F101/'Takeda Adjusted'!F96</f>
        <v>6.2572284302415335E-2</v>
      </c>
      <c r="G16" s="93">
        <f>'Takeda Adjusted'!G101/'Takeda Adjusted'!G96</f>
        <v>5.2042531458680727E-3</v>
      </c>
      <c r="H16" s="93">
        <f>'Takeda Adjusted'!H101/'Takeda Adjusted'!H96</f>
        <v>5.827923932736221E-2</v>
      </c>
      <c r="I16" s="93">
        <f>'Takeda Adjusted'!I101/'Takeda Adjusted'!I96</f>
        <v>0.12752955935981389</v>
      </c>
      <c r="J16" s="93">
        <f>'Takeda Adjusted'!J101/'Takeda Adjusted'!J96</f>
        <v>7.0306445814991708E-2</v>
      </c>
      <c r="K16" s="93">
        <f>'Takeda Adjusted'!K101/'Takeda Adjusted'!K96</f>
        <v>4.382804377084841E-2</v>
      </c>
      <c r="L16" s="9"/>
      <c r="M16" s="9"/>
      <c r="N16" s="9"/>
      <c r="O16" s="9"/>
      <c r="P16" s="9"/>
    </row>
    <row r="17" spans="2:16" x14ac:dyDescent="0.45">
      <c r="B17" s="6" t="s">
        <v>23</v>
      </c>
      <c r="C17" s="10"/>
      <c r="D17" s="91"/>
      <c r="E17" s="91">
        <f>'Takeda Adjusted'!E96/AVERAGE('Takeda Adjusted'!D124+'Takeda Adjusted'!D130,'Takeda Adjusted'!E124+'Takeda Adjusted'!E130)</f>
        <v>0.75008320345945823</v>
      </c>
      <c r="F17" s="91">
        <f>'Takeda Adjusted'!F96/AVERAGE('Takeda Adjusted'!E124+'Takeda Adjusted'!E130,'Takeda Adjusted'!F124+'Takeda Adjusted'!F130)</f>
        <v>0.50591625019682906</v>
      </c>
      <c r="G17" s="91">
        <f>'Takeda Adjusted'!G96/AVERAGE('Takeda Adjusted'!F124+'Takeda Adjusted'!F130,'Takeda Adjusted'!G124+'Takeda Adjusted'!G130)</f>
        <v>0.46154454495413505</v>
      </c>
      <c r="H17" s="91">
        <f>'Takeda Adjusted'!H96/AVERAGE('Takeda Adjusted'!G124+'Takeda Adjusted'!G130,'Takeda Adjusted'!H124+'Takeda Adjusted'!H130)</f>
        <v>0.33692916350141339</v>
      </c>
      <c r="I17" s="91">
        <f>'Takeda Adjusted'!I96/AVERAGE('Takeda Adjusted'!H124+'Takeda Adjusted'!H130,'Takeda Adjusted'!I124+'Takeda Adjusted'!I130)</f>
        <v>0.36690055000972782</v>
      </c>
      <c r="J17" s="91">
        <f>'Takeda Adjusted'!J96/AVERAGE('Takeda Adjusted'!I124+'Takeda Adjusted'!I130,'Takeda Adjusted'!J124+'Takeda Adjusted'!J130)</f>
        <v>0.3949316444281547</v>
      </c>
      <c r="K17" s="91">
        <f>'Takeda Adjusted'!K96/AVERAGE('Takeda Adjusted'!J124+'Takeda Adjusted'!J130,'Takeda Adjusted'!K124+'Takeda Adjusted'!K130)</f>
        <v>0.36392834889041403</v>
      </c>
      <c r="L17" s="10"/>
      <c r="M17" s="10"/>
      <c r="N17" s="10"/>
      <c r="O17" s="10"/>
      <c r="P17" s="10"/>
    </row>
    <row r="18" spans="2:16" x14ac:dyDescent="0.45">
      <c r="B18" s="6" t="s">
        <v>24</v>
      </c>
      <c r="C18" s="9"/>
      <c r="D18" s="88"/>
      <c r="E18" s="93">
        <f t="shared" ref="E18:K18" si="3">E16*E17</f>
        <v>7.9483934343395429E-2</v>
      </c>
      <c r="F18" s="93">
        <f t="shared" si="3"/>
        <v>3.1656335440527879E-2</v>
      </c>
      <c r="G18" s="93">
        <f t="shared" si="3"/>
        <v>2.4019946500358053E-3</v>
      </c>
      <c r="H18" s="93">
        <f t="shared" si="3"/>
        <v>1.9635975356066822E-2</v>
      </c>
      <c r="I18" s="93">
        <f t="shared" si="3"/>
        <v>4.6790665471613951E-2</v>
      </c>
      <c r="J18" s="93">
        <f t="shared" si="3"/>
        <v>2.776624025961363E-2</v>
      </c>
      <c r="K18" s="93">
        <f t="shared" si="3"/>
        <v>1.5950267604621659E-2</v>
      </c>
      <c r="L18" s="9"/>
      <c r="M18" s="9"/>
      <c r="N18" s="9"/>
      <c r="O18" s="9"/>
      <c r="P18" s="9"/>
    </row>
    <row r="19" spans="2:16" x14ac:dyDescent="0.45">
      <c r="B19" s="4"/>
      <c r="C19" s="9"/>
      <c r="D19" s="88"/>
      <c r="E19" s="88"/>
      <c r="F19" s="88"/>
      <c r="G19" s="88"/>
      <c r="H19" s="88"/>
      <c r="I19" s="88"/>
      <c r="J19" s="88"/>
      <c r="K19" s="88"/>
      <c r="L19" s="9"/>
      <c r="M19" s="9"/>
      <c r="N19" s="9"/>
      <c r="O19" s="9"/>
      <c r="P19" s="9"/>
    </row>
    <row r="20" spans="2:16" x14ac:dyDescent="0.45">
      <c r="B20" s="4" t="s">
        <v>372</v>
      </c>
      <c r="D20" s="89"/>
      <c r="E20" s="89"/>
      <c r="F20" s="89"/>
      <c r="G20" s="89"/>
      <c r="H20" s="89"/>
      <c r="I20" s="89"/>
      <c r="J20" s="89"/>
      <c r="K20" s="89"/>
    </row>
    <row r="21" spans="2:16" x14ac:dyDescent="0.45">
      <c r="B21" s="7"/>
      <c r="C21" s="8"/>
      <c r="D21" s="90"/>
      <c r="E21" s="90"/>
      <c r="F21" s="90"/>
      <c r="G21" s="90"/>
      <c r="H21" s="90"/>
      <c r="I21" s="90"/>
      <c r="J21" s="90"/>
      <c r="K21" s="90"/>
      <c r="L21" s="8"/>
      <c r="M21" s="8"/>
      <c r="N21" s="8"/>
      <c r="O21" s="8"/>
      <c r="P21" s="8"/>
    </row>
    <row r="22" spans="2:16" x14ac:dyDescent="0.45">
      <c r="B22" s="3" t="s">
        <v>373</v>
      </c>
      <c r="D22" s="89"/>
      <c r="E22" s="89"/>
      <c r="F22" s="89"/>
      <c r="G22" s="89"/>
      <c r="H22" s="89"/>
      <c r="I22" s="89"/>
      <c r="J22" s="89"/>
      <c r="K22" s="89"/>
    </row>
    <row r="23" spans="2:16" x14ac:dyDescent="0.45">
      <c r="B23" s="6" t="s">
        <v>96</v>
      </c>
      <c r="C23" s="9"/>
      <c r="D23" s="88"/>
      <c r="E23" s="88">
        <f>'Takeda Adjusted'!E9/'Takeda Adjusted'!E9</f>
        <v>1</v>
      </c>
      <c r="F23" s="88">
        <f>'Takeda Adjusted'!F9/'Takeda Adjusted'!F9</f>
        <v>1</v>
      </c>
      <c r="G23" s="88">
        <f>'Takeda Adjusted'!G9/'Takeda Adjusted'!G9</f>
        <v>1</v>
      </c>
      <c r="H23" s="88">
        <f>'Takeda Adjusted'!H9/'Takeda Adjusted'!H9</f>
        <v>1</v>
      </c>
      <c r="I23" s="88">
        <f>'Takeda Adjusted'!I9/'Takeda Adjusted'!I9</f>
        <v>1</v>
      </c>
      <c r="J23" s="88">
        <f>'Takeda Adjusted'!J9/'Takeda Adjusted'!J9</f>
        <v>1</v>
      </c>
      <c r="K23" s="88">
        <f>'Takeda Adjusted'!K9/'Takeda Adjusted'!K9</f>
        <v>1</v>
      </c>
      <c r="L23" s="9"/>
      <c r="M23" s="9"/>
      <c r="N23" s="9"/>
      <c r="O23" s="9"/>
      <c r="P23" s="9"/>
    </row>
    <row r="24" spans="2:16" x14ac:dyDescent="0.45">
      <c r="B24" s="6" t="s">
        <v>374</v>
      </c>
      <c r="C24" s="9"/>
      <c r="D24" s="88"/>
      <c r="E24" s="88">
        <f>'Takeda Adjusted'!E10/'Takeda Adjusted'!E9</f>
        <v>-0.89384664948453596</v>
      </c>
      <c r="F24" s="88">
        <f>'Takeda Adjusted'!F10/'Takeda Adjusted'!F9</f>
        <v>-0.85966628519316235</v>
      </c>
      <c r="G24" s="88">
        <f>'Takeda Adjusted'!G10/'Takeda Adjusted'!G9</f>
        <v>-0.86162993532815202</v>
      </c>
      <c r="H24" s="88">
        <f>'Takeda Adjusted'!H10/'Takeda Adjusted'!H9</f>
        <v>-0.92445705589007132</v>
      </c>
      <c r="I24" s="88">
        <f>'Takeda Adjusted'!I10/'Takeda Adjusted'!I9</f>
        <v>-0.83390471371679609</v>
      </c>
      <c r="J24" s="88">
        <f>'Takeda Adjusted'!J10/'Takeda Adjusted'!J9</f>
        <v>-0.85781078964993285</v>
      </c>
      <c r="K24" s="88">
        <f>'Takeda Adjusted'!K10/'Takeda Adjusted'!K9</f>
        <v>-0.88469167804316173</v>
      </c>
      <c r="L24" s="9"/>
      <c r="M24" s="9"/>
      <c r="N24" s="9"/>
      <c r="O24" s="9"/>
      <c r="P24" s="9"/>
    </row>
    <row r="25" spans="2:16" x14ac:dyDescent="0.45">
      <c r="B25" s="6" t="s">
        <v>256</v>
      </c>
      <c r="C25" s="13"/>
      <c r="D25" s="91"/>
      <c r="E25" s="91">
        <f>'Takeda Adjusted'!E13/'Takeda Adjusted'!E9</f>
        <v>3.8327503681885124E-2</v>
      </c>
      <c r="F25" s="91">
        <f>'Takeda Adjusted'!F13/'Takeda Adjusted'!F9</f>
        <v>-4.3053946977646231E-2</v>
      </c>
      <c r="G25" s="91">
        <f>'Takeda Adjusted'!G13/'Takeda Adjusted'!G9</f>
        <v>-0.11111021482283479</v>
      </c>
      <c r="H25" s="91">
        <f>'Takeda Adjusted'!H13/'Takeda Adjusted'!H9</f>
        <v>2.2586010670211605E-2</v>
      </c>
      <c r="I25" s="91">
        <f>'Takeda Adjusted'!I13/'Takeda Adjusted'!I9</f>
        <v>6.5958241143035928E-3</v>
      </c>
      <c r="J25" s="91">
        <f>'Takeda Adjusted'!J13/'Takeda Adjusted'!J9</f>
        <v>-4.9250954022435879E-2</v>
      </c>
      <c r="K25" s="91">
        <f>'Takeda Adjusted'!K13/'Takeda Adjusted'!K9</f>
        <v>-4.4621416858719842E-2</v>
      </c>
      <c r="L25" s="13"/>
      <c r="M25" s="13"/>
      <c r="N25" s="13"/>
      <c r="O25" s="13"/>
      <c r="P25" s="13"/>
    </row>
    <row r="26" spans="2:16" x14ac:dyDescent="0.45">
      <c r="B26" s="6" t="s">
        <v>375</v>
      </c>
      <c r="C26" s="9"/>
      <c r="D26" s="88"/>
      <c r="E26" s="88">
        <f t="shared" ref="E26:K26" si="4">SUM(E23:E25)</f>
        <v>0.14448085419734916</v>
      </c>
      <c r="F26" s="88">
        <f t="shared" si="4"/>
        <v>9.7279767829191427E-2</v>
      </c>
      <c r="G26" s="88">
        <f t="shared" si="4"/>
        <v>2.7259849849013196E-2</v>
      </c>
      <c r="H26" s="88">
        <f t="shared" si="4"/>
        <v>9.8128954780140276E-2</v>
      </c>
      <c r="I26" s="88">
        <f t="shared" si="4"/>
        <v>0.17269111039750751</v>
      </c>
      <c r="J26" s="88">
        <f t="shared" si="4"/>
        <v>9.293825632763128E-2</v>
      </c>
      <c r="K26" s="88">
        <f t="shared" si="4"/>
        <v>7.0686905098118424E-2</v>
      </c>
      <c r="L26" s="9"/>
      <c r="M26" s="9"/>
      <c r="N26" s="9"/>
      <c r="O26" s="9"/>
      <c r="P26" s="9"/>
    </row>
    <row r="27" spans="2:16" x14ac:dyDescent="0.45">
      <c r="B27" s="6" t="s">
        <v>376</v>
      </c>
      <c r="C27" s="9"/>
      <c r="D27" s="88"/>
      <c r="E27" s="88">
        <f>('Takeda Adjusted'!E12+'Takeda Adjusted'!E14)/'Takeda Adjusted'!E9</f>
        <v>-5.9755579472074317E-3</v>
      </c>
      <c r="F27" s="88">
        <f>('Takeda Adjusted'!F12+'Takeda Adjusted'!F14)/'Takeda Adjusted'!F9</f>
        <v>-1.3962574134720849E-2</v>
      </c>
      <c r="G27" s="88">
        <f>('Takeda Adjusted'!G12+'Takeda Adjusted'!G14)/'Takeda Adjusted'!G9</f>
        <v>6.0876779263635255E-3</v>
      </c>
      <c r="H27" s="88">
        <f>('Takeda Adjusted'!H12+'Takeda Adjusted'!H14)/'Takeda Adjusted'!H9</f>
        <v>5.9704775716049137E-3</v>
      </c>
      <c r="I27" s="88">
        <f>('Takeda Adjusted'!I12+'Takeda Adjusted'!I14)/'Takeda Adjusted'!I9</f>
        <v>8.1765609771838779E-4</v>
      </c>
      <c r="J27" s="88">
        <f>('Takeda Adjusted'!J12+'Takeda Adjusted'!J14)/'Takeda Adjusted'!J9</f>
        <v>3.0880291847566617E-3</v>
      </c>
      <c r="K27" s="88">
        <f>('Takeda Adjusted'!K12+'Takeda Adjusted'!K14)/'Takeda Adjusted'!K9</f>
        <v>4.7132968691437271E-3</v>
      </c>
      <c r="L27" s="9"/>
      <c r="M27" s="9"/>
      <c r="N27" s="9"/>
      <c r="O27" s="9"/>
      <c r="P27" s="9"/>
    </row>
    <row r="28" spans="2:16" x14ac:dyDescent="0.45">
      <c r="B28" s="6" t="s">
        <v>258</v>
      </c>
      <c r="C28" s="9"/>
      <c r="D28" s="88"/>
      <c r="E28" s="88">
        <f>'Takeda Adjusted'!E15/'Takeda Adjusted'!E9</f>
        <v>-1.3955335901212189E-2</v>
      </c>
      <c r="F28" s="88">
        <f>'Takeda Adjusted'!F15/'Takeda Adjusted'!F9</f>
        <v>-6.0040188249528307E-3</v>
      </c>
      <c r="G28" s="88">
        <f>'Takeda Adjusted'!G15/'Takeda Adjusted'!G9</f>
        <v>-4.0997034094140093E-2</v>
      </c>
      <c r="H28" s="88">
        <f>'Takeda Adjusted'!H15/'Takeda Adjusted'!H9</f>
        <v>-6.7029685505246142E-2</v>
      </c>
      <c r="I28" s="88">
        <f>'Takeda Adjusted'!I15/'Takeda Adjusted'!I9</f>
        <v>-3.2857571529551044E-2</v>
      </c>
      <c r="J28" s="88">
        <f>'Takeda Adjusted'!J15/'Takeda Adjusted'!J9</f>
        <v>-2.6785409801972561E-2</v>
      </c>
      <c r="K28" s="88">
        <f>'Takeda Adjusted'!K15/'Takeda Adjusted'!K9</f>
        <v>-3.984578037360488E-2</v>
      </c>
      <c r="L28" s="9"/>
      <c r="M28" s="9"/>
      <c r="N28" s="9"/>
      <c r="O28" s="9"/>
      <c r="P28" s="9"/>
    </row>
    <row r="29" spans="2:16" x14ac:dyDescent="0.45">
      <c r="B29" s="6" t="s">
        <v>260</v>
      </c>
      <c r="C29" s="17"/>
      <c r="D29" s="91"/>
      <c r="E29" s="91">
        <f>'Takeda Adjusted'!E17/'Takeda Adjusted'!E9</f>
        <v>-1.9181063781579247E-2</v>
      </c>
      <c r="F29" s="91">
        <f>'Takeda Adjusted'!F17/'Takeda Adjusted'!F9</f>
        <v>-1.5339888355892608E-2</v>
      </c>
      <c r="G29" s="91">
        <f>'Takeda Adjusted'!G17/'Takeda Adjusted'!G9</f>
        <v>1.1806478779598135E-2</v>
      </c>
      <c r="H29" s="91">
        <f>'Takeda Adjusted'!H17/'Takeda Adjusted'!H9</f>
        <v>1.9377716242853969E-2</v>
      </c>
      <c r="I29" s="91">
        <f>'Takeda Adjusted'!I17/'Takeda Adjusted'!I9</f>
        <v>-1.4082833068815899E-2</v>
      </c>
      <c r="J29" s="91">
        <f>'Takeda Adjusted'!J17/'Takeda Adjusted'!J9</f>
        <v>3.5464868605981188E-4</v>
      </c>
      <c r="K29" s="91">
        <f>'Takeda Adjusted'!K17/'Takeda Adjusted'!K9</f>
        <v>7.2196476720572493E-3</v>
      </c>
      <c r="L29" s="13"/>
      <c r="M29" s="13"/>
      <c r="N29" s="13"/>
      <c r="O29" s="13"/>
      <c r="P29" s="13"/>
    </row>
    <row r="30" spans="2:16" x14ac:dyDescent="0.45">
      <c r="B30" s="6" t="s">
        <v>323</v>
      </c>
      <c r="C30" s="15"/>
      <c r="D30" s="88"/>
      <c r="E30" s="88">
        <f t="shared" ref="E30:K30" si="5">SUM(E26:E29)</f>
        <v>0.10536889656735028</v>
      </c>
      <c r="F30" s="88">
        <f t="shared" si="5"/>
        <v>6.1973286513625138E-2</v>
      </c>
      <c r="G30" s="88">
        <f t="shared" si="5"/>
        <v>4.1569724608347645E-3</v>
      </c>
      <c r="H30" s="88">
        <f t="shared" si="5"/>
        <v>5.6447463089353021E-2</v>
      </c>
      <c r="I30" s="88">
        <f t="shared" si="5"/>
        <v>0.12656836189685897</v>
      </c>
      <c r="J30" s="88">
        <f t="shared" si="5"/>
        <v>6.9595524396475178E-2</v>
      </c>
      <c r="K30" s="88">
        <f t="shared" si="5"/>
        <v>4.2774069265714518E-2</v>
      </c>
      <c r="L30" s="9"/>
      <c r="M30" s="9"/>
      <c r="N30" s="9"/>
      <c r="O30" s="9"/>
      <c r="P30" s="9"/>
    </row>
    <row r="31" spans="2:16" ht="28.5" x14ac:dyDescent="0.45">
      <c r="B31" s="3" t="s">
        <v>377</v>
      </c>
      <c r="C31" s="15"/>
      <c r="D31" s="88"/>
      <c r="E31" s="88"/>
      <c r="F31" s="88"/>
      <c r="G31" s="88"/>
      <c r="H31" s="88"/>
      <c r="I31" s="88"/>
      <c r="J31" s="88"/>
      <c r="K31" s="88"/>
      <c r="L31" s="9"/>
      <c r="M31" s="9"/>
      <c r="N31" s="9"/>
      <c r="O31" s="9"/>
      <c r="P31" s="9"/>
    </row>
    <row r="32" spans="2:16" x14ac:dyDescent="0.45">
      <c r="B32" s="6" t="s">
        <v>378</v>
      </c>
      <c r="C32" s="9"/>
      <c r="D32" s="88"/>
      <c r="E32" s="88">
        <f>'Takeda Adjusted'!E25/'Takeda Adjusted'!E9</f>
        <v>-0.29424627563158484</v>
      </c>
      <c r="F32" s="88">
        <f>'Takeda Adjusted'!F25/'Takeda Adjusted'!F9</f>
        <v>-0.26276717382570319</v>
      </c>
      <c r="G32" s="88">
        <f>'Takeda Adjusted'!G25/'Takeda Adjusted'!G9</f>
        <v>-0.2789399348935358</v>
      </c>
      <c r="H32" s="88">
        <f>'Takeda Adjusted'!H25/'Takeda Adjusted'!H9</f>
        <v>-0.36026431770034617</v>
      </c>
      <c r="I32" s="88">
        <f>'Takeda Adjusted'!I25/'Takeda Adjusted'!I9</f>
        <v>-0.30934126300055026</v>
      </c>
      <c r="J32" s="88">
        <f>'Takeda Adjusted'!J25/'Takeda Adjusted'!J9</f>
        <v>-0.32189004898414636</v>
      </c>
      <c r="K32" s="88">
        <f>'Takeda Adjusted'!K25/'Takeda Adjusted'!K9</f>
        <v>-0.32238910577021523</v>
      </c>
      <c r="L32" s="9"/>
      <c r="M32" s="9"/>
      <c r="N32" s="9"/>
      <c r="O32" s="9"/>
      <c r="P32" s="9"/>
    </row>
    <row r="33" spans="2:16" x14ac:dyDescent="0.45">
      <c r="B33" s="6" t="s">
        <v>379</v>
      </c>
      <c r="C33" s="9"/>
      <c r="D33" s="88"/>
      <c r="E33" s="88">
        <f>'Takeda Adjusted'!E26/'Takeda Adjusted'!E9</f>
        <v>-0.35437485838903365</v>
      </c>
      <c r="F33" s="88">
        <f>'Takeda Adjusted'!F26/'Takeda Adjusted'!F9</f>
        <v>-0.34163458311331107</v>
      </c>
      <c r="G33" s="88">
        <f>'Takeda Adjusted'!G26/'Takeda Adjusted'!G9</f>
        <v>-0.29830718745254042</v>
      </c>
      <c r="H33" s="88">
        <f>'Takeda Adjusted'!H26/'Takeda Adjusted'!H9</f>
        <v>-0.27989897988484147</v>
      </c>
      <c r="I33" s="88">
        <f>'Takeda Adjusted'!I26/'Takeda Adjusted'!I9</f>
        <v>-0.25884979096748656</v>
      </c>
      <c r="J33" s="88">
        <f>'Takeda Adjusted'!J26/'Takeda Adjusted'!J9</f>
        <v>-0.24486772687173444</v>
      </c>
      <c r="K33" s="88">
        <f>'Takeda Adjusted'!K26/'Takeda Adjusted'!K9</f>
        <v>-0.24545310880645277</v>
      </c>
      <c r="L33" s="9"/>
      <c r="M33" s="9"/>
      <c r="N33" s="9"/>
      <c r="O33" s="9"/>
      <c r="P33" s="9"/>
    </row>
    <row r="34" spans="2:16" ht="28.5" x14ac:dyDescent="0.45">
      <c r="B34" s="3" t="s">
        <v>380</v>
      </c>
      <c r="C34" s="9"/>
      <c r="D34" s="88"/>
      <c r="E34" s="88"/>
      <c r="F34" s="88"/>
      <c r="G34" s="88"/>
      <c r="H34" s="88"/>
      <c r="I34" s="88"/>
      <c r="J34" s="88"/>
      <c r="K34" s="88"/>
      <c r="L34" s="9"/>
      <c r="M34" s="9"/>
      <c r="N34" s="9"/>
      <c r="O34" s="9"/>
      <c r="P34" s="9"/>
    </row>
    <row r="35" spans="2:16" x14ac:dyDescent="0.45">
      <c r="B35" s="6" t="s">
        <v>381</v>
      </c>
      <c r="C35" s="9"/>
      <c r="D35" s="88"/>
      <c r="E35" s="88" t="s">
        <v>56</v>
      </c>
      <c r="F35" s="88" t="s">
        <v>56</v>
      </c>
      <c r="G35" s="88" t="s">
        <v>56</v>
      </c>
      <c r="H35" s="88" t="s">
        <v>56</v>
      </c>
      <c r="I35" s="88" t="s">
        <v>56</v>
      </c>
      <c r="J35" s="88" t="s">
        <v>56</v>
      </c>
      <c r="K35" s="88" t="s">
        <v>56</v>
      </c>
      <c r="L35" s="9"/>
      <c r="M35" s="9"/>
      <c r="N35" s="9"/>
      <c r="O35" s="9"/>
      <c r="P35" s="9"/>
    </row>
    <row r="36" spans="2:16" x14ac:dyDescent="0.45">
      <c r="B36" s="6" t="s">
        <v>382</v>
      </c>
      <c r="C36" s="9"/>
      <c r="D36" s="88"/>
      <c r="E36" s="88" t="s">
        <v>56</v>
      </c>
      <c r="F36" s="88" t="s">
        <v>56</v>
      </c>
      <c r="G36" s="88" t="s">
        <v>56</v>
      </c>
      <c r="H36" s="88" t="s">
        <v>56</v>
      </c>
      <c r="I36" s="88" t="s">
        <v>56</v>
      </c>
      <c r="J36" s="88" t="s">
        <v>56</v>
      </c>
      <c r="K36" s="88" t="s">
        <v>56</v>
      </c>
      <c r="L36" s="9"/>
      <c r="M36" s="9"/>
      <c r="N36" s="9"/>
      <c r="O36" s="9"/>
      <c r="P36" s="9"/>
    </row>
    <row r="37" spans="2:16" x14ac:dyDescent="0.45">
      <c r="B37" s="6" t="s">
        <v>383</v>
      </c>
      <c r="C37" s="9"/>
      <c r="D37" s="88"/>
      <c r="E37" s="97">
        <f>'Takeda Standardized'!E26/'Takeda Standardized'!E5</f>
        <v>8.9765067406819984E-2</v>
      </c>
      <c r="F37" s="97">
        <f>'Takeda Standardized'!F26/'Takeda Standardized'!F5</f>
        <v>2.9251391234431039E-2</v>
      </c>
      <c r="G37" s="97">
        <f>'Takeda Standardized'!G26/'Takeda Standardized'!G5</f>
        <v>4.5553227593346991E-2</v>
      </c>
      <c r="H37" s="97">
        <f>'Takeda Standardized'!H26/'Takeda Standardized'!H5</f>
        <v>3.9544709221796127E-2</v>
      </c>
      <c r="I37" s="97">
        <f>'Takeda Standardized'!I26/'Takeda Standardized'!I5</f>
        <v>3.3936342687839995E-2</v>
      </c>
      <c r="J37" s="97">
        <f>'Takeda Standardized'!J26/'Takeda Standardized'!J5</f>
        <v>4.163222672693994E-2</v>
      </c>
      <c r="K37" s="97">
        <f>'Takeda Standardized'!K26/'Takeda Standardized'!K5</f>
        <v>1.2439044749042127E-2</v>
      </c>
      <c r="L37" s="9"/>
      <c r="M37" s="9"/>
      <c r="N37" s="9"/>
      <c r="O37" s="9"/>
      <c r="P37" s="9"/>
    </row>
    <row r="38" spans="2:16" ht="28.5" x14ac:dyDescent="0.45">
      <c r="B38" s="6" t="s">
        <v>384</v>
      </c>
      <c r="C38" s="9"/>
      <c r="D38" s="88"/>
      <c r="E38" s="97"/>
      <c r="F38" s="97">
        <f>'Takeda Standardized'!D26/SUM('Takeda Standardized'!D35:D36)</f>
        <v>2.8909609407701514E-2</v>
      </c>
      <c r="G38" s="97">
        <f>'Takeda Standardized'!E26/SUM('Takeda Standardized'!E35:E36)</f>
        <v>6.2306047687615898E-2</v>
      </c>
      <c r="H38" s="97">
        <f>'Takeda Standardized'!F26/SUM('Takeda Standardized'!F35:F36)</f>
        <v>1.8164494761028285E-2</v>
      </c>
      <c r="I38" s="97">
        <f>'Takeda Standardized'!G26/SUM('Takeda Standardized'!G35:G36)</f>
        <v>1.4784903992370259E-2</v>
      </c>
      <c r="J38" s="97">
        <f>'Takeda Standardized'!H26/SUM('Takeda Standardized'!H35:H36)</f>
        <v>1.4085774630371353E-2</v>
      </c>
      <c r="K38" s="97">
        <f>'Takeda Standardized'!I26/SUM('Takeda Standardized'!I35:I36)</f>
        <v>1.2150902785924388E-2</v>
      </c>
      <c r="L38" s="9"/>
      <c r="M38" s="9"/>
      <c r="N38" s="9"/>
      <c r="O38" s="9"/>
      <c r="P38" s="9"/>
    </row>
    <row r="39" spans="2:16" x14ac:dyDescent="0.45">
      <c r="B39" s="6" t="s">
        <v>10</v>
      </c>
      <c r="C39" s="9"/>
      <c r="D39" s="88"/>
      <c r="E39" s="12"/>
      <c r="F39" s="12">
        <f t="shared" ref="F39:K39" si="6">1/F38</f>
        <v>34.590574569769188</v>
      </c>
      <c r="G39" s="12">
        <f t="shared" si="6"/>
        <v>16.049806352887352</v>
      </c>
      <c r="H39" s="12">
        <f t="shared" si="6"/>
        <v>55.052453324795387</v>
      </c>
      <c r="I39" s="12">
        <f t="shared" si="6"/>
        <v>67.63655689046405</v>
      </c>
      <c r="J39" s="12">
        <f t="shared" si="6"/>
        <v>70.993610663330358</v>
      </c>
      <c r="K39" s="12">
        <f t="shared" si="6"/>
        <v>82.298411699779251</v>
      </c>
      <c r="L39" s="9"/>
      <c r="M39" s="9"/>
      <c r="N39" s="9"/>
      <c r="O39" s="9"/>
      <c r="P39" s="9"/>
    </row>
    <row r="40" spans="2:16" x14ac:dyDescent="0.45">
      <c r="B40" s="6" t="s">
        <v>8</v>
      </c>
      <c r="C40" s="9"/>
      <c r="D40" s="88"/>
      <c r="E40" s="97">
        <f>'Takeda Standardized'!D35/SUM('Takeda Standardized'!D35:D36)</f>
        <v>0.26356572625503799</v>
      </c>
      <c r="F40" s="97">
        <f>'Takeda Standardized'!E35/SUM('Takeda Standardized'!E35:E36)</f>
        <v>0.21812050966747062</v>
      </c>
      <c r="G40" s="97">
        <f>'Takeda Standardized'!F35/SUM('Takeda Standardized'!F35:F36)</f>
        <v>0.24994068359936739</v>
      </c>
      <c r="H40" s="97">
        <f>'Takeda Standardized'!G35/SUM('Takeda Standardized'!G35:G36)</f>
        <v>0.15609811270848387</v>
      </c>
      <c r="I40" s="97">
        <f>'Takeda Standardized'!H35/SUM('Takeda Standardized'!H35:H36)</f>
        <v>0.18591616117658888</v>
      </c>
      <c r="J40" s="97">
        <f>'Takeda Standardized'!I35/SUM('Takeda Standardized'!I35:I36)</f>
        <v>0.1847240996030155</v>
      </c>
      <c r="K40" s="97">
        <f>'Takeda Standardized'!J35/SUM('Takeda Standardized'!J35:J36)</f>
        <v>0.19112821825796145</v>
      </c>
      <c r="L40" s="9"/>
      <c r="M40" s="9"/>
      <c r="N40" s="9"/>
      <c r="O40" s="9"/>
      <c r="P40" s="9"/>
    </row>
    <row r="41" spans="2:16" x14ac:dyDescent="0.45">
      <c r="B41" s="6" t="s">
        <v>385</v>
      </c>
      <c r="C41" s="9"/>
      <c r="D41" s="88"/>
      <c r="E41" s="88">
        <f>'Takeda Standardized'!E10/'Takeda Standardized'!E5</f>
        <v>7.256216721422906E-3</v>
      </c>
      <c r="F41" s="88">
        <f>'Takeda Standardized'!F10/'Takeda Standardized'!F5</f>
        <v>-2.3290614690859027E-2</v>
      </c>
      <c r="G41" s="88">
        <f>'Takeda Standardized'!G10/'Takeda Standardized'!G5</f>
        <v>-8.2639621913439178E-3</v>
      </c>
      <c r="H41" s="88">
        <f>'Takeda Standardized'!H10/'Takeda Standardized'!H5</f>
        <v>-6.5324742716297082E-3</v>
      </c>
      <c r="I41" s="88">
        <f>'Takeda Standardized'!I10/'Takeda Standardized'!I5</f>
        <v>-2.8564961295526252E-4</v>
      </c>
      <c r="J41" s="88">
        <f>'Takeda Standardized'!J10/'Takeda Standardized'!J5</f>
        <v>-1.7663321485155488E-2</v>
      </c>
      <c r="K41" s="88">
        <f>'Takeda Standardized'!K10/'Takeda Standardized'!K5</f>
        <v>-2.8878045125662156E-2</v>
      </c>
      <c r="L41" s="9"/>
      <c r="M41" s="9"/>
      <c r="N41" s="9"/>
      <c r="O41" s="9"/>
      <c r="P41" s="9"/>
    </row>
    <row r="42" spans="2:16" x14ac:dyDescent="0.45">
      <c r="B42" s="6"/>
      <c r="C42" s="9"/>
      <c r="D42" s="88"/>
      <c r="E42" s="88"/>
      <c r="F42" s="88"/>
      <c r="G42" s="88"/>
      <c r="H42" s="88"/>
      <c r="I42" s="88"/>
      <c r="J42" s="88"/>
      <c r="K42" s="88"/>
      <c r="L42" s="9"/>
      <c r="M42" s="9"/>
      <c r="N42" s="9"/>
      <c r="O42" s="9"/>
      <c r="P42" s="9"/>
    </row>
    <row r="43" spans="2:16" x14ac:dyDescent="0.45">
      <c r="B43" s="5" t="s">
        <v>25</v>
      </c>
      <c r="C43" s="9"/>
      <c r="D43" s="88"/>
      <c r="E43" s="88"/>
      <c r="F43" s="88"/>
      <c r="G43" s="88"/>
      <c r="H43" s="88"/>
      <c r="I43" s="88"/>
      <c r="J43" s="88"/>
      <c r="K43" s="88"/>
      <c r="L43" s="9"/>
      <c r="M43" s="9"/>
      <c r="N43" s="9"/>
      <c r="O43" s="9"/>
      <c r="P43" s="9"/>
    </row>
    <row r="44" spans="2:16" x14ac:dyDescent="0.45">
      <c r="B44" s="6" t="s">
        <v>26</v>
      </c>
      <c r="C44" s="9"/>
      <c r="D44" s="16"/>
      <c r="E44" s="16">
        <f t="shared" ref="E44:K44" si="7">1+E32</f>
        <v>0.7057537243684151</v>
      </c>
      <c r="F44" s="16">
        <f t="shared" si="7"/>
        <v>0.73723282617429686</v>
      </c>
      <c r="G44" s="16">
        <f>1+G32</f>
        <v>0.72106006510646425</v>
      </c>
      <c r="H44" s="16">
        <f t="shared" si="7"/>
        <v>0.63973568229965383</v>
      </c>
      <c r="I44" s="16">
        <f t="shared" si="7"/>
        <v>0.69065873699944969</v>
      </c>
      <c r="J44" s="16">
        <f t="shared" si="7"/>
        <v>0.6781099510158537</v>
      </c>
      <c r="K44" s="16">
        <f t="shared" si="7"/>
        <v>0.67761089422978471</v>
      </c>
      <c r="L44" s="9"/>
      <c r="M44" s="9"/>
      <c r="N44" s="9"/>
      <c r="O44" s="9"/>
      <c r="P44" s="9"/>
    </row>
    <row r="45" spans="2:16" x14ac:dyDescent="0.45">
      <c r="B45" s="6" t="s">
        <v>27</v>
      </c>
      <c r="C45" s="9"/>
      <c r="D45" s="88"/>
      <c r="E45" s="93">
        <f t="shared" ref="E45:K45" si="8">SUM(E26:E27)-E37</f>
        <v>4.8740228843321728E-2</v>
      </c>
      <c r="F45" s="93">
        <f t="shared" si="8"/>
        <v>5.4065802460039537E-2</v>
      </c>
      <c r="G45" s="93">
        <f t="shared" si="8"/>
        <v>-1.2205699817970268E-2</v>
      </c>
      <c r="H45" s="93">
        <f t="shared" si="8"/>
        <v>6.455472312994906E-2</v>
      </c>
      <c r="I45" s="93">
        <f t="shared" si="8"/>
        <v>0.13957242380738591</v>
      </c>
      <c r="J45" s="93">
        <f t="shared" si="8"/>
        <v>5.4394058785448E-2</v>
      </c>
      <c r="K45" s="93">
        <f t="shared" si="8"/>
        <v>6.2961157218220015E-2</v>
      </c>
      <c r="L45" s="9"/>
      <c r="M45" s="9"/>
      <c r="N45" s="9"/>
      <c r="O45" s="9"/>
      <c r="P45" s="9"/>
    </row>
    <row r="46" spans="2:16" x14ac:dyDescent="0.45">
      <c r="D46" s="89"/>
      <c r="E46" s="89"/>
      <c r="F46" s="89"/>
      <c r="G46" s="89"/>
      <c r="H46" s="89"/>
      <c r="I46" s="89"/>
      <c r="J46" s="89"/>
      <c r="K46" s="89"/>
    </row>
    <row r="47" spans="2:16" x14ac:dyDescent="0.45">
      <c r="B47" s="4" t="s">
        <v>28</v>
      </c>
      <c r="D47" s="89"/>
      <c r="E47" s="89"/>
      <c r="F47" s="89"/>
      <c r="G47" s="89"/>
      <c r="H47" s="89"/>
      <c r="I47" s="89"/>
      <c r="J47" s="89"/>
      <c r="K47" s="89"/>
    </row>
    <row r="48" spans="2:16" x14ac:dyDescent="0.45">
      <c r="B48" s="7" t="s">
        <v>369</v>
      </c>
      <c r="C48" s="8"/>
      <c r="D48" s="90"/>
      <c r="E48" s="90"/>
      <c r="F48" s="90"/>
      <c r="G48" s="90"/>
      <c r="H48" s="90"/>
      <c r="I48" s="90"/>
      <c r="J48" s="90"/>
      <c r="K48" s="90"/>
      <c r="L48" s="8"/>
      <c r="M48" s="8"/>
      <c r="N48" s="8"/>
      <c r="O48" s="8"/>
      <c r="P48" s="8"/>
    </row>
    <row r="49" spans="2:16" x14ac:dyDescent="0.45">
      <c r="B49" s="6" t="s">
        <v>386</v>
      </c>
      <c r="C49" s="9"/>
      <c r="D49" s="16"/>
      <c r="E49" s="16">
        <f>AVERAGE('Takeda Adjusted'!D124:E124)/'Takeda Adjusted'!E96</f>
        <v>0.42479916024696951</v>
      </c>
      <c r="F49" s="16">
        <f>AVERAGE('Takeda Adjusted'!E124:F124)/'Takeda Adjusted'!F96</f>
        <v>0.82149081203955854</v>
      </c>
      <c r="G49" s="16">
        <f>AVERAGE('Takeda Adjusted'!F124:G124)/'Takeda Adjusted'!G96</f>
        <v>0.60683722098582615</v>
      </c>
      <c r="H49" s="16">
        <f>AVERAGE('Takeda Adjusted'!G124:H124)/'Takeda Adjusted'!H96</f>
        <v>0.55689159347395745</v>
      </c>
      <c r="I49" s="16">
        <f>AVERAGE('Takeda Adjusted'!H124:I124)/'Takeda Adjusted'!I96</f>
        <v>0.49822313467450302</v>
      </c>
      <c r="J49" s="16">
        <f>AVERAGE('Takeda Adjusted'!I124:J124)/'Takeda Adjusted'!J96</f>
        <v>0.42504585188221666</v>
      </c>
      <c r="K49" s="16">
        <f>AVERAGE('Takeda Adjusted'!J124:K124)/'Takeda Adjusted'!K96</f>
        <v>0.44177958781293236</v>
      </c>
      <c r="L49" s="9"/>
      <c r="M49" s="9"/>
      <c r="N49" s="9"/>
      <c r="O49" s="9"/>
      <c r="P49" s="9"/>
    </row>
    <row r="50" spans="2:16" x14ac:dyDescent="0.45">
      <c r="B50" s="6" t="s">
        <v>387</v>
      </c>
      <c r="C50" s="9"/>
      <c r="D50" s="16"/>
      <c r="E50" s="16">
        <f>AVERAGE('Takeda Adjusted'!D130:E130)/'Takeda Adjusted'!E96</f>
        <v>0.90838627223292168</v>
      </c>
      <c r="F50" s="16">
        <f>AVERAGE('Takeda Adjusted'!E130:F130)/'Takeda Adjusted'!F96</f>
        <v>1.1551209287593291</v>
      </c>
      <c r="G50" s="16">
        <f>AVERAGE('Takeda Adjusted'!F130:G130)/'Takeda Adjusted'!G96</f>
        <v>1.5598008878003429</v>
      </c>
      <c r="H50" s="16">
        <f>AVERAGE('Takeda Adjusted'!G130:H130)/'Takeda Adjusted'!H96</f>
        <v>2.411091319040545</v>
      </c>
      <c r="I50" s="16">
        <f>AVERAGE('Takeda Adjusted'!H130:I130)/'Takeda Adjusted'!I96</f>
        <v>2.2273110733649415</v>
      </c>
      <c r="J50" s="16">
        <f>AVERAGE('Takeda Adjusted'!I130:J130)/'Takeda Adjusted'!J96</f>
        <v>2.1070379000996229</v>
      </c>
      <c r="K50" s="16">
        <f>AVERAGE('Takeda Adjusted'!J130:K130)/'Takeda Adjusted'!K96</f>
        <v>2.3060140453264291</v>
      </c>
      <c r="L50" s="9"/>
      <c r="M50" s="9"/>
      <c r="N50" s="9"/>
      <c r="O50" s="9"/>
      <c r="P50" s="9"/>
    </row>
    <row r="51" spans="2:16" x14ac:dyDescent="0.45">
      <c r="B51" s="6" t="s">
        <v>389</v>
      </c>
      <c r="C51" s="9"/>
      <c r="D51" s="16"/>
      <c r="E51" s="16">
        <f>AVERAGE('Takeda Adjusted'!D126:E126)/'Takeda Adjusted'!E96</f>
        <v>0.30772880791888524</v>
      </c>
      <c r="F51" s="16">
        <f>AVERAGE('Takeda Adjusted'!E126:F126)/'Takeda Adjusted'!F96</f>
        <v>0.36361439328481765</v>
      </c>
      <c r="G51" s="16">
        <f>AVERAGE('Takeda Adjusted'!F126:G126)/'Takeda Adjusted'!G96</f>
        <v>0.34415183019532131</v>
      </c>
      <c r="H51" s="16">
        <f>AVERAGE('Takeda Adjusted'!G126:H126)/'Takeda Adjusted'!H96</f>
        <v>0.50376395453562006</v>
      </c>
      <c r="I51" s="16">
        <f>AVERAGE('Takeda Adjusted'!H126:I126)/'Takeda Adjusted'!I96</f>
        <v>0.51481488043451096</v>
      </c>
      <c r="J51" s="16">
        <f>AVERAGE('Takeda Adjusted'!I126:J126)/'Takeda Adjusted'!J96</f>
        <v>0.4883295949052463</v>
      </c>
      <c r="K51" s="16">
        <f>AVERAGE('Takeda Adjusted'!J126:K126)/'Takeda Adjusted'!K96</f>
        <v>0.51062173946805112</v>
      </c>
      <c r="L51" s="9"/>
      <c r="M51" s="9"/>
      <c r="N51" s="9"/>
      <c r="O51" s="9"/>
      <c r="P51" s="9"/>
    </row>
    <row r="52" spans="2:16" x14ac:dyDescent="0.45">
      <c r="B52" s="6" t="s">
        <v>390</v>
      </c>
      <c r="C52" s="11"/>
      <c r="D52" s="88"/>
      <c r="E52" s="88">
        <f t="shared" ref="E52:K54" si="9">1/E49</f>
        <v>2.3540536177581437</v>
      </c>
      <c r="F52" s="88">
        <f t="shared" si="9"/>
        <v>1.2172990681627311</v>
      </c>
      <c r="G52" s="88">
        <f t="shared" si="9"/>
        <v>1.64788837173743</v>
      </c>
      <c r="H52" s="88">
        <f t="shared" si="9"/>
        <v>1.7956816222738765</v>
      </c>
      <c r="I52" s="88">
        <f t="shared" si="9"/>
        <v>2.0071328093853285</v>
      </c>
      <c r="J52" s="88">
        <f t="shared" si="9"/>
        <v>2.3526873526038017</v>
      </c>
      <c r="K52" s="88">
        <f t="shared" si="9"/>
        <v>2.2635722147113801</v>
      </c>
      <c r="L52" s="11"/>
      <c r="M52" s="11"/>
      <c r="N52" s="11"/>
      <c r="O52" s="11"/>
      <c r="P52" s="11"/>
    </row>
    <row r="53" spans="2:16" x14ac:dyDescent="0.45">
      <c r="B53" s="6" t="s">
        <v>391</v>
      </c>
      <c r="C53" s="11"/>
      <c r="D53" s="88"/>
      <c r="E53" s="88">
        <f t="shared" si="9"/>
        <v>1.1008532719697326</v>
      </c>
      <c r="F53" s="88">
        <f t="shared" si="9"/>
        <v>0.86571022574585454</v>
      </c>
      <c r="G53" s="88">
        <f t="shared" si="9"/>
        <v>0.6411074694349076</v>
      </c>
      <c r="H53" s="88">
        <f t="shared" si="9"/>
        <v>0.41474994833374207</v>
      </c>
      <c r="I53" s="88">
        <f t="shared" si="9"/>
        <v>0.44897186206201362</v>
      </c>
      <c r="J53" s="88">
        <f t="shared" si="9"/>
        <v>0.47459991106601307</v>
      </c>
      <c r="K53" s="88">
        <f t="shared" si="9"/>
        <v>0.43364870306262354</v>
      </c>
      <c r="L53" s="11"/>
      <c r="M53" s="11"/>
      <c r="N53" s="11"/>
      <c r="O53" s="11"/>
      <c r="P53" s="11"/>
    </row>
    <row r="54" spans="2:16" x14ac:dyDescent="0.45">
      <c r="B54" s="6" t="s">
        <v>29</v>
      </c>
      <c r="C54" s="11"/>
      <c r="D54" s="88"/>
      <c r="E54" s="88">
        <f t="shared" si="9"/>
        <v>3.2496145120855622</v>
      </c>
      <c r="F54" s="88">
        <f t="shared" si="9"/>
        <v>2.7501661608227486</v>
      </c>
      <c r="G54" s="88">
        <f t="shared" si="9"/>
        <v>2.9056942670694386</v>
      </c>
      <c r="H54" s="88">
        <f t="shared" si="9"/>
        <v>1.9850566738579392</v>
      </c>
      <c r="I54" s="88">
        <f t="shared" si="9"/>
        <v>1.9424457955760448</v>
      </c>
      <c r="J54" s="88">
        <f t="shared" si="9"/>
        <v>2.0477972468452097</v>
      </c>
      <c r="K54" s="88">
        <f t="shared" si="9"/>
        <v>1.9583968380229306</v>
      </c>
      <c r="L54" s="11"/>
      <c r="M54" s="11"/>
      <c r="N54" s="11"/>
      <c r="O54" s="11"/>
      <c r="P54" s="11"/>
    </row>
    <row r="55" spans="2:16" x14ac:dyDescent="0.45">
      <c r="B55" s="6" t="s">
        <v>392</v>
      </c>
      <c r="C55" s="11"/>
      <c r="D55" s="88"/>
      <c r="E55" s="88">
        <f>'Takeda Adjusted'!E96/AVERAGE('Takeda Adjusted'!D119:E119)</f>
        <v>3.6358496963131519</v>
      </c>
      <c r="F55" s="88">
        <f>'Takeda Adjusted'!F96/AVERAGE('Takeda Adjusted'!E119:F119)</f>
        <v>3.4868992962127701</v>
      </c>
      <c r="G55" s="88">
        <f>'Takeda Adjusted'!G96/AVERAGE('Takeda Adjusted'!F119:G119)</f>
        <v>4.9194638153027039</v>
      </c>
      <c r="H55" s="88">
        <f>'Takeda Adjusted'!H96/AVERAGE('Takeda Adjusted'!G119:H119)</f>
        <v>4.0428505037454832</v>
      </c>
      <c r="I55" s="88">
        <f>'Takeda Adjusted'!I96/AVERAGE('Takeda Adjusted'!H119:I119)</f>
        <v>4.5505188251270328</v>
      </c>
      <c r="J55" s="88">
        <f>'Takeda Adjusted'!J96/AVERAGE('Takeda Adjusted'!I119:J119)</f>
        <v>5.4602018757460833</v>
      </c>
      <c r="K55" s="88">
        <f>'Takeda Adjusted'!K96/AVERAGE('Takeda Adjusted'!J119:K119)</f>
        <v>5.7187732403671854</v>
      </c>
      <c r="L55" s="11"/>
      <c r="M55" s="11"/>
      <c r="N55" s="11"/>
      <c r="O55" s="11"/>
      <c r="P55" s="11"/>
    </row>
    <row r="56" spans="2:16" x14ac:dyDescent="0.45">
      <c r="B56" s="6" t="s">
        <v>30</v>
      </c>
      <c r="C56" s="12"/>
      <c r="D56" s="88"/>
      <c r="E56" s="88">
        <f t="shared" ref="E56:K56" si="10">360*(1/E55)</f>
        <v>99.013993995695031</v>
      </c>
      <c r="F56" s="88">
        <f t="shared" si="10"/>
        <v>103.24358962445724</v>
      </c>
      <c r="G56" s="88">
        <f t="shared" si="10"/>
        <v>73.178706768849068</v>
      </c>
      <c r="H56" s="88">
        <f t="shared" si="10"/>
        <v>89.046082625731373</v>
      </c>
      <c r="I56" s="88">
        <f t="shared" si="10"/>
        <v>79.111858193433619</v>
      </c>
      <c r="J56" s="88">
        <f t="shared" si="10"/>
        <v>65.931628205744602</v>
      </c>
      <c r="K56" s="88">
        <f t="shared" si="10"/>
        <v>62.950563848005537</v>
      </c>
      <c r="L56" s="12"/>
      <c r="M56" s="12"/>
      <c r="N56" s="12"/>
      <c r="O56" s="12"/>
      <c r="P56" s="12"/>
    </row>
    <row r="57" spans="2:16" x14ac:dyDescent="0.45">
      <c r="B57" s="6" t="s">
        <v>393</v>
      </c>
      <c r="C57" s="11"/>
      <c r="D57" s="88"/>
      <c r="E57" s="88">
        <f>-'Takeda Adjusted'!E25/AVERAGE('Takeda Adjusted'!D120:E120)</f>
        <v>2.3908149466673301</v>
      </c>
      <c r="F57" s="88">
        <f>-'Takeda Adjusted'!F25/AVERAGE('Takeda Adjusted'!E120:F120)</f>
        <v>2.0862964303411995</v>
      </c>
      <c r="G57" s="88">
        <f>-'Takeda Adjusted'!G25/AVERAGE('Takeda Adjusted'!F120:G120)</f>
        <v>1.7726766243402654</v>
      </c>
      <c r="H57" s="88">
        <f>-'Takeda Adjusted'!H25/AVERAGE('Takeda Adjusted'!G120:H120)</f>
        <v>1.5235028874616208</v>
      </c>
      <c r="I57" s="88">
        <f>-'Takeda Adjusted'!I25/AVERAGE('Takeda Adjusted'!H120:I120)</f>
        <v>1.3704311512214946</v>
      </c>
      <c r="J57" s="88">
        <f>-'Takeda Adjusted'!J25/AVERAGE('Takeda Adjusted'!I120:J120)</f>
        <v>1.4422012434226863</v>
      </c>
      <c r="K57" s="88">
        <f>-'Takeda Adjusted'!K25/AVERAGE('Takeda Adjusted'!J120:K120)</f>
        <v>1.2585180148515702</v>
      </c>
      <c r="L57" s="11"/>
      <c r="M57" s="11"/>
      <c r="N57" s="11"/>
      <c r="O57" s="11"/>
      <c r="P57" s="11"/>
    </row>
    <row r="58" spans="2:16" x14ac:dyDescent="0.45">
      <c r="B58" s="6" t="s">
        <v>31</v>
      </c>
      <c r="C58" s="12"/>
      <c r="D58" s="88"/>
      <c r="E58" s="88">
        <f t="shared" ref="E58:K58" si="11">360*(1/E57)</f>
        <v>150.57627128432546</v>
      </c>
      <c r="F58" s="88">
        <f t="shared" si="11"/>
        <v>172.5545779422747</v>
      </c>
      <c r="G58" s="88">
        <f t="shared" si="11"/>
        <v>203.08272533010958</v>
      </c>
      <c r="H58" s="88">
        <f t="shared" si="11"/>
        <v>236.29755018043505</v>
      </c>
      <c r="I58" s="88">
        <f t="shared" si="11"/>
        <v>262.69105141044429</v>
      </c>
      <c r="J58" s="88">
        <f t="shared" si="11"/>
        <v>249.6184229779434</v>
      </c>
      <c r="K58" s="88">
        <f t="shared" si="11"/>
        <v>286.05073248987895</v>
      </c>
      <c r="L58" s="12"/>
      <c r="M58" s="12"/>
      <c r="N58" s="12"/>
      <c r="O58" s="12"/>
      <c r="P58" s="12"/>
    </row>
    <row r="59" spans="2:16" x14ac:dyDescent="0.45">
      <c r="B59" s="6" t="s">
        <v>394</v>
      </c>
      <c r="C59" s="11"/>
      <c r="D59" s="88"/>
      <c r="E59" s="88">
        <f>-'Takeda Adjusted'!E25/AVERAGE('Takeda Adjusted'!D122:E122)</f>
        <v>2.3500286423416936</v>
      </c>
      <c r="F59" s="88">
        <f>-'Takeda Adjusted'!F25/AVERAGE('Takeda Adjusted'!E122:F122)</f>
        <v>1.9779632456392306</v>
      </c>
      <c r="G59" s="88">
        <f>-'Takeda Adjusted'!G25/AVERAGE('Takeda Adjusted'!F122:G122)</f>
        <v>3.3347707313380104</v>
      </c>
      <c r="H59" s="88">
        <f>-'Takeda Adjusted'!H25/AVERAGE('Takeda Adjusted'!G122:H122)</f>
        <v>3.7497998101390051</v>
      </c>
      <c r="I59" s="88">
        <f>-'Takeda Adjusted'!I25/AVERAGE('Takeda Adjusted'!H122:I122)</f>
        <v>3.1329910316036336</v>
      </c>
      <c r="J59" s="88">
        <f>-'Takeda Adjusted'!J25/AVERAGE('Takeda Adjusted'!I122:J122)</f>
        <v>3.4208132833331906</v>
      </c>
      <c r="K59" s="88">
        <f>-'Takeda Adjusted'!K25/AVERAGE('Takeda Adjusted'!J122:K122)</f>
        <v>3.052147138921419</v>
      </c>
      <c r="L59" s="11"/>
      <c r="M59" s="11"/>
      <c r="N59" s="11"/>
      <c r="O59" s="11"/>
      <c r="P59" s="11"/>
    </row>
    <row r="60" spans="2:16" x14ac:dyDescent="0.45">
      <c r="B60" s="6" t="s">
        <v>32</v>
      </c>
      <c r="C60" s="12"/>
      <c r="D60" s="88"/>
      <c r="E60" s="88">
        <f t="shared" ref="E60:K60" si="12">360*(1/E59)</f>
        <v>153.1896222512747</v>
      </c>
      <c r="F60" s="88">
        <f t="shared" si="12"/>
        <v>182.00540419225868</v>
      </c>
      <c r="G60" s="88">
        <f t="shared" si="12"/>
        <v>107.95344837861077</v>
      </c>
      <c r="H60" s="88">
        <f t="shared" si="12"/>
        <v>96.005125134041435</v>
      </c>
      <c r="I60" s="88">
        <f t="shared" si="12"/>
        <v>114.90616997257493</v>
      </c>
      <c r="J60" s="88">
        <f t="shared" si="12"/>
        <v>105.23813204128501</v>
      </c>
      <c r="K60" s="88">
        <f t="shared" si="12"/>
        <v>117.94975262143436</v>
      </c>
      <c r="L60" s="12"/>
      <c r="M60" s="12"/>
      <c r="N60" s="12"/>
      <c r="O60" s="12"/>
      <c r="P60" s="12"/>
    </row>
    <row r="61" spans="2:16" x14ac:dyDescent="0.45">
      <c r="B61" s="6" t="s">
        <v>33</v>
      </c>
      <c r="C61" s="12"/>
      <c r="D61" s="88"/>
      <c r="E61" s="88">
        <f t="shared" ref="E61:K61" si="13">E56+E58-E60</f>
        <v>96.400643028745804</v>
      </c>
      <c r="F61" s="88">
        <f t="shared" si="13"/>
        <v>93.792763374473253</v>
      </c>
      <c r="G61" s="88">
        <f t="shared" si="13"/>
        <v>168.30798372034789</v>
      </c>
      <c r="H61" s="88">
        <f t="shared" si="13"/>
        <v>229.33850767212496</v>
      </c>
      <c r="I61" s="88">
        <f t="shared" si="13"/>
        <v>226.89673963130295</v>
      </c>
      <c r="J61" s="88">
        <f t="shared" si="13"/>
        <v>210.31191914240296</v>
      </c>
      <c r="K61" s="88">
        <f t="shared" si="13"/>
        <v>231.05154371645011</v>
      </c>
      <c r="L61" s="12"/>
      <c r="M61" s="12"/>
      <c r="N61" s="12"/>
      <c r="O61" s="12"/>
      <c r="P61" s="12"/>
    </row>
    <row r="63" spans="2:16" x14ac:dyDescent="0.45">
      <c r="B63" s="4" t="s">
        <v>395</v>
      </c>
    </row>
    <row r="64" spans="2:16" x14ac:dyDescent="0.45">
      <c r="B64" s="7" t="s">
        <v>369</v>
      </c>
      <c r="C64" s="8"/>
      <c r="D64" s="8"/>
      <c r="E64" s="8"/>
      <c r="F64" s="8"/>
      <c r="G64" s="8"/>
      <c r="H64" s="8"/>
      <c r="I64" s="8"/>
      <c r="J64" s="8"/>
      <c r="K64" s="8"/>
      <c r="L64" s="8"/>
      <c r="M64" s="8"/>
      <c r="N64" s="8"/>
      <c r="O64" s="8"/>
      <c r="P64" s="8"/>
    </row>
    <row r="65" spans="2:16" x14ac:dyDescent="0.45">
      <c r="B65" s="6" t="s">
        <v>396</v>
      </c>
      <c r="C65" s="11"/>
      <c r="D65" s="11"/>
      <c r="E65" s="11">
        <f>AVERAGE('Takeda Adjusted'!D47:E47)/AVERAGE('Takeda Adjusted'!D66:E66)</f>
        <v>3.5173404164658795</v>
      </c>
      <c r="F65" s="11">
        <f>AVERAGE('Takeda Adjusted'!E47:F47)/AVERAGE('Takeda Adjusted'!E66:F66)</f>
        <v>5.4402805947383071</v>
      </c>
      <c r="G65" s="11">
        <f>AVERAGE('Takeda Adjusted'!F47:G47)/AVERAGE('Takeda Adjusted'!F66:G66)</f>
        <v>4.0250668245421179</v>
      </c>
      <c r="H65" s="11">
        <f>AVERAGE('Takeda Adjusted'!G47:H47)/AVERAGE('Takeda Adjusted'!G66:H66)</f>
        <v>3.3602633787324767</v>
      </c>
      <c r="I65" s="11">
        <f>AVERAGE('Takeda Adjusted'!H47:I47)/AVERAGE('Takeda Adjusted'!H66:I66)</f>
        <v>4.6844182638693379</v>
      </c>
      <c r="J65" s="11">
        <f>AVERAGE('Takeda Adjusted'!I47:J47)/AVERAGE('Takeda Adjusted'!I66:J66)</f>
        <v>4.1655893201472729</v>
      </c>
      <c r="K65" s="11">
        <f>AVERAGE('Takeda Adjusted'!J47:K47)/AVERAGE('Takeda Adjusted'!J66:K66)</f>
        <v>3.1417316833403688</v>
      </c>
      <c r="L65" s="11"/>
      <c r="M65" s="11"/>
      <c r="N65" s="11"/>
      <c r="O65" s="11"/>
      <c r="P65" s="11"/>
    </row>
    <row r="66" spans="2:16" x14ac:dyDescent="0.45">
      <c r="B66" s="6" t="s">
        <v>397</v>
      </c>
      <c r="C66" s="11"/>
      <c r="D66" s="11"/>
      <c r="E66" s="11">
        <f>AVERAGE('Takeda Adjusted'!D44+'Takeda Adjusted'!D46,'Takeda Adjusted'!E44+'Takeda Adjusted'!E46)/AVERAGE('Takeda Adjusted'!D66:E66)</f>
        <v>2.4292348117923925</v>
      </c>
      <c r="F66" s="11">
        <f>AVERAGE('Takeda Adjusted'!E44+'Takeda Adjusted'!E46,'Takeda Adjusted'!F44+'Takeda Adjusted'!F46)/AVERAGE('Takeda Adjusted'!E66:F66)</f>
        <v>2.4447782347700215</v>
      </c>
      <c r="G66" s="11">
        <f>AVERAGE('Takeda Adjusted'!F44+'Takeda Adjusted'!F46,'Takeda Adjusted'!G44+'Takeda Adjusted'!G46)/AVERAGE('Takeda Adjusted'!F66:G66)</f>
        <v>1.7359872975040425</v>
      </c>
      <c r="H66" s="11">
        <f>AVERAGE('Takeda Adjusted'!G44+'Takeda Adjusted'!G46,'Takeda Adjusted'!H44+'Takeda Adjusted'!H46)/AVERAGE('Takeda Adjusted'!G66:H66)</f>
        <v>1.8441242588951858</v>
      </c>
      <c r="I66" s="11">
        <f>AVERAGE('Takeda Adjusted'!H44+'Takeda Adjusted'!H46,'Takeda Adjusted'!I44+'Takeda Adjusted'!I46)/AVERAGE('Takeda Adjusted'!H66:I66)</f>
        <v>2.6178303689184026</v>
      </c>
      <c r="J66" s="11">
        <f>AVERAGE('Takeda Adjusted'!I44+'Takeda Adjusted'!I46,'Takeda Adjusted'!J44+'Takeda Adjusted'!J46)/AVERAGE('Takeda Adjusted'!I66:J66)</f>
        <v>2.3287340297154886</v>
      </c>
      <c r="K66" s="11">
        <f>AVERAGE('Takeda Adjusted'!J44+'Takeda Adjusted'!J46,'Takeda Adjusted'!K44+'Takeda Adjusted'!K46)/AVERAGE('Takeda Adjusted'!J66:K66)</f>
        <v>1.5083920033117371</v>
      </c>
      <c r="L66" s="11"/>
      <c r="M66" s="11"/>
      <c r="N66" s="11"/>
      <c r="O66" s="11"/>
      <c r="P66" s="11"/>
    </row>
    <row r="67" spans="2:16" x14ac:dyDescent="0.45">
      <c r="B67" s="6" t="s">
        <v>398</v>
      </c>
      <c r="C67" s="11"/>
      <c r="D67" s="11"/>
      <c r="E67" s="11">
        <f>AVERAGE('Takeda Adjusted'!D46:E46)/AVERAGE('Takeda Adjusted'!D66:E66)</f>
        <v>1.2320055182353113</v>
      </c>
      <c r="F67" s="11">
        <f>AVERAGE('Takeda Adjusted'!E46:F46)/AVERAGE('Takeda Adjusted'!E66:F66)</f>
        <v>1.0517982919238655</v>
      </c>
      <c r="G67" s="11">
        <f>AVERAGE('Takeda Adjusted'!F46:G46)/AVERAGE('Takeda Adjusted'!F66:G66)</f>
        <v>0.70042048165134752</v>
      </c>
      <c r="H67" s="11">
        <f>AVERAGE('Takeda Adjusted'!G46:H46)/AVERAGE('Takeda Adjusted'!G66:H66)</f>
        <v>0.78885521890168697</v>
      </c>
      <c r="I67" s="11">
        <f>AVERAGE('Takeda Adjusted'!H46:I46)/AVERAGE('Takeda Adjusted'!H66:I66)</f>
        <v>1.2315522190668116</v>
      </c>
      <c r="J67" s="11">
        <f>AVERAGE('Takeda Adjusted'!I46:J46)/AVERAGE('Takeda Adjusted'!I66:J66)</f>
        <v>1.1593499020259428</v>
      </c>
      <c r="K67" s="11">
        <f>AVERAGE('Takeda Adjusted'!J46:K46)/AVERAGE('Takeda Adjusted'!J66:K66)</f>
        <v>0.62008164603159255</v>
      </c>
      <c r="L67" s="11"/>
      <c r="M67" s="11"/>
      <c r="N67" s="11"/>
      <c r="O67" s="11"/>
      <c r="P67" s="11"/>
    </row>
    <row r="68" spans="2:16" x14ac:dyDescent="0.45">
      <c r="B68" s="6" t="s">
        <v>399</v>
      </c>
      <c r="C68" s="11"/>
      <c r="D68" s="11"/>
      <c r="E68" s="11">
        <f>'Takeda Adjusted'!E79/AVERAGE('Takeda Adjusted'!D66:E66)</f>
        <v>0.96290894588113385</v>
      </c>
      <c r="F68" s="11">
        <f>'Takeda Adjusted'!F79/AVERAGE('Takeda Adjusted'!E66:F66)</f>
        <v>0.91950804052442803</v>
      </c>
      <c r="G68" s="11">
        <f>'Takeda Adjusted'!G79/AVERAGE('Takeda Adjusted'!F66:G66)</f>
        <v>1.1052037544835742</v>
      </c>
      <c r="H68" s="11">
        <f>'Takeda Adjusted'!H79/AVERAGE('Takeda Adjusted'!G66:H66)</f>
        <v>1.2957854028522817</v>
      </c>
      <c r="I68" s="11">
        <f>'Takeda Adjusted'!I79/AVERAGE('Takeda Adjusted'!H66:I66)</f>
        <v>2.2975704151677419</v>
      </c>
      <c r="J68" s="11">
        <f>'Takeda Adjusted'!J79/AVERAGE('Takeda Adjusted'!I66:J66)</f>
        <v>1.8578605357194256</v>
      </c>
      <c r="K68" s="11">
        <f>'Takeda Adjusted'!K79/AVERAGE('Takeda Adjusted'!J66:K66)</f>
        <v>1.093699302075998</v>
      </c>
      <c r="L68" s="11"/>
      <c r="M68" s="11"/>
      <c r="N68" s="11"/>
      <c r="O68" s="11"/>
      <c r="P68" s="11"/>
    </row>
    <row r="70" spans="2:16" x14ac:dyDescent="0.45">
      <c r="B70" s="4" t="s">
        <v>34</v>
      </c>
    </row>
    <row r="71" spans="2:16" x14ac:dyDescent="0.45">
      <c r="B71" s="7" t="s">
        <v>369</v>
      </c>
      <c r="C71" s="8"/>
      <c r="D71" s="8"/>
      <c r="E71" s="8"/>
      <c r="F71" s="8"/>
      <c r="G71" s="8"/>
      <c r="H71" s="8"/>
      <c r="I71" s="8"/>
      <c r="J71" s="8"/>
      <c r="K71" s="8"/>
      <c r="L71" s="8"/>
      <c r="M71" s="8"/>
      <c r="N71" s="8"/>
      <c r="O71" s="8"/>
      <c r="P71" s="8"/>
    </row>
    <row r="72" spans="2:16" x14ac:dyDescent="0.45">
      <c r="B72" s="6" t="s">
        <v>400</v>
      </c>
      <c r="C72" s="11"/>
      <c r="D72" s="11"/>
      <c r="E72" s="11">
        <f>AVERAGE('Takeda Adjusted'!D61+'Takeda Adjusted'!D66,'Takeda Adjusted'!E61+'Takeda Adjusted'!E66)/AVERAGE('Takeda Adjusted'!D144:E144)</f>
        <v>1.0458483409525305</v>
      </c>
      <c r="F72" s="11">
        <f>AVERAGE('Takeda Adjusted'!E61+'Takeda Adjusted'!E66,'Takeda Adjusted'!F61+'Takeda Adjusted'!F66)/AVERAGE('Takeda Adjusted'!E144:F144)</f>
        <v>1.4507956838209077</v>
      </c>
      <c r="G72" s="11">
        <f>AVERAGE('Takeda Adjusted'!F61+'Takeda Adjusted'!F66,'Takeda Adjusted'!G61+'Takeda Adjusted'!G66)/AVERAGE('Takeda Adjusted'!F144:G144)</f>
        <v>1.7161263177643666</v>
      </c>
      <c r="H72" s="11">
        <f>AVERAGE('Takeda Adjusted'!G61+'Takeda Adjusted'!G66,'Takeda Adjusted'!H61+'Takeda Adjusted'!H66)/AVERAGE('Takeda Adjusted'!G144:H144)</f>
        <v>1.6608409568125224</v>
      </c>
      <c r="I72" s="11">
        <f>AVERAGE('Takeda Adjusted'!H61+'Takeda Adjusted'!H66,'Takeda Adjusted'!I61+'Takeda Adjusted'!I66)/AVERAGE('Takeda Adjusted'!H144:I144)</f>
        <v>1.5080938189442255</v>
      </c>
      <c r="J72" s="11">
        <f>AVERAGE('Takeda Adjusted'!I61+'Takeda Adjusted'!I66,'Takeda Adjusted'!J61+'Takeda Adjusted'!J66)/AVERAGE('Takeda Adjusted'!I144:J144)</f>
        <v>1.2804707910455067</v>
      </c>
      <c r="K72" s="11">
        <f>AVERAGE('Takeda Adjusted'!J61+'Takeda Adjusted'!J66,'Takeda Adjusted'!K61+'Takeda Adjusted'!K66)/AVERAGE('Takeda Adjusted'!J144:K144)</f>
        <v>1.1481836044263289</v>
      </c>
      <c r="L72" s="11"/>
      <c r="M72" s="11"/>
      <c r="N72" s="11"/>
      <c r="O72" s="11"/>
      <c r="P72" s="11"/>
    </row>
    <row r="73" spans="2:16" x14ac:dyDescent="0.45">
      <c r="B73" s="6" t="s">
        <v>35</v>
      </c>
      <c r="C73" s="11"/>
      <c r="D73" s="11"/>
      <c r="E73" s="11">
        <f>AVERAGE('Takeda Adjusted'!D140:E140)/AVERAGE('Takeda Adjusted'!D144:E144)</f>
        <v>0.54526623690335341</v>
      </c>
      <c r="F73" s="11">
        <f>AVERAGE('Takeda Adjusted'!E140:F140)/AVERAGE('Takeda Adjusted'!E144:F144)</f>
        <v>0.97022076507535093</v>
      </c>
      <c r="G73" s="11">
        <f>AVERAGE('Takeda Adjusted'!F140:G140)/AVERAGE('Takeda Adjusted'!F144:G144)</f>
        <v>1.235480986760833</v>
      </c>
      <c r="H73" s="11">
        <f>AVERAGE('Takeda Adjusted'!G140:H140)/AVERAGE('Takeda Adjusted'!G144:H144)</f>
        <v>1.1778721611765099</v>
      </c>
      <c r="I73" s="11">
        <f>AVERAGE('Takeda Adjusted'!H140:I140)/AVERAGE('Takeda Adjusted'!H144:I144)</f>
        <v>0.99990007423757377</v>
      </c>
      <c r="J73" s="11">
        <f>AVERAGE('Takeda Adjusted'!I140:J140)/AVERAGE('Takeda Adjusted'!I144:J144)</f>
        <v>0.82190953156915025</v>
      </c>
      <c r="K73" s="11">
        <f>AVERAGE('Takeda Adjusted'!J140:K140)/AVERAGE('Takeda Adjusted'!J144:K144)</f>
        <v>0.79493856028730014</v>
      </c>
      <c r="L73" s="11"/>
      <c r="M73" s="11"/>
      <c r="N73" s="11"/>
      <c r="O73" s="11"/>
      <c r="P73" s="11"/>
    </row>
    <row r="74" spans="2:16" x14ac:dyDescent="0.45">
      <c r="B74" s="6" t="s">
        <v>36</v>
      </c>
      <c r="C74" s="11"/>
      <c r="D74" s="11"/>
      <c r="E74" s="11">
        <f>AVERAGE('Takeda Adjusted'!D140:E140)/AVERAGE('Takeda Adjusted'!D145:E145)</f>
        <v>0.35286232487421926</v>
      </c>
      <c r="F74" s="11">
        <f>AVERAGE('Takeda Adjusted'!E140:F140)/AVERAGE('Takeda Adjusted'!E145:F145)</f>
        <v>0.49244266544832854</v>
      </c>
      <c r="G74" s="11">
        <f>AVERAGE('Takeda Adjusted'!F140:G140)/AVERAGE('Takeda Adjusted'!F145:G145)</f>
        <v>0.55266897552594263</v>
      </c>
      <c r="H74" s="11">
        <f>AVERAGE('Takeda Adjusted'!G140:H140)/AVERAGE('Takeda Adjusted'!G145:H145)</f>
        <v>0.54083622637437578</v>
      </c>
      <c r="I74" s="11">
        <f>AVERAGE('Takeda Adjusted'!H140:I140)/AVERAGE('Takeda Adjusted'!H145:I145)</f>
        <v>0.49997501731118632</v>
      </c>
      <c r="J74" s="11">
        <f>AVERAGE('Takeda Adjusted'!I140:J140)/AVERAGE('Takeda Adjusted'!I145:J145)</f>
        <v>0.45112532610840828</v>
      </c>
      <c r="K74" s="11">
        <f>AVERAGE('Takeda Adjusted'!J140:K140)/AVERAGE('Takeda Adjusted'!J145:K145)</f>
        <v>0.44287786661625972</v>
      </c>
      <c r="L74" s="11"/>
      <c r="M74" s="11"/>
      <c r="N74" s="11"/>
      <c r="O74" s="11"/>
      <c r="P74" s="11"/>
    </row>
    <row r="75" spans="2:16" x14ac:dyDescent="0.45">
      <c r="B75" s="6" t="s">
        <v>37</v>
      </c>
      <c r="C75" s="11"/>
      <c r="D75" s="11"/>
      <c r="E75" s="11">
        <f>('Takeda Adjusted'!E18-'Takeda Adjusted'!E17-'Takeda Adjusted'!E15+-'Takeda Adjusted'!E15)/'Takeda Adjusted'!E15</f>
        <v>-10.924898779262698</v>
      </c>
      <c r="F75" s="11">
        <f>('Takeda Adjusted'!F18-'Takeda Adjusted'!F17-'Takeda Adjusted'!F15+-'Takeda Adjusted'!F15)/'Takeda Adjusted'!F15</f>
        <v>-14.876904140973462</v>
      </c>
      <c r="G75" s="11">
        <f>('Takeda Adjusted'!G18-'Takeda Adjusted'!G17-'Takeda Adjusted'!G15+-'Takeda Adjusted'!G15)/'Takeda Adjusted'!G15</f>
        <v>-1.8134131776167501</v>
      </c>
      <c r="H75" s="11">
        <f>('Takeda Adjusted'!H18-'Takeda Adjusted'!H17-'Takeda Adjusted'!H15+-'Takeda Adjusted'!H15)/'Takeda Adjusted'!H15</f>
        <v>-2.5530347720876256</v>
      </c>
      <c r="I75" s="11">
        <f>('Takeda Adjusted'!I18-'Takeda Adjusted'!I17-'Takeda Adjusted'!I15+-'Takeda Adjusted'!I15)/'Takeda Adjusted'!I15</f>
        <v>-6.2806326949384443</v>
      </c>
      <c r="J75" s="11">
        <f>('Takeda Adjusted'!J18-'Takeda Adjusted'!J17-'Takeda Adjusted'!J15+-'Takeda Adjusted'!J15)/'Takeda Adjusted'!J15</f>
        <v>-4.5850220781507813</v>
      </c>
      <c r="K75" s="11">
        <f>('Takeda Adjusted'!K18-'Takeda Adjusted'!K17-'Takeda Adjusted'!K15+-'Takeda Adjusted'!K15)/'Takeda Adjusted'!K15</f>
        <v>-2.8923007972309587</v>
      </c>
      <c r="L75" s="11"/>
      <c r="M75" s="11"/>
      <c r="N75" s="11"/>
      <c r="O75" s="11"/>
      <c r="P75" s="11"/>
    </row>
    <row r="76" spans="2:16" x14ac:dyDescent="0.45">
      <c r="B76" s="6" t="s">
        <v>401</v>
      </c>
      <c r="C76" s="11"/>
      <c r="D76" s="11"/>
      <c r="E76" s="11">
        <f>('Takeda Adjusted'!E79-E75)/-E77</f>
        <v>-0.51379818879572459</v>
      </c>
      <c r="F76" s="11">
        <f>('Takeda Adjusted'!F79-F75)/-F77</f>
        <v>-1.0649222932132805</v>
      </c>
      <c r="G76" s="11">
        <f>('Takeda Adjusted'!G79-G75)/-G77</f>
        <v>-0.162266677248673</v>
      </c>
      <c r="H76" s="11">
        <f>('Takeda Adjusted'!H79-H75)/-H77</f>
        <v>-0.13894332630475406</v>
      </c>
      <c r="I76" s="11">
        <f>('Takeda Adjusted'!I79-I75)/-I77</f>
        <v>-0.34765415135243743</v>
      </c>
      <c r="J76" s="11">
        <f>('Takeda Adjusted'!J79-J75)/-J77</f>
        <v>-0.33601579007432569</v>
      </c>
      <c r="K76" s="11">
        <f>('Takeda Adjusted'!K79-K75)/-K77</f>
        <v>-0.16625807904063719</v>
      </c>
      <c r="L76" s="11"/>
      <c r="M76" s="11"/>
      <c r="N76" s="11"/>
      <c r="O76" s="11"/>
      <c r="P76" s="11"/>
    </row>
    <row r="77" spans="2:16" x14ac:dyDescent="0.45">
      <c r="B77" s="6" t="s">
        <v>402</v>
      </c>
      <c r="C77" s="11"/>
      <c r="D77" s="11"/>
      <c r="E77" s="11">
        <f>'Takeda Adjusted'!E73-(1-'Takeda Adjusted'!E104)*('Takeda Adjusted'!E86/'Takeda Adjusted'!E104)</f>
        <v>6101.808</v>
      </c>
      <c r="F77" s="11">
        <f>'Takeda Adjusted'!F73-(1-'Takeda Adjusted'!F104)*('Takeda Adjusted'!F86/'Takeda Adjusted'!F104)</f>
        <v>2443.5556666666671</v>
      </c>
      <c r="G77" s="11">
        <f>'Takeda Adjusted'!G73-(1-'Takeda Adjusted'!G104)*('Takeda Adjusted'!G86/'Takeda Adjusted'!G104)</f>
        <v>35479.499000000003</v>
      </c>
      <c r="H77" s="11">
        <f>'Takeda Adjusted'!H73-(1-'Takeda Adjusted'!H104)*('Takeda Adjusted'!H86/'Takeda Adjusted'!H104)</f>
        <v>57456.865666666665</v>
      </c>
      <c r="I77" s="11">
        <f>'Takeda Adjusted'!I73-(1-'Takeda Adjusted'!I104)*('Takeda Adjusted'!I86/'Takeda Adjusted'!I104)</f>
        <v>27986.83</v>
      </c>
      <c r="J77" s="11">
        <f>'Takeda Adjusted'!J73-(1-'Takeda Adjusted'!J104)*('Takeda Adjusted'!J86/'Takeda Adjusted'!J104)</f>
        <v>24796.721666666668</v>
      </c>
      <c r="K77" s="11">
        <f>'Takeda Adjusted'!K73-(1-'Takeda Adjusted'!K104)*('Takeda Adjusted'!K86/'Takeda Adjusted'!K104)</f>
        <v>35621.025666666661</v>
      </c>
      <c r="L77" s="11"/>
      <c r="M77" s="11"/>
      <c r="N77" s="11"/>
      <c r="O77" s="11"/>
      <c r="P77" s="11"/>
    </row>
    <row r="78" spans="2:16" x14ac:dyDescent="0.45">
      <c r="B78" s="6" t="s">
        <v>403</v>
      </c>
      <c r="C78" s="19"/>
      <c r="D78" s="19"/>
      <c r="E78" s="19">
        <f>'Takeda Adjusted'!E86/'Takeda Adjusted'!E104</f>
        <v>-6569.8</v>
      </c>
      <c r="F78" s="19">
        <f>'Takeda Adjusted'!F86/'Takeda Adjusted'!F104</f>
        <v>-2735.2666666666669</v>
      </c>
      <c r="G78" s="19">
        <f>'Takeda Adjusted'!G86/'Takeda Adjusted'!G104</f>
        <v>-36253.9</v>
      </c>
      <c r="H78" s="19">
        <f>'Takeda Adjusted'!H86/'Takeda Adjusted'!H104</f>
        <v>-58708.966666666667</v>
      </c>
      <c r="I78" s="19">
        <f>'Takeda Adjusted'!I86/'Takeda Adjusted'!I104</f>
        <v>-29240.000000000004</v>
      </c>
      <c r="J78" s="19">
        <f>'Takeda Adjusted'!J86/'Takeda Adjusted'!J104</f>
        <v>-25553.166666666668</v>
      </c>
      <c r="K78" s="19">
        <f>'Takeda Adjusted'!K86/'Takeda Adjusted'!K104</f>
        <v>-36518.066666666666</v>
      </c>
      <c r="L78" s="19"/>
      <c r="M78" s="19"/>
      <c r="N78" s="19"/>
      <c r="O78" s="19"/>
      <c r="P78" s="19"/>
    </row>
    <row r="79" spans="2:16" x14ac:dyDescent="0.45">
      <c r="C79" s="16"/>
      <c r="D79" s="16"/>
      <c r="E79" s="16"/>
      <c r="F79" s="16"/>
      <c r="G79" s="16"/>
      <c r="H79" s="16"/>
      <c r="I79" s="16"/>
      <c r="J79" s="16"/>
      <c r="K79" s="16"/>
      <c r="L79" s="11"/>
      <c r="M79" s="11"/>
      <c r="N79" s="11"/>
      <c r="O79" s="11"/>
      <c r="P79" s="11"/>
    </row>
    <row r="80" spans="2:16" x14ac:dyDescent="0.45">
      <c r="B80" s="4" t="s">
        <v>38</v>
      </c>
    </row>
    <row r="81" spans="2:16" x14ac:dyDescent="0.45">
      <c r="B81" s="7" t="s">
        <v>369</v>
      </c>
      <c r="C81" s="8"/>
      <c r="D81" s="8"/>
      <c r="E81" s="8"/>
      <c r="F81" s="8"/>
      <c r="G81" s="8"/>
      <c r="H81" s="8"/>
      <c r="I81" s="8"/>
      <c r="J81" s="8"/>
      <c r="K81" s="8"/>
      <c r="L81" s="8"/>
      <c r="M81" s="8"/>
      <c r="N81" s="8"/>
      <c r="O81" s="8"/>
      <c r="P81" s="8"/>
    </row>
    <row r="82" spans="2:16" x14ac:dyDescent="0.45">
      <c r="B82" s="6" t="s">
        <v>39</v>
      </c>
      <c r="C82" s="9"/>
      <c r="D82" s="9"/>
      <c r="E82" s="9">
        <f t="shared" ref="E82:K82" si="14">E4</f>
        <v>9.1866568998050249E-2</v>
      </c>
      <c r="F82" s="9">
        <f t="shared" si="14"/>
        <v>5.2872778761972362E-2</v>
      </c>
      <c r="G82" s="9">
        <f t="shared" si="14"/>
        <v>3.9215979819243246E-3</v>
      </c>
      <c r="H82" s="9">
        <f t="shared" si="14"/>
        <v>3.8659778733054255E-2</v>
      </c>
      <c r="I82" s="9">
        <f t="shared" si="14"/>
        <v>8.7236597639449201E-2</v>
      </c>
      <c r="J82" s="9">
        <f t="shared" si="14"/>
        <v>4.7119107467967408E-2</v>
      </c>
      <c r="K82" s="9">
        <f t="shared" si="14"/>
        <v>2.7004855725432996E-2</v>
      </c>
      <c r="L82" s="9"/>
      <c r="M82" s="9"/>
      <c r="N82" s="9"/>
      <c r="O82" s="9"/>
      <c r="P82" s="9"/>
    </row>
    <row r="83" spans="2:16" x14ac:dyDescent="0.45">
      <c r="B83" s="6" t="s">
        <v>404</v>
      </c>
      <c r="C83" s="13"/>
      <c r="D83" s="13"/>
      <c r="E83" s="13">
        <f>-'Takeda Adjusted'!E90/'Takeda Adjusted'!E114</f>
        <v>0</v>
      </c>
      <c r="F83" s="13">
        <f>-'Takeda Adjusted'!F90/'Takeda Adjusted'!F114</f>
        <v>1.2893282172373073</v>
      </c>
      <c r="G83" s="13">
        <f>-'Takeda Adjusted'!G90/'Takeda Adjusted'!G114</f>
        <v>20.917646738786058</v>
      </c>
      <c r="H83" s="13">
        <f>-'Takeda Adjusted'!H90/'Takeda Adjusted'!H114</f>
        <v>1.5671108156560332</v>
      </c>
      <c r="I83" s="13">
        <f>-'Takeda Adjusted'!I90/'Takeda Adjusted'!I114</f>
        <v>0.64215133407773406</v>
      </c>
      <c r="J83" s="13">
        <f>-'Takeda Adjusted'!J90/'Takeda Adjusted'!J114</f>
        <v>1.0186166887989103</v>
      </c>
      <c r="K83" s="13">
        <f>-'Takeda Adjusted'!K90/'Takeda Adjusted'!K114</f>
        <v>1.6177063298113876</v>
      </c>
      <c r="L83" s="13"/>
      <c r="M83" s="13"/>
      <c r="N83" s="13"/>
      <c r="O83" s="13"/>
      <c r="P83" s="13"/>
    </row>
    <row r="84" spans="2:16" x14ac:dyDescent="0.45">
      <c r="B84" s="6" t="s">
        <v>38</v>
      </c>
      <c r="C84" s="9"/>
      <c r="D84" s="9"/>
      <c r="E84" s="9">
        <f t="shared" ref="E84:K84" si="15">(1-E83)*E82</f>
        <v>9.1866568998050249E-2</v>
      </c>
      <c r="F84" s="9">
        <f t="shared" si="15"/>
        <v>-1.5297586819584026E-2</v>
      </c>
      <c r="G84" s="9">
        <f t="shared" si="15"/>
        <v>-7.8109003255505002E-2</v>
      </c>
      <c r="H84" s="9">
        <f t="shared" si="15"/>
        <v>-2.1924378650384165E-2</v>
      </c>
      <c r="I84" s="9">
        <f t="shared" si="15"/>
        <v>3.1217500084874391E-2</v>
      </c>
      <c r="J84" s="9">
        <f t="shared" si="15"/>
        <v>-8.7720176021356038E-4</v>
      </c>
      <c r="K84" s="9">
        <f t="shared" si="15"/>
        <v>-1.6681070317243255E-2</v>
      </c>
      <c r="L84" s="9"/>
      <c r="M84" s="9"/>
      <c r="N84" s="9"/>
      <c r="O84" s="9"/>
      <c r="P84" s="9"/>
    </row>
  </sheetData>
  <pageMargins left="0.7" right="0.7" top="0.75" bottom="0.75" header="0.3" footer="0.3"/>
  <pageSetup paperSize="9" orientation="portrait"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83375-29BE-46C0-B826-518AFADB5E64}">
  <sheetPr>
    <tabColor theme="3" tint="0.39997558519241921"/>
  </sheetPr>
  <dimension ref="A1"/>
  <sheetViews>
    <sheetView workbookViewId="0"/>
  </sheetViews>
  <sheetFormatPr defaultColWidth="8.6640625" defaultRowHeight="12.75" x14ac:dyDescent="0.35"/>
  <sheetData>
    <row r="1" spans="1:1" x14ac:dyDescent="0.35">
      <c r="A1" s="20"/>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D7C4D-01E7-408C-AD34-1AA5FD5BA73A}">
  <dimension ref="A2:S72"/>
  <sheetViews>
    <sheetView showGridLines="0" topLeftCell="A67" workbookViewId="0"/>
  </sheetViews>
  <sheetFormatPr defaultColWidth="9.1328125" defaultRowHeight="14.25" x14ac:dyDescent="0.45"/>
  <cols>
    <col min="1" max="1" width="3.33203125" style="24" customWidth="1"/>
    <col min="2" max="2" width="36.33203125" style="24" customWidth="1"/>
    <col min="3" max="17" width="13.1328125" style="24" customWidth="1"/>
    <col min="18" max="16384" width="9.1328125" style="24"/>
  </cols>
  <sheetData>
    <row r="2" spans="1:19" x14ac:dyDescent="0.45">
      <c r="C2" s="21">
        <v>2015</v>
      </c>
      <c r="D2" s="21">
        <v>2016</v>
      </c>
      <c r="E2" s="21">
        <v>2017</v>
      </c>
      <c r="F2" s="21">
        <v>2018</v>
      </c>
      <c r="G2" s="21">
        <v>2019</v>
      </c>
      <c r="H2" s="21">
        <v>2020</v>
      </c>
      <c r="I2" s="21">
        <v>2021</v>
      </c>
      <c r="J2" s="21">
        <v>2022</v>
      </c>
      <c r="K2" s="21">
        <v>2023</v>
      </c>
      <c r="L2" s="37">
        <v>2024</v>
      </c>
      <c r="M2" s="37">
        <v>2025</v>
      </c>
      <c r="N2" s="37">
        <v>2026</v>
      </c>
      <c r="O2" s="37">
        <v>2027</v>
      </c>
      <c r="P2" s="37">
        <v>2028</v>
      </c>
      <c r="Q2" s="37">
        <v>2029</v>
      </c>
    </row>
    <row r="3" spans="1:19" x14ac:dyDescent="0.45">
      <c r="A3" s="24" t="s">
        <v>14</v>
      </c>
      <c r="B3" s="32" t="s">
        <v>252</v>
      </c>
      <c r="C3" s="33"/>
      <c r="D3" s="33"/>
      <c r="E3" s="33"/>
      <c r="F3" s="33"/>
      <c r="G3" s="33"/>
      <c r="H3" s="33"/>
      <c r="I3" s="33"/>
      <c r="J3" s="33"/>
      <c r="K3" s="33"/>
      <c r="L3" s="33"/>
      <c r="M3" s="33"/>
      <c r="N3" s="33"/>
      <c r="O3" s="33"/>
      <c r="P3" s="33"/>
      <c r="Q3" s="33"/>
    </row>
    <row r="4" spans="1:19" x14ac:dyDescent="0.45">
      <c r="C4" s="25"/>
      <c r="D4" s="25"/>
      <c r="E4" s="25"/>
      <c r="F4" s="25"/>
      <c r="G4" s="25"/>
      <c r="H4" s="25"/>
      <c r="I4" s="25"/>
      <c r="J4" s="25"/>
      <c r="K4" s="25"/>
      <c r="L4" s="25"/>
      <c r="M4" s="25"/>
      <c r="N4" s="25"/>
      <c r="O4" s="25"/>
      <c r="P4" s="25"/>
      <c r="Q4" s="25"/>
      <c r="S4" s="24" t="s">
        <v>405</v>
      </c>
    </row>
    <row r="5" spans="1:19" x14ac:dyDescent="0.45">
      <c r="B5" s="34" t="s">
        <v>406</v>
      </c>
      <c r="C5" s="24">
        <v>0</v>
      </c>
      <c r="D5" s="24">
        <v>0</v>
      </c>
      <c r="E5" s="24">
        <v>61.597999999999999</v>
      </c>
      <c r="F5" s="24">
        <v>127.575</v>
      </c>
      <c r="G5" s="24">
        <v>108.60000000000001</v>
      </c>
      <c r="H5" s="24">
        <v>482.3</v>
      </c>
      <c r="I5" s="24">
        <v>18976.7</v>
      </c>
      <c r="J5" s="24">
        <v>17310.599999999999</v>
      </c>
      <c r="K5" s="24">
        <v>3819</v>
      </c>
    </row>
    <row r="6" spans="1:19" x14ac:dyDescent="0.45">
      <c r="B6" s="34" t="s">
        <v>267</v>
      </c>
      <c r="C6" s="24">
        <v>0</v>
      </c>
      <c r="D6" s="24">
        <v>0</v>
      </c>
      <c r="E6" s="24">
        <v>-9.3179999999999996</v>
      </c>
      <c r="F6" s="24">
        <v>-13.69</v>
      </c>
      <c r="G6" s="24">
        <v>-17.399999999999999</v>
      </c>
      <c r="H6" s="24">
        <v>-59.3</v>
      </c>
      <c r="I6" s="24">
        <v>-2911.5</v>
      </c>
      <c r="J6" s="24">
        <v>-2995</v>
      </c>
      <c r="K6" s="24">
        <v>-599.79999999999995</v>
      </c>
    </row>
    <row r="7" spans="1:19" x14ac:dyDescent="0.45">
      <c r="B7" s="34" t="s">
        <v>274</v>
      </c>
      <c r="C7" s="24">
        <v>0</v>
      </c>
      <c r="D7" s="24">
        <v>0</v>
      </c>
      <c r="E7" s="24">
        <v>0</v>
      </c>
      <c r="F7" s="24">
        <v>0</v>
      </c>
      <c r="G7" s="24">
        <v>0</v>
      </c>
      <c r="H7" s="24">
        <v>0</v>
      </c>
      <c r="I7" s="24">
        <v>0</v>
      </c>
      <c r="J7" s="24">
        <v>0</v>
      </c>
      <c r="K7" s="24">
        <v>0</v>
      </c>
    </row>
    <row r="8" spans="1:19" x14ac:dyDescent="0.45">
      <c r="B8" s="34" t="s">
        <v>268</v>
      </c>
      <c r="C8" s="24">
        <v>0</v>
      </c>
      <c r="D8" s="24">
        <v>0</v>
      </c>
      <c r="E8" s="24">
        <v>-30.122999999999998</v>
      </c>
      <c r="F8" s="24">
        <v>-29.375</v>
      </c>
      <c r="G8" s="24">
        <v>-48.2</v>
      </c>
      <c r="H8" s="24">
        <v>-108.5</v>
      </c>
      <c r="I8" s="24">
        <v>-327.2</v>
      </c>
      <c r="J8" s="24">
        <v>-541.20000000000005</v>
      </c>
      <c r="K8" s="24">
        <v>-557.70000000000005</v>
      </c>
    </row>
    <row r="9" spans="1:19" x14ac:dyDescent="0.45">
      <c r="B9" s="2" t="s">
        <v>269</v>
      </c>
      <c r="C9" s="24">
        <v>0</v>
      </c>
      <c r="D9" s="24">
        <v>0</v>
      </c>
      <c r="E9" s="24">
        <v>-85.495999999999995</v>
      </c>
      <c r="F9" s="24">
        <v>-143.04</v>
      </c>
      <c r="G9" s="24">
        <v>-226.5</v>
      </c>
      <c r="H9" s="24">
        <v>-645</v>
      </c>
      <c r="I9" s="24">
        <v>-949.2</v>
      </c>
      <c r="J9" s="24">
        <v>-1537</v>
      </c>
      <c r="K9" s="24">
        <v>-1783.1</v>
      </c>
    </row>
    <row r="10" spans="1:19" ht="28.5" x14ac:dyDescent="0.45">
      <c r="B10" s="34" t="s">
        <v>270</v>
      </c>
      <c r="C10" s="24">
        <v>0</v>
      </c>
      <c r="D10" s="24">
        <v>0</v>
      </c>
      <c r="E10" s="24">
        <v>2.0609999999999999</v>
      </c>
      <c r="F10" s="24">
        <v>4.6760000000000002</v>
      </c>
      <c r="G10" s="24">
        <v>2</v>
      </c>
      <c r="H10" s="24">
        <v>248.1</v>
      </c>
      <c r="I10" s="24">
        <v>495</v>
      </c>
      <c r="J10" s="24">
        <v>405.29999999999995</v>
      </c>
      <c r="K10" s="24">
        <v>-188</v>
      </c>
    </row>
    <row r="11" spans="1:19" x14ac:dyDescent="0.45">
      <c r="B11" s="34" t="s">
        <v>407</v>
      </c>
      <c r="C11" s="24">
        <v>0</v>
      </c>
      <c r="D11" s="24">
        <v>0</v>
      </c>
      <c r="E11" s="24">
        <v>2.133</v>
      </c>
      <c r="F11" s="24">
        <v>8.0459999999999994</v>
      </c>
      <c r="G11" s="24">
        <v>4.0999999999999996</v>
      </c>
      <c r="H11" s="24">
        <v>1.6</v>
      </c>
      <c r="I11" s="24">
        <v>67.7</v>
      </c>
      <c r="J11" s="24">
        <v>113.5</v>
      </c>
      <c r="K11" s="24">
        <v>357.6</v>
      </c>
    </row>
    <row r="12" spans="1:19" x14ac:dyDescent="0.45">
      <c r="B12" s="34" t="s">
        <v>408</v>
      </c>
      <c r="C12" s="24">
        <v>0</v>
      </c>
      <c r="D12" s="24">
        <v>0</v>
      </c>
      <c r="E12" s="24">
        <v>-26.759</v>
      </c>
      <c r="F12" s="24">
        <v>-1.855</v>
      </c>
      <c r="G12" s="24">
        <v>-2</v>
      </c>
      <c r="H12" s="24">
        <v>-65</v>
      </c>
      <c r="I12" s="24">
        <v>-305.10000000000002</v>
      </c>
      <c r="J12" s="24">
        <v>-18.899999999999999</v>
      </c>
      <c r="K12" s="24">
        <v>-23.9</v>
      </c>
    </row>
    <row r="13" spans="1:19" x14ac:dyDescent="0.45">
      <c r="B13" s="2" t="s">
        <v>255</v>
      </c>
      <c r="C13" s="24">
        <v>0</v>
      </c>
      <c r="D13" s="24">
        <v>0</v>
      </c>
      <c r="E13" s="24">
        <v>0</v>
      </c>
      <c r="F13" s="24">
        <v>0</v>
      </c>
      <c r="G13" s="24">
        <v>0</v>
      </c>
      <c r="H13" s="24">
        <v>0</v>
      </c>
      <c r="I13" s="24">
        <v>0</v>
      </c>
      <c r="J13" s="24">
        <v>216.8</v>
      </c>
      <c r="K13" s="24">
        <v>162</v>
      </c>
    </row>
    <row r="14" spans="1:19" x14ac:dyDescent="0.45">
      <c r="B14" s="34" t="s">
        <v>409</v>
      </c>
      <c r="C14" s="24">
        <v>0</v>
      </c>
      <c r="D14" s="24">
        <v>0</v>
      </c>
      <c r="E14" s="24">
        <v>0</v>
      </c>
      <c r="F14" s="24">
        <v>0</v>
      </c>
      <c r="G14" s="24">
        <v>0</v>
      </c>
      <c r="H14" s="24">
        <v>0</v>
      </c>
      <c r="I14" s="24">
        <v>0</v>
      </c>
      <c r="J14" s="24">
        <v>0</v>
      </c>
      <c r="K14" s="24">
        <v>0</v>
      </c>
    </row>
    <row r="15" spans="1:19" x14ac:dyDescent="0.45">
      <c r="B15" s="34" t="s">
        <v>410</v>
      </c>
      <c r="C15" s="24">
        <v>0</v>
      </c>
      <c r="D15" s="24">
        <v>0</v>
      </c>
      <c r="E15" s="24">
        <v>-4.4999999999999998E-2</v>
      </c>
      <c r="F15" s="24">
        <v>-0.6</v>
      </c>
      <c r="G15" s="24">
        <v>0.2</v>
      </c>
      <c r="H15" s="24">
        <v>161</v>
      </c>
      <c r="I15" s="24">
        <v>-4753.8999999999996</v>
      </c>
      <c r="J15" s="24">
        <v>-3519.7</v>
      </c>
      <c r="K15" s="24">
        <v>-255.8</v>
      </c>
    </row>
    <row r="16" spans="1:19" x14ac:dyDescent="0.45">
      <c r="B16" s="34" t="s">
        <v>411</v>
      </c>
      <c r="C16" s="24">
        <v>0</v>
      </c>
      <c r="D16" s="24">
        <v>0</v>
      </c>
      <c r="E16" s="24">
        <v>0.29699999999999999</v>
      </c>
      <c r="F16" s="24">
        <v>0.24299999999999999</v>
      </c>
      <c r="G16" s="24">
        <v>1E-4</v>
      </c>
      <c r="H16" s="24">
        <v>0</v>
      </c>
      <c r="I16" s="24">
        <v>0</v>
      </c>
      <c r="J16" s="24">
        <v>0</v>
      </c>
      <c r="K16" s="24">
        <v>0</v>
      </c>
    </row>
    <row r="17" spans="1:17" x14ac:dyDescent="0.45">
      <c r="B17" s="34" t="s">
        <v>263</v>
      </c>
      <c r="C17" s="24">
        <v>0</v>
      </c>
      <c r="D17" s="24">
        <v>0</v>
      </c>
      <c r="E17" s="24">
        <v>0</v>
      </c>
      <c r="F17" s="24">
        <v>0</v>
      </c>
      <c r="G17" s="24">
        <v>0</v>
      </c>
      <c r="H17" s="24">
        <v>0</v>
      </c>
      <c r="I17" s="24">
        <v>0</v>
      </c>
      <c r="J17" s="24">
        <v>0</v>
      </c>
      <c r="K17" s="24">
        <v>0</v>
      </c>
    </row>
    <row r="18" spans="1:17" s="26" customFormat="1" x14ac:dyDescent="0.45">
      <c r="B18" s="35" t="s">
        <v>412</v>
      </c>
      <c r="C18" s="36">
        <v>0</v>
      </c>
      <c r="D18" s="36">
        <v>0</v>
      </c>
      <c r="E18" s="36">
        <v>-85.652000000000001</v>
      </c>
      <c r="F18" s="36">
        <v>-48.019999999999982</v>
      </c>
      <c r="G18" s="36">
        <v>-179.19990000000001</v>
      </c>
      <c r="H18" s="36">
        <v>15.199999999999989</v>
      </c>
      <c r="I18" s="36">
        <v>10292.5</v>
      </c>
      <c r="J18" s="36">
        <v>9434.3999999999978</v>
      </c>
      <c r="K18" s="36">
        <v>930.3</v>
      </c>
      <c r="L18" s="32"/>
      <c r="M18" s="32"/>
      <c r="N18" s="32"/>
      <c r="O18" s="32"/>
      <c r="P18" s="32"/>
      <c r="Q18" s="32"/>
    </row>
    <row r="20" spans="1:17" x14ac:dyDescent="0.45">
      <c r="A20" s="24" t="s">
        <v>14</v>
      </c>
      <c r="B20" s="32" t="s">
        <v>413</v>
      </c>
    </row>
    <row r="21" spans="1:17" x14ac:dyDescent="0.45">
      <c r="B21" s="32"/>
      <c r="C21" s="25"/>
      <c r="D21" s="25"/>
      <c r="E21" s="25"/>
      <c r="F21" s="25"/>
      <c r="G21" s="25"/>
      <c r="H21" s="25"/>
      <c r="I21" s="25"/>
      <c r="J21" s="25"/>
      <c r="K21" s="25"/>
      <c r="L21" s="25"/>
      <c r="M21" s="25"/>
      <c r="N21" s="25"/>
      <c r="O21" s="25"/>
      <c r="P21" s="25"/>
      <c r="Q21" s="25"/>
    </row>
    <row r="22" spans="1:17" x14ac:dyDescent="0.45">
      <c r="B22" s="34" t="s">
        <v>263</v>
      </c>
    </row>
    <row r="23" spans="1:17" x14ac:dyDescent="0.45">
      <c r="B23" s="34" t="s">
        <v>272</v>
      </c>
    </row>
    <row r="24" spans="1:17" x14ac:dyDescent="0.45">
      <c r="B24" s="34" t="s">
        <v>273</v>
      </c>
    </row>
    <row r="25" spans="1:17" x14ac:dyDescent="0.45">
      <c r="B25" s="34" t="s">
        <v>274</v>
      </c>
      <c r="C25" s="24">
        <v>0</v>
      </c>
      <c r="D25" s="24">
        <v>0</v>
      </c>
      <c r="E25" s="24">
        <v>0</v>
      </c>
      <c r="F25" s="24">
        <v>0</v>
      </c>
      <c r="G25" s="24">
        <v>0</v>
      </c>
      <c r="H25" s="24">
        <v>38.700000000000003</v>
      </c>
      <c r="I25" s="24">
        <v>0</v>
      </c>
      <c r="J25" s="24">
        <v>0</v>
      </c>
      <c r="K25" s="24">
        <v>0</v>
      </c>
    </row>
    <row r="26" spans="1:17" ht="42.75" x14ac:dyDescent="0.45">
      <c r="B26" s="34" t="s">
        <v>414</v>
      </c>
      <c r="C26" s="24">
        <v>0</v>
      </c>
      <c r="D26" s="24">
        <v>0</v>
      </c>
      <c r="E26" s="24">
        <v>10.529</v>
      </c>
      <c r="F26" s="24">
        <v>21.984000000000002</v>
      </c>
      <c r="G26" s="24">
        <v>33.9</v>
      </c>
      <c r="H26" s="24">
        <v>0</v>
      </c>
      <c r="I26" s="24">
        <v>75.2</v>
      </c>
      <c r="J26" s="24">
        <v>123.3</v>
      </c>
      <c r="K26" s="24">
        <v>183.4</v>
      </c>
    </row>
    <row r="27" spans="1:17" ht="28.5" x14ac:dyDescent="0.45">
      <c r="B27" s="34" t="s">
        <v>275</v>
      </c>
    </row>
    <row r="29" spans="1:17" x14ac:dyDescent="0.45">
      <c r="A29" s="24" t="s">
        <v>14</v>
      </c>
      <c r="B29" s="32" t="s">
        <v>415</v>
      </c>
    </row>
    <row r="30" spans="1:17" x14ac:dyDescent="0.45">
      <c r="C30" s="25"/>
      <c r="D30" s="25"/>
      <c r="E30" s="25"/>
      <c r="F30" s="25"/>
      <c r="G30" s="25"/>
      <c r="H30" s="25"/>
      <c r="I30" s="25"/>
      <c r="J30" s="25"/>
      <c r="K30" s="25"/>
      <c r="L30" s="25"/>
      <c r="M30" s="25"/>
      <c r="N30" s="25"/>
      <c r="O30" s="25"/>
      <c r="P30" s="25"/>
      <c r="Q30" s="25"/>
    </row>
    <row r="31" spans="1:17" x14ac:dyDescent="0.45">
      <c r="B31" s="34" t="s">
        <v>285</v>
      </c>
      <c r="C31" s="24">
        <v>0</v>
      </c>
      <c r="D31" s="24">
        <v>303.68</v>
      </c>
      <c r="E31" s="24">
        <v>172.10599999999999</v>
      </c>
      <c r="F31" s="24">
        <v>411.495</v>
      </c>
      <c r="G31" s="24">
        <v>519.149</v>
      </c>
      <c r="H31" s="24">
        <v>1210.2</v>
      </c>
      <c r="I31" s="24">
        <v>1692.7</v>
      </c>
      <c r="J31" s="24">
        <v>13875.1</v>
      </c>
      <c r="K31" s="24">
        <v>11663.7</v>
      </c>
    </row>
    <row r="32" spans="1:17" x14ac:dyDescent="0.45">
      <c r="B32" s="34" t="s">
        <v>283</v>
      </c>
      <c r="C32" s="24">
        <v>0</v>
      </c>
      <c r="D32" s="24">
        <v>3.161</v>
      </c>
      <c r="E32" s="24">
        <v>4.5750000000000002</v>
      </c>
      <c r="F32" s="24">
        <v>18.937999999999999</v>
      </c>
      <c r="G32" s="24">
        <v>11.913</v>
      </c>
      <c r="H32" s="24">
        <v>165.5</v>
      </c>
      <c r="I32" s="24">
        <v>12381.7</v>
      </c>
      <c r="J32" s="24">
        <v>7145.6</v>
      </c>
      <c r="K32" s="24">
        <v>2155.6999999999998</v>
      </c>
    </row>
    <row r="33" spans="1:17" x14ac:dyDescent="0.45">
      <c r="B33" s="34" t="s">
        <v>136</v>
      </c>
      <c r="C33" s="24">
        <v>0</v>
      </c>
      <c r="D33" s="24">
        <v>3.266</v>
      </c>
      <c r="E33" s="24">
        <v>3.8759999999999999</v>
      </c>
      <c r="F33" s="24">
        <v>5.7889999999999997</v>
      </c>
      <c r="G33" s="24">
        <v>11.722</v>
      </c>
      <c r="H33" s="24">
        <v>64.099999999999994</v>
      </c>
      <c r="I33" s="24">
        <v>502.5</v>
      </c>
      <c r="J33" s="24">
        <v>439.6</v>
      </c>
      <c r="K33" s="24">
        <v>357.7</v>
      </c>
    </row>
    <row r="34" spans="1:17" x14ac:dyDescent="0.45">
      <c r="B34" s="34" t="s">
        <v>284</v>
      </c>
      <c r="C34" s="24">
        <v>0</v>
      </c>
      <c r="D34" s="24">
        <v>8.016</v>
      </c>
      <c r="E34" s="24">
        <v>8.3920000000000012</v>
      </c>
      <c r="F34" s="24">
        <v>11.847</v>
      </c>
      <c r="G34" s="24">
        <v>16.611000000000001</v>
      </c>
      <c r="H34" s="24">
        <v>226.2</v>
      </c>
      <c r="I34" s="24">
        <v>495</v>
      </c>
      <c r="J34" s="24">
        <v>461.29999999999995</v>
      </c>
      <c r="K34" s="24">
        <v>5171.0999999999995</v>
      </c>
    </row>
    <row r="35" spans="1:17" x14ac:dyDescent="0.45">
      <c r="B35" s="34" t="s">
        <v>278</v>
      </c>
      <c r="C35" s="24">
        <v>0</v>
      </c>
      <c r="D35" s="24">
        <v>60.584000000000003</v>
      </c>
      <c r="E35" s="24">
        <v>101.521</v>
      </c>
      <c r="F35" s="24">
        <v>115.96600000000001</v>
      </c>
      <c r="G35" s="24">
        <v>148.06200000000001</v>
      </c>
      <c r="H35" s="24">
        <v>327</v>
      </c>
      <c r="I35" s="24">
        <v>534.79999999999995</v>
      </c>
      <c r="J35" s="24">
        <v>827.6</v>
      </c>
      <c r="K35" s="24">
        <v>1055</v>
      </c>
    </row>
    <row r="36" spans="1:17" x14ac:dyDescent="0.45">
      <c r="B36" s="34" t="s">
        <v>279</v>
      </c>
      <c r="C36" s="24">
        <v>0</v>
      </c>
      <c r="D36" s="24">
        <v>11.183999999999999</v>
      </c>
      <c r="E36" s="24">
        <v>83.537000000000006</v>
      </c>
      <c r="F36" s="24">
        <v>88.042000000000002</v>
      </c>
      <c r="G36" s="24">
        <v>89.433999999999997</v>
      </c>
      <c r="H36" s="24">
        <v>163.5</v>
      </c>
      <c r="I36" s="24">
        <v>202.4</v>
      </c>
      <c r="J36" s="24">
        <v>219.7</v>
      </c>
      <c r="K36" s="24">
        <v>1166.5999999999999</v>
      </c>
    </row>
    <row r="37" spans="1:17" x14ac:dyDescent="0.45">
      <c r="B37" s="34" t="s">
        <v>280</v>
      </c>
      <c r="C37" s="24">
        <v>0</v>
      </c>
      <c r="D37" s="24">
        <v>6.6000000000000003E-2</v>
      </c>
      <c r="E37" s="24">
        <v>1.9E-2</v>
      </c>
      <c r="F37" s="24">
        <v>1.7999999999999999E-2</v>
      </c>
      <c r="G37" s="24">
        <v>0</v>
      </c>
      <c r="H37" s="24">
        <v>0</v>
      </c>
      <c r="I37" s="24">
        <v>21.3</v>
      </c>
      <c r="J37" s="24">
        <v>80.2</v>
      </c>
      <c r="K37" s="24">
        <v>1176.0999999999999</v>
      </c>
    </row>
    <row r="38" spans="1:17" x14ac:dyDescent="0.45">
      <c r="B38" s="34" t="s">
        <v>281</v>
      </c>
      <c r="C38" s="24">
        <v>0</v>
      </c>
      <c r="D38" s="24">
        <v>2E-3</v>
      </c>
      <c r="E38" s="24">
        <v>0.68700000000000006</v>
      </c>
      <c r="F38" s="24">
        <v>0.89100000000000001</v>
      </c>
      <c r="G38" s="24">
        <v>0.75600000000000001</v>
      </c>
      <c r="H38" s="24">
        <v>162.1</v>
      </c>
      <c r="I38" s="24">
        <v>0.4</v>
      </c>
      <c r="J38" s="24">
        <v>230</v>
      </c>
      <c r="K38" s="24">
        <v>260.39999999999998</v>
      </c>
    </row>
    <row r="39" spans="1:17" s="29" customFormat="1" x14ac:dyDescent="0.45">
      <c r="A39" s="24"/>
      <c r="B39" s="39" t="s">
        <v>287</v>
      </c>
      <c r="C39" s="36">
        <v>0</v>
      </c>
      <c r="D39" s="36">
        <v>389.95900000000006</v>
      </c>
      <c r="E39" s="36">
        <v>374.71299999999997</v>
      </c>
      <c r="F39" s="36">
        <v>652.98599999999999</v>
      </c>
      <c r="G39" s="36">
        <v>797.64699999999993</v>
      </c>
      <c r="H39" s="36">
        <v>2318.6</v>
      </c>
      <c r="I39" s="36">
        <v>15830.8</v>
      </c>
      <c r="J39" s="36">
        <v>23279.1</v>
      </c>
      <c r="K39" s="36">
        <v>23006.3</v>
      </c>
      <c r="L39" s="36"/>
      <c r="M39" s="36"/>
      <c r="N39" s="36"/>
      <c r="O39" s="36"/>
      <c r="P39" s="36"/>
      <c r="Q39" s="36"/>
    </row>
    <row r="41" spans="1:17" x14ac:dyDescent="0.45">
      <c r="A41" s="24" t="s">
        <v>14</v>
      </c>
      <c r="B41" s="32" t="s">
        <v>416</v>
      </c>
    </row>
    <row r="42" spans="1:17" x14ac:dyDescent="0.45">
      <c r="C42" s="25"/>
      <c r="D42" s="25"/>
      <c r="E42" s="25"/>
      <c r="F42" s="25"/>
      <c r="G42" s="25"/>
      <c r="H42" s="25"/>
      <c r="I42" s="25"/>
      <c r="J42" s="25"/>
      <c r="K42" s="25"/>
      <c r="L42" s="25"/>
      <c r="M42" s="25"/>
      <c r="N42" s="25"/>
      <c r="O42" s="25"/>
      <c r="P42" s="25"/>
      <c r="Q42" s="25"/>
    </row>
    <row r="43" spans="1:17" x14ac:dyDescent="0.45">
      <c r="B43" s="34" t="s">
        <v>298</v>
      </c>
      <c r="C43" s="24">
        <v>0</v>
      </c>
      <c r="D43" s="24">
        <v>0</v>
      </c>
      <c r="E43" s="24">
        <v>0</v>
      </c>
      <c r="F43" s="24">
        <v>0</v>
      </c>
      <c r="G43" s="24">
        <v>5.3070000000000004</v>
      </c>
      <c r="H43" s="24">
        <v>9.1</v>
      </c>
      <c r="I43" s="24">
        <v>129.9</v>
      </c>
      <c r="J43" s="24">
        <v>36</v>
      </c>
      <c r="K43" s="24">
        <v>28.1</v>
      </c>
    </row>
    <row r="44" spans="1:17" x14ac:dyDescent="0.45">
      <c r="B44" s="34" t="s">
        <v>296</v>
      </c>
      <c r="C44" s="24">
        <v>0</v>
      </c>
      <c r="D44" s="24">
        <v>6.218</v>
      </c>
      <c r="E44" s="24">
        <v>52.537999999999997</v>
      </c>
      <c r="F44" s="24">
        <v>41.720999999999997</v>
      </c>
      <c r="G44" s="24">
        <v>20.498000000000001</v>
      </c>
      <c r="H44" s="24">
        <v>102.3</v>
      </c>
      <c r="I44" s="24">
        <v>160</v>
      </c>
      <c r="J44" s="24">
        <v>204.1</v>
      </c>
      <c r="K44" s="24">
        <v>354</v>
      </c>
    </row>
    <row r="45" spans="1:17" x14ac:dyDescent="0.45">
      <c r="B45" s="34" t="s">
        <v>297</v>
      </c>
      <c r="C45" s="24">
        <v>0</v>
      </c>
      <c r="D45" s="24">
        <v>50.417999999999999</v>
      </c>
      <c r="E45" s="24">
        <v>106.006</v>
      </c>
      <c r="F45" s="24">
        <v>84.399999999999991</v>
      </c>
      <c r="G45" s="24">
        <v>112.337</v>
      </c>
      <c r="H45" s="24">
        <v>494.6</v>
      </c>
      <c r="I45" s="24">
        <v>3196.1000000000004</v>
      </c>
      <c r="J45" s="24">
        <v>2720.9</v>
      </c>
      <c r="K45" s="24">
        <v>1688.3999999999999</v>
      </c>
    </row>
    <row r="46" spans="1:17" x14ac:dyDescent="0.45">
      <c r="B46" s="34" t="s">
        <v>292</v>
      </c>
      <c r="C46" s="24">
        <v>0</v>
      </c>
      <c r="D46" s="24">
        <v>0</v>
      </c>
      <c r="E46" s="24">
        <v>0</v>
      </c>
      <c r="F46" s="24">
        <v>0</v>
      </c>
      <c r="G46" s="24">
        <v>68.903999999999996</v>
      </c>
      <c r="H46" s="24">
        <v>231</v>
      </c>
      <c r="I46" s="24">
        <v>171.6</v>
      </c>
      <c r="J46" s="24">
        <v>176.2</v>
      </c>
      <c r="K46" s="24">
        <v>191</v>
      </c>
    </row>
    <row r="47" spans="1:17" x14ac:dyDescent="0.45">
      <c r="B47" s="34" t="s">
        <v>293</v>
      </c>
      <c r="C47" s="24">
        <v>0</v>
      </c>
      <c r="D47" s="24">
        <v>0</v>
      </c>
      <c r="E47" s="24">
        <v>0</v>
      </c>
      <c r="F47" s="24">
        <v>0</v>
      </c>
      <c r="G47" s="24">
        <v>0</v>
      </c>
      <c r="H47" s="24">
        <v>0.2</v>
      </c>
      <c r="I47" s="24">
        <v>66.7</v>
      </c>
      <c r="J47" s="24">
        <v>6.2</v>
      </c>
      <c r="K47" s="24">
        <v>39.700000000000003</v>
      </c>
    </row>
    <row r="48" spans="1:17" ht="28.5" x14ac:dyDescent="0.45">
      <c r="B48" s="34" t="s">
        <v>294</v>
      </c>
      <c r="C48" s="24">
        <v>0</v>
      </c>
      <c r="D48" s="24">
        <v>301.46499999999997</v>
      </c>
      <c r="E48" s="24">
        <v>264.375</v>
      </c>
      <c r="F48" s="24">
        <v>259.86500000000001</v>
      </c>
      <c r="G48" s="24">
        <v>97.108999999999995</v>
      </c>
      <c r="H48" s="24">
        <v>109.60000000000001</v>
      </c>
      <c r="I48" s="24">
        <v>212.8</v>
      </c>
      <c r="J48" s="24">
        <v>80.099999999999994</v>
      </c>
      <c r="K48" s="24">
        <v>459.20000000000005</v>
      </c>
    </row>
    <row r="49" spans="1:17" x14ac:dyDescent="0.45">
      <c r="B49" s="34" t="s">
        <v>291</v>
      </c>
      <c r="C49" s="24">
        <v>0</v>
      </c>
      <c r="D49" s="24">
        <v>1.387</v>
      </c>
      <c r="E49" s="24">
        <v>1.0900000000000001</v>
      </c>
      <c r="F49" s="24">
        <v>0.84699999999999998</v>
      </c>
      <c r="G49" s="24">
        <v>0</v>
      </c>
      <c r="H49" s="24">
        <v>0</v>
      </c>
      <c r="I49" s="24">
        <v>0</v>
      </c>
      <c r="J49" s="24">
        <v>0</v>
      </c>
      <c r="K49" s="24">
        <v>0</v>
      </c>
    </row>
    <row r="50" spans="1:17" x14ac:dyDescent="0.45">
      <c r="B50" s="34" t="s">
        <v>289</v>
      </c>
      <c r="C50" s="24">
        <v>0</v>
      </c>
      <c r="D50" s="24">
        <v>30.470999999999997</v>
      </c>
      <c r="E50" s="24">
        <v>-49.295999999999978</v>
      </c>
      <c r="F50" s="24">
        <v>266.15299999999996</v>
      </c>
      <c r="G50" s="24">
        <v>493.49200000000008</v>
      </c>
      <c r="H50" s="24">
        <v>1371.8000000000002</v>
      </c>
      <c r="I50" s="24">
        <v>11893.699999999999</v>
      </c>
      <c r="J50" s="24">
        <v>20055.599999999999</v>
      </c>
      <c r="K50" s="24">
        <v>20245.900000000001</v>
      </c>
    </row>
    <row r="51" spans="1:17" x14ac:dyDescent="0.45">
      <c r="B51" s="34" t="s">
        <v>290</v>
      </c>
      <c r="C51" s="24">
        <v>0</v>
      </c>
      <c r="D51" s="24">
        <v>0</v>
      </c>
      <c r="E51" s="24">
        <v>0</v>
      </c>
      <c r="F51" s="24">
        <v>0</v>
      </c>
      <c r="G51" s="24">
        <v>0</v>
      </c>
      <c r="H51" s="24">
        <v>0</v>
      </c>
      <c r="I51" s="24">
        <v>0</v>
      </c>
      <c r="J51" s="24">
        <v>0</v>
      </c>
      <c r="K51" s="24">
        <v>0</v>
      </c>
    </row>
    <row r="52" spans="1:17" s="29" customFormat="1" x14ac:dyDescent="0.45">
      <c r="A52" s="24"/>
      <c r="B52" s="39" t="s">
        <v>300</v>
      </c>
      <c r="C52" s="36">
        <v>0</v>
      </c>
      <c r="D52" s="36">
        <v>389.959</v>
      </c>
      <c r="E52" s="36">
        <v>374.71299999999997</v>
      </c>
      <c r="F52" s="36">
        <v>652.98599999999988</v>
      </c>
      <c r="G52" s="36">
        <v>797.64700000000005</v>
      </c>
      <c r="H52" s="36">
        <v>2318.6000000000004</v>
      </c>
      <c r="I52" s="36">
        <v>15830.8</v>
      </c>
      <c r="J52" s="36">
        <v>23279.1</v>
      </c>
      <c r="K52" s="36">
        <v>23006.300000000003</v>
      </c>
      <c r="L52" s="36"/>
      <c r="M52" s="36"/>
      <c r="N52" s="36"/>
      <c r="O52" s="36"/>
      <c r="P52" s="36"/>
      <c r="Q52" s="36"/>
    </row>
    <row r="54" spans="1:17" x14ac:dyDescent="0.45">
      <c r="A54" s="24" t="s">
        <v>14</v>
      </c>
      <c r="B54" s="32" t="s">
        <v>302</v>
      </c>
    </row>
    <row r="55" spans="1:17" x14ac:dyDescent="0.45">
      <c r="C55" s="25"/>
      <c r="D55" s="25"/>
      <c r="E55" s="25"/>
      <c r="F55" s="25"/>
      <c r="G55" s="25"/>
      <c r="H55" s="25"/>
      <c r="I55" s="25"/>
      <c r="J55" s="25"/>
      <c r="K55" s="25"/>
      <c r="L55" s="25"/>
      <c r="M55" s="25"/>
      <c r="N55" s="25"/>
      <c r="O55" s="25"/>
      <c r="P55" s="25"/>
      <c r="Q55" s="25"/>
    </row>
    <row r="56" spans="1:17" x14ac:dyDescent="0.45">
      <c r="B56" s="34" t="s">
        <v>303</v>
      </c>
      <c r="C56" s="24">
        <v>0</v>
      </c>
      <c r="D56" s="24">
        <v>0</v>
      </c>
      <c r="E56" s="24">
        <v>-87.984999999999999</v>
      </c>
      <c r="F56" s="24">
        <v>-49.61</v>
      </c>
      <c r="G56" s="24">
        <v>-179.2</v>
      </c>
      <c r="H56" s="24">
        <v>-125.10000000000001</v>
      </c>
      <c r="I56" s="24">
        <v>15347.9</v>
      </c>
      <c r="J56" s="24">
        <v>12707.699999999999</v>
      </c>
      <c r="K56" s="24">
        <v>674.4</v>
      </c>
    </row>
    <row r="57" spans="1:17" ht="42.75" x14ac:dyDescent="0.45">
      <c r="B57" s="34" t="s">
        <v>417</v>
      </c>
      <c r="C57" s="24">
        <v>0</v>
      </c>
      <c r="D57" s="24">
        <v>0</v>
      </c>
      <c r="E57" s="24">
        <v>0</v>
      </c>
      <c r="F57" s="24">
        <v>0</v>
      </c>
      <c r="G57" s="24">
        <v>0</v>
      </c>
      <c r="H57" s="24">
        <v>0</v>
      </c>
      <c r="I57" s="24">
        <v>0</v>
      </c>
      <c r="J57" s="24">
        <v>0</v>
      </c>
      <c r="K57" s="24">
        <v>0</v>
      </c>
    </row>
    <row r="58" spans="1:17" x14ac:dyDescent="0.45">
      <c r="B58" s="34" t="s">
        <v>305</v>
      </c>
      <c r="C58" s="24">
        <v>0</v>
      </c>
      <c r="D58" s="24">
        <v>0</v>
      </c>
      <c r="E58" s="24">
        <v>24.913</v>
      </c>
      <c r="F58" s="24">
        <v>0.52900000000000003</v>
      </c>
      <c r="G58" s="24">
        <v>0.6</v>
      </c>
      <c r="H58" s="24">
        <v>135.6</v>
      </c>
      <c r="I58" s="24">
        <v>-414.6</v>
      </c>
      <c r="J58" s="24">
        <v>385.40000000000003</v>
      </c>
      <c r="K58" s="24">
        <v>-116.29999999999998</v>
      </c>
    </row>
    <row r="59" spans="1:17" x14ac:dyDescent="0.45">
      <c r="B59" s="34" t="s">
        <v>306</v>
      </c>
      <c r="C59" s="24">
        <v>0</v>
      </c>
      <c r="D59" s="24">
        <v>0</v>
      </c>
      <c r="E59" s="24">
        <v>16.439</v>
      </c>
      <c r="F59" s="24">
        <v>29.625</v>
      </c>
      <c r="G59" s="24">
        <v>64.099999999999994</v>
      </c>
      <c r="H59" s="24">
        <v>70.800000000000011</v>
      </c>
      <c r="I59" s="24">
        <v>155.70000000000002</v>
      </c>
      <c r="J59" s="24">
        <v>180.1</v>
      </c>
      <c r="K59" s="24">
        <v>-531.40000000000009</v>
      </c>
    </row>
    <row r="60" spans="1:17" x14ac:dyDescent="0.45">
      <c r="B60" s="34" t="s">
        <v>304</v>
      </c>
      <c r="C60" s="24">
        <v>0</v>
      </c>
      <c r="D60" s="24">
        <v>0</v>
      </c>
      <c r="E60" s="24">
        <v>-4.4999999999999998E-2</v>
      </c>
      <c r="F60" s="24">
        <v>-0.30399999999999999</v>
      </c>
      <c r="G60" s="24">
        <v>0.2</v>
      </c>
      <c r="H60" s="24">
        <v>0.5</v>
      </c>
      <c r="I60" s="24">
        <v>-3457.9</v>
      </c>
      <c r="J60" s="24">
        <v>-4222.1000000000004</v>
      </c>
      <c r="K60" s="24">
        <v>-482.9</v>
      </c>
    </row>
    <row r="61" spans="1:17" x14ac:dyDescent="0.45">
      <c r="B61" s="34" t="s">
        <v>310</v>
      </c>
      <c r="C61" s="24">
        <v>0</v>
      </c>
      <c r="D61" s="24">
        <v>0</v>
      </c>
      <c r="E61" s="24">
        <v>2.133</v>
      </c>
      <c r="F61" s="24">
        <v>1.996</v>
      </c>
      <c r="G61" s="24">
        <v>1.2999999999999999E-3</v>
      </c>
      <c r="H61" s="24">
        <v>1.4</v>
      </c>
      <c r="I61" s="24">
        <v>1.2</v>
      </c>
      <c r="J61" s="24">
        <v>29.3</v>
      </c>
      <c r="K61" s="24">
        <v>258.2</v>
      </c>
    </row>
    <row r="62" spans="1:17" x14ac:dyDescent="0.45">
      <c r="B62" s="34" t="s">
        <v>311</v>
      </c>
      <c r="C62" s="24">
        <v>0</v>
      </c>
      <c r="D62" s="24">
        <v>0</v>
      </c>
      <c r="E62" s="24">
        <v>0</v>
      </c>
      <c r="F62" s="24">
        <v>0</v>
      </c>
      <c r="G62" s="24">
        <v>0</v>
      </c>
      <c r="H62" s="24">
        <v>0</v>
      </c>
      <c r="I62" s="24">
        <v>0</v>
      </c>
      <c r="J62" s="24">
        <v>0</v>
      </c>
      <c r="K62" s="24">
        <v>0</v>
      </c>
    </row>
    <row r="63" spans="1:17" ht="28.5" x14ac:dyDescent="0.45">
      <c r="B63" s="34" t="s">
        <v>308</v>
      </c>
      <c r="C63" s="24">
        <v>0</v>
      </c>
      <c r="D63" s="24">
        <v>0</v>
      </c>
      <c r="E63" s="24">
        <v>-7.9639999999999995</v>
      </c>
      <c r="F63" s="24">
        <v>-41.064999999999998</v>
      </c>
      <c r="G63" s="24">
        <v>-83.5</v>
      </c>
      <c r="H63" s="24">
        <v>-93.1</v>
      </c>
      <c r="I63" s="24">
        <v>-10730.4</v>
      </c>
      <c r="J63" s="24">
        <v>4518.4999999999991</v>
      </c>
      <c r="K63" s="24">
        <v>5574.7999999999993</v>
      </c>
    </row>
    <row r="64" spans="1:17" ht="28.5" x14ac:dyDescent="0.45">
      <c r="B64" s="34" t="s">
        <v>312</v>
      </c>
      <c r="C64" s="24">
        <v>0</v>
      </c>
      <c r="D64" s="24">
        <v>0</v>
      </c>
      <c r="E64" s="24">
        <v>-52.548999999999999</v>
      </c>
      <c r="F64" s="24">
        <v>-66.451999999999998</v>
      </c>
      <c r="G64" s="24">
        <v>-77.2</v>
      </c>
      <c r="H64" s="24">
        <v>-144.80000000000001</v>
      </c>
      <c r="I64" s="24">
        <v>-566.1</v>
      </c>
      <c r="J64" s="24">
        <v>-35.300000000000011</v>
      </c>
      <c r="K64" s="24">
        <v>-6954.4999999999991</v>
      </c>
    </row>
    <row r="65" spans="2:17" x14ac:dyDescent="0.45">
      <c r="B65" s="39" t="s">
        <v>111</v>
      </c>
      <c r="C65" s="36">
        <v>0</v>
      </c>
      <c r="D65" s="36">
        <v>0</v>
      </c>
      <c r="E65" s="36">
        <v>-105.05799999999999</v>
      </c>
      <c r="F65" s="36">
        <v>-125.28099999999999</v>
      </c>
      <c r="G65" s="36">
        <v>-274.99869999999999</v>
      </c>
      <c r="H65" s="36">
        <v>-154.69999999999999</v>
      </c>
      <c r="I65" s="36">
        <v>335.80000000000143</v>
      </c>
      <c r="J65" s="36">
        <v>13563.599999999999</v>
      </c>
      <c r="K65" s="36">
        <v>-1577.6999999999998</v>
      </c>
      <c r="L65" s="32"/>
      <c r="M65" s="32"/>
      <c r="N65" s="32"/>
      <c r="O65" s="32"/>
      <c r="P65" s="32"/>
      <c r="Q65" s="32"/>
    </row>
    <row r="66" spans="2:17" x14ac:dyDescent="0.45">
      <c r="C66" s="25"/>
      <c r="D66" s="25"/>
      <c r="E66" s="25"/>
      <c r="F66" s="25"/>
      <c r="G66" s="25"/>
      <c r="H66" s="25"/>
      <c r="I66" s="25"/>
      <c r="J66" s="25"/>
      <c r="K66" s="25"/>
      <c r="L66" s="25"/>
      <c r="M66" s="25"/>
      <c r="N66" s="25"/>
      <c r="O66" s="25"/>
      <c r="P66" s="25"/>
      <c r="Q66" s="25"/>
    </row>
    <row r="67" spans="2:17" x14ac:dyDescent="0.45">
      <c r="B67" s="34" t="s">
        <v>315</v>
      </c>
      <c r="C67" s="24">
        <v>0</v>
      </c>
      <c r="D67" s="24">
        <v>0</v>
      </c>
      <c r="E67" s="24">
        <v>-1.643</v>
      </c>
      <c r="F67" s="24">
        <v>3.4519999999999995</v>
      </c>
      <c r="G67" s="24">
        <v>7.9</v>
      </c>
      <c r="H67" s="24">
        <v>141.70000000000002</v>
      </c>
      <c r="I67" s="24">
        <v>-66.7</v>
      </c>
      <c r="J67" s="24">
        <v>-59.1</v>
      </c>
      <c r="K67" s="24">
        <v>-40.099999999999994</v>
      </c>
    </row>
    <row r="68" spans="2:17" x14ac:dyDescent="0.45">
      <c r="B68" s="34" t="s">
        <v>314</v>
      </c>
      <c r="C68" s="24">
        <v>0</v>
      </c>
      <c r="D68" s="24">
        <v>0</v>
      </c>
      <c r="E68" s="24">
        <v>-5.2999999999999936E-2</v>
      </c>
      <c r="F68" s="24">
        <v>-4.7999999999999821E-2</v>
      </c>
      <c r="G68" s="24">
        <v>-2E-3</v>
      </c>
      <c r="H68" s="24">
        <v>-3.6</v>
      </c>
      <c r="I68" s="24">
        <v>-12.2</v>
      </c>
      <c r="J68" s="24">
        <v>-21.5</v>
      </c>
      <c r="K68" s="24">
        <v>-5.4</v>
      </c>
    </row>
    <row r="69" spans="2:17" x14ac:dyDescent="0.45">
      <c r="B69" s="34" t="s">
        <v>317</v>
      </c>
      <c r="C69" s="24">
        <v>0</v>
      </c>
      <c r="D69" s="24">
        <v>0</v>
      </c>
      <c r="E69" s="24">
        <v>0</v>
      </c>
      <c r="F69" s="24">
        <v>0</v>
      </c>
      <c r="G69" s="24">
        <v>0</v>
      </c>
      <c r="H69" s="24">
        <v>0</v>
      </c>
      <c r="I69" s="24">
        <v>0</v>
      </c>
      <c r="J69" s="24">
        <v>-484.3</v>
      </c>
      <c r="K69" s="24">
        <v>0</v>
      </c>
    </row>
    <row r="70" spans="2:17" x14ac:dyDescent="0.45">
      <c r="B70" s="34" t="s">
        <v>418</v>
      </c>
      <c r="C70" s="24">
        <v>0</v>
      </c>
      <c r="D70" s="24">
        <v>0</v>
      </c>
      <c r="E70" s="24">
        <v>0</v>
      </c>
      <c r="F70" s="24">
        <v>361.72500000000002</v>
      </c>
      <c r="G70" s="24">
        <v>375.4</v>
      </c>
      <c r="H70" s="24">
        <v>753</v>
      </c>
      <c r="I70" s="24">
        <v>160.9</v>
      </c>
      <c r="J70" s="24">
        <v>-875.9</v>
      </c>
      <c r="K70" s="24">
        <v>-738.5</v>
      </c>
    </row>
    <row r="71" spans="2:17" x14ac:dyDescent="0.45">
      <c r="B71" s="31" t="s">
        <v>319</v>
      </c>
      <c r="C71" s="24">
        <v>0</v>
      </c>
      <c r="D71" s="24">
        <v>0</v>
      </c>
      <c r="E71" s="24">
        <v>-24.818999999999999</v>
      </c>
      <c r="F71" s="24">
        <v>-0.45900000000000002</v>
      </c>
      <c r="G71" s="24">
        <v>0</v>
      </c>
      <c r="H71" s="24">
        <v>-45.3</v>
      </c>
      <c r="I71" s="24">
        <v>64.7</v>
      </c>
      <c r="J71" s="24">
        <v>59.6</v>
      </c>
      <c r="K71" s="24">
        <v>150.30000000000001</v>
      </c>
      <c r="L71" s="32"/>
      <c r="M71" s="32"/>
      <c r="N71" s="32"/>
      <c r="O71" s="32"/>
      <c r="P71" s="32"/>
      <c r="Q71" s="32"/>
    </row>
    <row r="72" spans="2:17" x14ac:dyDescent="0.45">
      <c r="B72" s="39" t="s">
        <v>419</v>
      </c>
      <c r="C72" s="36">
        <v>0</v>
      </c>
      <c r="D72" s="36">
        <v>0</v>
      </c>
      <c r="E72" s="36">
        <v>-131.57299999999998</v>
      </c>
      <c r="F72" s="36">
        <v>239.38900000000001</v>
      </c>
      <c r="G72" s="36">
        <v>108.29930000000002</v>
      </c>
      <c r="H72" s="36">
        <v>691.10000000000014</v>
      </c>
      <c r="I72" s="36">
        <v>482.50000000000142</v>
      </c>
      <c r="J72" s="36">
        <v>12182.399999999998</v>
      </c>
      <c r="K72" s="36">
        <v>-2211.3999999999996</v>
      </c>
    </row>
  </sheetData>
  <dataValidations count="4">
    <dataValidation type="list" allowBlank="1" showInputMessage="1" showErrorMessage="1" sqref="C27:F27" xr:uid="{5438CDB4-E55E-4E04-9634-F6FB79494C40}">
      <formula1>C$224:C$240</formula1>
    </dataValidation>
    <dataValidation type="list" allowBlank="1" showInputMessage="1" showErrorMessage="1" sqref="B5" xr:uid="{6B413854-12AB-4D1D-8CAE-D2B6B872A507}">
      <formula1>B$247:B$264</formula1>
    </dataValidation>
    <dataValidation type="list" allowBlank="1" showInputMessage="1" showErrorMessage="1" sqref="B9" xr:uid="{23135D61-E953-47E1-8900-5D95A68614B1}">
      <formula1>B$246:B$263</formula1>
    </dataValidation>
    <dataValidation type="list" allowBlank="1" showInputMessage="1" showErrorMessage="1" sqref="B13" xr:uid="{F437A388-D8DE-DB44-8B72-288321969387}">
      <formula1>B$243:B$260</formula1>
    </dataValidation>
  </dataValidation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3F0A7-717C-1543-949E-FAE0AE99F291}">
  <dimension ref="A2:S72"/>
  <sheetViews>
    <sheetView showGridLines="0" workbookViewId="0"/>
  </sheetViews>
  <sheetFormatPr defaultColWidth="9.1328125" defaultRowHeight="14.25" x14ac:dyDescent="0.45"/>
  <cols>
    <col min="1" max="1" width="3.33203125" style="24" customWidth="1"/>
    <col min="2" max="2" width="36.33203125" style="24" customWidth="1"/>
    <col min="3" max="17" width="13.1328125" style="24" customWidth="1"/>
    <col min="18" max="16384" width="9.1328125" style="24"/>
  </cols>
  <sheetData>
    <row r="2" spans="1:19" x14ac:dyDescent="0.45">
      <c r="C2" s="21">
        <v>2015</v>
      </c>
      <c r="D2" s="21">
        <v>2016</v>
      </c>
      <c r="E2" s="21">
        <v>2017</v>
      </c>
      <c r="F2" s="21">
        <v>2018</v>
      </c>
      <c r="G2" s="21">
        <v>2019</v>
      </c>
      <c r="H2" s="21">
        <v>2020</v>
      </c>
      <c r="I2" s="21">
        <v>2021</v>
      </c>
      <c r="J2" s="21">
        <v>2022</v>
      </c>
      <c r="K2" s="21">
        <v>2023</v>
      </c>
      <c r="L2" s="21">
        <v>2024</v>
      </c>
      <c r="M2" s="37">
        <v>2025</v>
      </c>
      <c r="N2" s="37">
        <v>2026</v>
      </c>
      <c r="O2" s="37">
        <v>2027</v>
      </c>
      <c r="P2" s="37">
        <v>2028</v>
      </c>
      <c r="Q2" s="37">
        <v>2029</v>
      </c>
    </row>
    <row r="3" spans="1:19" x14ac:dyDescent="0.45">
      <c r="A3" s="24" t="s">
        <v>14</v>
      </c>
      <c r="B3" s="32" t="s">
        <v>252</v>
      </c>
      <c r="C3" s="33"/>
      <c r="D3" s="33"/>
      <c r="E3" s="33"/>
      <c r="F3" s="33"/>
      <c r="G3" s="33"/>
      <c r="H3" s="33"/>
      <c r="I3" s="33"/>
      <c r="J3" s="33"/>
      <c r="K3" s="33"/>
      <c r="L3" s="33"/>
      <c r="M3" s="33"/>
      <c r="N3" s="33"/>
      <c r="O3" s="33"/>
      <c r="P3" s="33"/>
      <c r="Q3" s="33"/>
    </row>
    <row r="4" spans="1:19" x14ac:dyDescent="0.45">
      <c r="C4" s="25"/>
      <c r="D4" s="25"/>
      <c r="E4" s="25"/>
      <c r="F4" s="25"/>
      <c r="G4" s="25"/>
      <c r="H4" s="25"/>
      <c r="I4" s="25"/>
      <c r="J4" s="25"/>
      <c r="K4" s="25"/>
      <c r="L4" s="25"/>
      <c r="M4" s="25"/>
      <c r="N4" s="25"/>
      <c r="O4" s="25"/>
      <c r="P4" s="25"/>
      <c r="Q4" s="25"/>
      <c r="S4" s="24" t="s">
        <v>405</v>
      </c>
    </row>
    <row r="5" spans="1:19" x14ac:dyDescent="0.45">
      <c r="B5" s="34" t="s">
        <v>406</v>
      </c>
      <c r="C5" s="24">
        <v>22275.974999999999</v>
      </c>
      <c r="D5" s="24">
        <v>20799.792000000001</v>
      </c>
      <c r="E5" s="24">
        <v>19923.863000000001</v>
      </c>
      <c r="F5" s="24">
        <v>18722.875</v>
      </c>
      <c r="G5" s="24">
        <v>21783.048999999999</v>
      </c>
      <c r="H5" s="24">
        <v>23346.582999999999</v>
      </c>
      <c r="I5" s="24">
        <v>31653.118999999999</v>
      </c>
      <c r="J5" s="24">
        <v>42191.754999999997</v>
      </c>
      <c r="K5" s="24">
        <v>42368.92</v>
      </c>
      <c r="L5" s="24">
        <v>49995.091</v>
      </c>
    </row>
    <row r="6" spans="1:19" x14ac:dyDescent="0.45">
      <c r="B6" s="34" t="s">
        <v>267</v>
      </c>
      <c r="C6" s="24">
        <v>-4046.2429999999999</v>
      </c>
      <c r="D6" s="24">
        <v>-3613.424</v>
      </c>
      <c r="E6" s="24">
        <v>-3669.0419999999999</v>
      </c>
      <c r="F6" s="24">
        <v>-3817.4659999999999</v>
      </c>
      <c r="G6" s="24">
        <v>-4330.8819999999996</v>
      </c>
      <c r="H6" s="24">
        <v>-4601.4269999999997</v>
      </c>
      <c r="I6" s="24">
        <v>-10155.696</v>
      </c>
      <c r="J6" s="24">
        <v>-8220.31</v>
      </c>
      <c r="K6" s="24">
        <v>-7435.902</v>
      </c>
      <c r="L6" s="24">
        <v>-8911.1509999999998</v>
      </c>
    </row>
    <row r="7" spans="1:19" x14ac:dyDescent="0.45">
      <c r="B7" s="34" t="s">
        <v>274</v>
      </c>
      <c r="D7" s="24">
        <v>0</v>
      </c>
      <c r="E7" s="24">
        <v>0</v>
      </c>
      <c r="F7" s="24">
        <v>0</v>
      </c>
      <c r="G7" s="24">
        <v>0</v>
      </c>
      <c r="H7" s="24">
        <v>0</v>
      </c>
      <c r="I7" s="24">
        <v>0</v>
      </c>
      <c r="J7" s="24">
        <v>0</v>
      </c>
      <c r="K7" s="24">
        <v>0</v>
      </c>
      <c r="L7" s="24">
        <v>0</v>
      </c>
    </row>
    <row r="8" spans="1:19" x14ac:dyDescent="0.45">
      <c r="B8" s="34" t="s">
        <v>268</v>
      </c>
      <c r="C8" s="24">
        <v>-9938.9</v>
      </c>
      <c r="D8" s="24">
        <v>-8810.2070000000003</v>
      </c>
      <c r="E8" s="24">
        <v>-8342.0370000000003</v>
      </c>
      <c r="F8" s="24">
        <v>-9172.4290000000001</v>
      </c>
      <c r="G8" s="24">
        <v>-10217.950999999999</v>
      </c>
      <c r="H8" s="24">
        <v>-10162.433999999999</v>
      </c>
      <c r="I8" s="24">
        <v>-12412.706</v>
      </c>
      <c r="J8" s="24">
        <v>-16609.953000000001</v>
      </c>
      <c r="K8" s="24">
        <v>-16670.664000000001</v>
      </c>
      <c r="L8" s="24">
        <v>-17985.954000000002</v>
      </c>
    </row>
    <row r="9" spans="1:19" x14ac:dyDescent="0.45">
      <c r="B9" s="2" t="s">
        <v>269</v>
      </c>
      <c r="C9" s="24">
        <v>-5102.8829999999998</v>
      </c>
      <c r="D9" s="24">
        <v>-5135.2929999999997</v>
      </c>
      <c r="E9" s="24">
        <v>-4837.9560000000001</v>
      </c>
      <c r="F9" s="24">
        <v>-4491.2860000000001</v>
      </c>
      <c r="G9" s="24">
        <v>-4778.442</v>
      </c>
      <c r="H9" s="24">
        <v>-5175.9470000000001</v>
      </c>
      <c r="I9" s="24">
        <v>-6809.0959999999995</v>
      </c>
      <c r="J9" s="24">
        <v>-9198.2610000000004</v>
      </c>
      <c r="K9" s="24">
        <v>-9593.6090000000004</v>
      </c>
      <c r="L9" s="24">
        <v>-11319.696</v>
      </c>
    </row>
    <row r="10" spans="1:19" ht="28.5" x14ac:dyDescent="0.45">
      <c r="B10" s="34" t="s">
        <v>275</v>
      </c>
      <c r="C10" s="24">
        <v>-54.995000000000061</v>
      </c>
      <c r="D10" s="24">
        <v>-323.72499999999997</v>
      </c>
      <c r="E10" s="24">
        <v>-498.42899999999997</v>
      </c>
      <c r="F10" s="24">
        <v>-297.49799999999999</v>
      </c>
      <c r="G10" s="24">
        <v>-226.01400000000001</v>
      </c>
      <c r="H10" s="24">
        <v>-30.699999999999989</v>
      </c>
      <c r="I10" s="24">
        <v>-246.17300000000003</v>
      </c>
      <c r="J10" s="24">
        <v>-147.453</v>
      </c>
      <c r="K10" s="24">
        <v>-47.168000000000006</v>
      </c>
      <c r="L10" s="24">
        <v>12.943999999999988</v>
      </c>
    </row>
    <row r="11" spans="1:19" x14ac:dyDescent="0.45">
      <c r="B11" s="34" t="s">
        <v>407</v>
      </c>
      <c r="C11" s="24">
        <v>32.456000000000003</v>
      </c>
      <c r="D11" s="24">
        <v>38.883000000000003</v>
      </c>
      <c r="E11" s="24">
        <v>87.802000000000007</v>
      </c>
      <c r="F11" s="24">
        <v>111.88</v>
      </c>
      <c r="G11" s="24">
        <v>129.53299999999999</v>
      </c>
      <c r="H11" s="24">
        <v>67.539000000000001</v>
      </c>
      <c r="I11" s="24">
        <v>36.375999999999998</v>
      </c>
      <c r="J11" s="24">
        <v>77.055999999999997</v>
      </c>
      <c r="K11" s="24">
        <v>278.38400000000001</v>
      </c>
      <c r="L11" s="24">
        <v>318.98200000000003</v>
      </c>
    </row>
    <row r="12" spans="1:19" x14ac:dyDescent="0.45">
      <c r="B12" s="34" t="s">
        <v>408</v>
      </c>
      <c r="C12" s="24">
        <v>-353.41500000000002</v>
      </c>
      <c r="D12" s="24">
        <v>-557.92899999999997</v>
      </c>
      <c r="E12" s="24">
        <v>-588.89099999999996</v>
      </c>
      <c r="F12" s="24">
        <v>-630.59400000000005</v>
      </c>
      <c r="G12" s="24">
        <v>-696.8</v>
      </c>
      <c r="H12" s="24">
        <v>-647.322</v>
      </c>
      <c r="I12" s="24">
        <v>-656.46199999999999</v>
      </c>
      <c r="J12" s="24">
        <v>-872.35599999999999</v>
      </c>
      <c r="K12" s="24">
        <v>-1127.4090000000001</v>
      </c>
      <c r="L12" s="24">
        <v>-1297.193</v>
      </c>
    </row>
    <row r="13" spans="1:19" x14ac:dyDescent="0.45">
      <c r="B13" s="34" t="s">
        <v>255</v>
      </c>
      <c r="C13" s="24">
        <v>-29.752000000000002</v>
      </c>
      <c r="D13" s="24">
        <v>-48.83</v>
      </c>
      <c r="E13" s="24">
        <v>81.593000000000018</v>
      </c>
      <c r="F13" s="24">
        <v>-95.775999999999996</v>
      </c>
      <c r="G13" s="24">
        <v>-103.627</v>
      </c>
      <c r="H13" s="24">
        <v>-23.683</v>
      </c>
      <c r="I13" s="24">
        <v>602.32100000000003</v>
      </c>
      <c r="J13" s="24">
        <v>-4.7569999999999997</v>
      </c>
      <c r="K13" s="24">
        <v>-11.098000000000001</v>
      </c>
      <c r="L13" s="24">
        <v>-25.888000000000002</v>
      </c>
    </row>
    <row r="14" spans="1:19" x14ac:dyDescent="0.45">
      <c r="B14" s="34" t="s">
        <v>409</v>
      </c>
      <c r="C14" s="24">
        <v>-15.325999999999851</v>
      </c>
      <c r="D14" s="24">
        <v>862.66399999999999</v>
      </c>
      <c r="E14" s="24">
        <v>-181.81099999999998</v>
      </c>
      <c r="F14" s="24">
        <v>1359.5049999999999</v>
      </c>
      <c r="G14" s="24">
        <v>-175.98700000000008</v>
      </c>
      <c r="H14" s="24">
        <v>662.23300000000006</v>
      </c>
      <c r="I14" s="24">
        <v>-2235.8610000000003</v>
      </c>
      <c r="J14" s="24">
        <v>-4836.4839999999995</v>
      </c>
      <c r="K14" s="24">
        <v>-1380.8209999999999</v>
      </c>
      <c r="L14" s="24">
        <v>-2751.5650000000001</v>
      </c>
    </row>
    <row r="15" spans="1:19" x14ac:dyDescent="0.45">
      <c r="B15" s="34" t="s">
        <v>410</v>
      </c>
      <c r="C15" s="24">
        <v>-219.08099999999999</v>
      </c>
      <c r="D15" s="24">
        <v>-132.02199999999999</v>
      </c>
      <c r="E15" s="24">
        <v>568.49300000000005</v>
      </c>
      <c r="F15" s="24">
        <v>48.311999999999998</v>
      </c>
      <c r="G15" s="24">
        <v>-286.76</v>
      </c>
      <c r="H15" s="24">
        <v>-677.14499999999998</v>
      </c>
      <c r="I15" s="24">
        <v>321.46300000000002</v>
      </c>
      <c r="J15" s="24">
        <v>753.44100000000003</v>
      </c>
      <c r="K15" s="24">
        <v>-867.52200000000005</v>
      </c>
      <c r="L15" s="24">
        <v>-1525.5650000000001</v>
      </c>
    </row>
    <row r="16" spans="1:19" x14ac:dyDescent="0.45">
      <c r="B16" s="34" t="s">
        <v>411</v>
      </c>
      <c r="C16" s="24">
        <v>-0.90200000000000002</v>
      </c>
      <c r="D16" s="24">
        <v>84.096000000000004</v>
      </c>
      <c r="E16" s="24">
        <v>117.956</v>
      </c>
      <c r="F16" s="24">
        <v>88.995000000000005</v>
      </c>
      <c r="G16" s="24">
        <v>96.48</v>
      </c>
      <c r="H16" s="24">
        <v>45.610999999999997</v>
      </c>
      <c r="I16" s="24">
        <v>-2.5379999999999998</v>
      </c>
      <c r="J16" s="24">
        <v>-4.7569999999999997</v>
      </c>
      <c r="K16" s="24">
        <v>-5.5490000000000004</v>
      </c>
      <c r="L16" s="24">
        <v>-5.548</v>
      </c>
    </row>
    <row r="17" spans="1:17" x14ac:dyDescent="0.45">
      <c r="B17" s="34" t="s">
        <v>263</v>
      </c>
      <c r="C17" s="24">
        <v>0</v>
      </c>
      <c r="D17" s="24">
        <v>0</v>
      </c>
      <c r="E17" s="24">
        <v>0</v>
      </c>
      <c r="F17" s="24">
        <v>0</v>
      </c>
      <c r="G17" s="24">
        <v>0</v>
      </c>
      <c r="H17" s="24">
        <v>0</v>
      </c>
      <c r="I17" s="24">
        <v>0</v>
      </c>
      <c r="J17" s="24">
        <v>0</v>
      </c>
      <c r="K17" s="24">
        <v>0</v>
      </c>
      <c r="L17" s="24">
        <v>0</v>
      </c>
    </row>
    <row r="18" spans="1:17" s="26" customFormat="1" x14ac:dyDescent="0.45">
      <c r="B18" s="35" t="s">
        <v>412</v>
      </c>
      <c r="C18" s="36">
        <v>2546.9340000000007</v>
      </c>
      <c r="D18" s="36">
        <v>3164.0050000000024</v>
      </c>
      <c r="E18" s="36">
        <v>2661.5410000000015</v>
      </c>
      <c r="F18" s="36">
        <v>1826.5179999999991</v>
      </c>
      <c r="G18" s="36">
        <v>1192.599000000002</v>
      </c>
      <c r="H18" s="36">
        <v>2803.308</v>
      </c>
      <c r="I18" s="36">
        <v>94.746999999998778</v>
      </c>
      <c r="J18" s="36">
        <v>3127.920999999998</v>
      </c>
      <c r="K18" s="36">
        <v>5507.5619999999963</v>
      </c>
      <c r="L18" s="36">
        <v>6504.4569999999994</v>
      </c>
      <c r="M18" s="32"/>
      <c r="N18" s="32"/>
      <c r="O18" s="32"/>
      <c r="P18" s="32"/>
      <c r="Q18" s="32"/>
    </row>
    <row r="20" spans="1:17" x14ac:dyDescent="0.45">
      <c r="A20" s="24" t="s">
        <v>14</v>
      </c>
      <c r="B20" s="32" t="s">
        <v>413</v>
      </c>
    </row>
    <row r="21" spans="1:17" x14ac:dyDescent="0.45">
      <c r="B21" s="32"/>
      <c r="C21" s="25"/>
      <c r="D21" s="25"/>
      <c r="E21" s="25"/>
      <c r="F21" s="25"/>
      <c r="G21" s="25"/>
      <c r="H21" s="25"/>
      <c r="I21" s="25"/>
      <c r="J21" s="25"/>
      <c r="K21" s="25"/>
      <c r="L21" s="25"/>
      <c r="M21" s="25"/>
      <c r="N21" s="25"/>
      <c r="O21" s="25"/>
      <c r="P21" s="25"/>
      <c r="Q21" s="25"/>
    </row>
    <row r="22" spans="1:17" x14ac:dyDescent="0.45">
      <c r="B22" s="34" t="s">
        <v>263</v>
      </c>
    </row>
    <row r="23" spans="1:17" x14ac:dyDescent="0.45">
      <c r="B23" s="34" t="s">
        <v>272</v>
      </c>
    </row>
    <row r="24" spans="1:17" x14ac:dyDescent="0.45">
      <c r="B24" s="34" t="s">
        <v>273</v>
      </c>
    </row>
    <row r="25" spans="1:17" x14ac:dyDescent="0.45">
      <c r="B25" s="34" t="s">
        <v>274</v>
      </c>
      <c r="C25" s="24" t="e">
        <v>#REF!</v>
      </c>
    </row>
    <row r="26" spans="1:17" ht="42.75" x14ac:dyDescent="0.45">
      <c r="B26" s="34" t="s">
        <v>414</v>
      </c>
      <c r="C26" s="24">
        <v>2268.348</v>
      </c>
      <c r="D26" s="24">
        <v>1972.191</v>
      </c>
      <c r="E26" s="24">
        <v>2057.5720000000001</v>
      </c>
      <c r="F26" s="24">
        <v>2314.7199999999998</v>
      </c>
      <c r="G26" s="24">
        <v>2424.5079999999998</v>
      </c>
      <c r="H26" s="24">
        <v>2486.665</v>
      </c>
      <c r="I26" s="24">
        <v>3416.8139999999999</v>
      </c>
      <c r="J26" s="24">
        <v>4925.9070000000002</v>
      </c>
      <c r="K26" s="24">
        <v>4486.5129999999999</v>
      </c>
      <c r="L26" s="24">
        <v>4605.3580000000002</v>
      </c>
    </row>
    <row r="27" spans="1:17" ht="28.5" x14ac:dyDescent="0.45">
      <c r="B27" s="34" t="s">
        <v>275</v>
      </c>
    </row>
    <row r="28" spans="1:17" x14ac:dyDescent="0.45">
      <c r="B28" s="34"/>
    </row>
    <row r="29" spans="1:17" x14ac:dyDescent="0.45">
      <c r="A29" s="24" t="s">
        <v>14</v>
      </c>
      <c r="B29" s="32" t="s">
        <v>415</v>
      </c>
    </row>
    <row r="30" spans="1:17" x14ac:dyDescent="0.45">
      <c r="C30" s="25"/>
      <c r="D30" s="25"/>
      <c r="E30" s="25"/>
      <c r="F30" s="25"/>
      <c r="G30" s="25"/>
      <c r="H30" s="25"/>
      <c r="I30" s="25"/>
      <c r="J30" s="25"/>
      <c r="K30" s="25"/>
      <c r="L30" s="25"/>
      <c r="M30" s="25"/>
      <c r="N30" s="25"/>
      <c r="O30" s="25"/>
      <c r="P30" s="25"/>
      <c r="Q30" s="25"/>
    </row>
    <row r="31" spans="1:17" x14ac:dyDescent="0.45">
      <c r="B31" s="34" t="s">
        <v>285</v>
      </c>
      <c r="C31" s="24">
        <v>6309.5569999999998</v>
      </c>
      <c r="D31" s="24">
        <v>5596.277</v>
      </c>
      <c r="E31" s="24">
        <v>3792.5709999999999</v>
      </c>
      <c r="F31" s="24">
        <v>4254.3310000000001</v>
      </c>
      <c r="G31" s="24">
        <v>4818.1779999999999</v>
      </c>
      <c r="H31" s="24">
        <v>6436.9949999999999</v>
      </c>
      <c r="I31" s="24">
        <v>5611.6930000000002</v>
      </c>
      <c r="J31" s="24">
        <v>5829.4110000000001</v>
      </c>
      <c r="K31" s="24">
        <v>5283.4480000000003</v>
      </c>
      <c r="L31" s="24">
        <v>5300.8590000000004</v>
      </c>
    </row>
    <row r="32" spans="1:17" x14ac:dyDescent="0.45">
      <c r="B32" s="34" t="s">
        <v>283</v>
      </c>
      <c r="C32" s="24">
        <v>4265.6030000000001</v>
      </c>
      <c r="D32" s="24">
        <v>2449.201</v>
      </c>
      <c r="E32" s="24">
        <v>2333.5059999999999</v>
      </c>
      <c r="F32" s="24">
        <v>2615.8330000000001</v>
      </c>
      <c r="G32" s="24">
        <v>3194.5940000000001</v>
      </c>
      <c r="H32" s="24">
        <v>3111.4050000000002</v>
      </c>
      <c r="I32" s="24">
        <v>5303.058</v>
      </c>
      <c r="J32" s="24">
        <v>6748.268</v>
      </c>
      <c r="K32" s="24">
        <v>7605.8130000000001</v>
      </c>
      <c r="L32" s="24">
        <v>8018.902</v>
      </c>
    </row>
    <row r="33" spans="1:17" x14ac:dyDescent="0.45">
      <c r="B33" s="34" t="s">
        <v>136</v>
      </c>
      <c r="C33" s="24">
        <v>1973.06</v>
      </c>
      <c r="D33" s="24">
        <v>2213.0990000000002</v>
      </c>
      <c r="E33" s="24">
        <v>2527.5479999999998</v>
      </c>
      <c r="F33" s="24">
        <v>2524.1260000000002</v>
      </c>
      <c r="G33" s="24">
        <v>2845.2820000000002</v>
      </c>
      <c r="H33" s="24">
        <v>3289.62</v>
      </c>
      <c r="I33" s="24">
        <v>7898.7520000000004</v>
      </c>
      <c r="J33" s="24">
        <v>4396.8540000000003</v>
      </c>
      <c r="K33" s="24">
        <v>4907.0929999999998</v>
      </c>
      <c r="L33" s="24">
        <v>5107.6790000000001</v>
      </c>
    </row>
    <row r="34" spans="1:17" x14ac:dyDescent="0.45">
      <c r="B34" s="34" t="s">
        <v>284</v>
      </c>
      <c r="C34" s="24">
        <v>2189.424</v>
      </c>
      <c r="D34" s="24">
        <v>2316.4529999999995</v>
      </c>
      <c r="E34" s="24">
        <v>2297.6950000000002</v>
      </c>
      <c r="F34" s="24">
        <v>4222.8899999999994</v>
      </c>
      <c r="G34" s="24">
        <v>3010.1369999999997</v>
      </c>
      <c r="H34" s="24">
        <v>3139.2020000000002</v>
      </c>
      <c r="I34" s="24">
        <v>4262.8469999999998</v>
      </c>
      <c r="J34" s="24">
        <v>4165.7359999999999</v>
      </c>
      <c r="K34" s="24">
        <v>4870</v>
      </c>
      <c r="L34" s="24">
        <v>6518.8589999999995</v>
      </c>
    </row>
    <row r="35" spans="1:17" x14ac:dyDescent="0.45">
      <c r="B35" s="34" t="s">
        <v>278</v>
      </c>
      <c r="C35" s="24">
        <v>7034.1479999999992</v>
      </c>
      <c r="D35" s="24">
        <v>7611.2020000000002</v>
      </c>
      <c r="E35" s="24">
        <v>7396.93</v>
      </c>
      <c r="F35" s="24">
        <v>7019.5150000000003</v>
      </c>
      <c r="G35" s="24">
        <v>8093.8620000000001</v>
      </c>
      <c r="H35" s="24">
        <v>7981.2530000000006</v>
      </c>
      <c r="I35" s="24">
        <v>9798.0400000000009</v>
      </c>
      <c r="J35" s="24">
        <v>9691.98</v>
      </c>
      <c r="K35" s="24">
        <v>10433.904999999999</v>
      </c>
      <c r="L35" s="24">
        <v>12323.918</v>
      </c>
    </row>
    <row r="36" spans="1:17" x14ac:dyDescent="0.45">
      <c r="B36" s="34" t="s">
        <v>279</v>
      </c>
      <c r="C36" s="24">
        <v>31714.432000000001</v>
      </c>
      <c r="D36" s="24">
        <v>37211.161</v>
      </c>
      <c r="E36" s="24">
        <v>31657.226000000002</v>
      </c>
      <c r="F36" s="24">
        <v>29403.885000000002</v>
      </c>
      <c r="G36" s="24">
        <v>28961.641</v>
      </c>
      <c r="H36" s="24">
        <v>26807.460999999999</v>
      </c>
      <c r="I36" s="24">
        <v>54854.251000000004</v>
      </c>
      <c r="J36" s="24">
        <v>55325.133999999998</v>
      </c>
      <c r="K36" s="24">
        <v>52596.544000000002</v>
      </c>
      <c r="L36" s="24">
        <v>56217.312000000005</v>
      </c>
    </row>
    <row r="37" spans="1:17" x14ac:dyDescent="0.45">
      <c r="B37" s="34" t="s">
        <v>280</v>
      </c>
      <c r="C37" s="24">
        <v>615.94799999999998</v>
      </c>
      <c r="D37" s="24">
        <v>844.846</v>
      </c>
      <c r="E37" s="24">
        <v>932.73599999999999</v>
      </c>
      <c r="F37" s="24">
        <v>854.18499999999995</v>
      </c>
      <c r="G37" s="24">
        <v>1347.3430000000001</v>
      </c>
      <c r="H37" s="24">
        <v>974.46</v>
      </c>
      <c r="I37" s="24">
        <v>1109.6769999999999</v>
      </c>
      <c r="J37" s="24">
        <v>1068.569</v>
      </c>
      <c r="K37" s="24">
        <v>1517.182</v>
      </c>
      <c r="L37" s="24">
        <v>1835.21</v>
      </c>
    </row>
    <row r="38" spans="1:17" x14ac:dyDescent="0.45">
      <c r="B38" s="34" t="s">
        <v>281</v>
      </c>
      <c r="C38" s="24">
        <v>1191.386</v>
      </c>
      <c r="D38" s="24">
        <v>1044.9159999999999</v>
      </c>
      <c r="E38" s="24">
        <v>1822.999</v>
      </c>
      <c r="F38" s="24">
        <v>2077.819</v>
      </c>
      <c r="G38" s="24">
        <v>2422.0100000000002</v>
      </c>
      <c r="H38" s="24">
        <v>2810.5650000000001</v>
      </c>
      <c r="I38" s="24">
        <v>3807.3690000000001</v>
      </c>
      <c r="J38" s="24">
        <v>3053.1889999999999</v>
      </c>
      <c r="K38" s="24">
        <v>4268.375</v>
      </c>
      <c r="L38" s="24">
        <v>5164.6670000000004</v>
      </c>
    </row>
    <row r="39" spans="1:17" s="29" customFormat="1" x14ac:dyDescent="0.45">
      <c r="A39" s="24"/>
      <c r="B39" s="39" t="s">
        <v>287</v>
      </c>
      <c r="C39" s="36">
        <v>55293.557999999997</v>
      </c>
      <c r="D39" s="36">
        <v>59287.154999999992</v>
      </c>
      <c r="E39" s="36">
        <v>52761.211000000003</v>
      </c>
      <c r="F39" s="36">
        <v>52972.584000000003</v>
      </c>
      <c r="G39" s="36">
        <v>54693.047000000006</v>
      </c>
      <c r="H39" s="36">
        <v>54550.961000000003</v>
      </c>
      <c r="I39" s="36">
        <v>92645.687000000005</v>
      </c>
      <c r="J39" s="36">
        <v>90279.141000000003</v>
      </c>
      <c r="K39" s="36">
        <v>91482.36</v>
      </c>
      <c r="L39" s="36">
        <v>100487.40600000002</v>
      </c>
      <c r="M39" s="36"/>
      <c r="N39" s="36"/>
      <c r="O39" s="36"/>
      <c r="P39" s="36"/>
      <c r="Q39" s="36"/>
    </row>
    <row r="41" spans="1:17" x14ac:dyDescent="0.45">
      <c r="A41" s="24" t="s">
        <v>14</v>
      </c>
      <c r="B41" s="32" t="s">
        <v>416</v>
      </c>
    </row>
    <row r="42" spans="1:17" x14ac:dyDescent="0.45">
      <c r="C42" s="25"/>
      <c r="D42" s="25"/>
      <c r="E42" s="25"/>
      <c r="F42" s="25"/>
      <c r="G42" s="25"/>
      <c r="H42" s="25"/>
      <c r="I42" s="25"/>
      <c r="J42" s="25"/>
      <c r="K42" s="25"/>
      <c r="L42" s="25"/>
      <c r="M42" s="25"/>
      <c r="N42" s="25"/>
      <c r="O42" s="25"/>
      <c r="P42" s="25"/>
      <c r="Q42" s="25"/>
    </row>
    <row r="43" spans="1:17" x14ac:dyDescent="0.45">
      <c r="B43" s="34" t="s">
        <v>298</v>
      </c>
      <c r="C43" s="24">
        <v>851.64699999999993</v>
      </c>
      <c r="D43" s="24">
        <v>2204.5639999999999</v>
      </c>
      <c r="E43" s="24">
        <v>1891.289</v>
      </c>
      <c r="F43" s="24">
        <v>1555.5250000000001</v>
      </c>
      <c r="G43" s="24">
        <v>1823.191</v>
      </c>
      <c r="H43" s="24">
        <v>1977.5329999999999</v>
      </c>
      <c r="I43" s="24">
        <v>2542.9349999999999</v>
      </c>
      <c r="J43" s="24">
        <v>6083.9220000000005</v>
      </c>
      <c r="K43" s="24">
        <v>5780.1279999999997</v>
      </c>
      <c r="L43" s="24">
        <v>2633.0430000000001</v>
      </c>
    </row>
    <row r="44" spans="1:17" x14ac:dyDescent="0.45">
      <c r="B44" s="34" t="s">
        <v>296</v>
      </c>
      <c r="C44" s="24">
        <v>3193.9079999999999</v>
      </c>
      <c r="D44" s="24">
        <v>1592.9760000000001</v>
      </c>
      <c r="E44" s="24">
        <v>1902.9480000000001</v>
      </c>
      <c r="F44" s="24">
        <v>1502.248</v>
      </c>
      <c r="G44" s="24">
        <v>1580.8109999999999</v>
      </c>
      <c r="H44" s="24">
        <v>1921.125</v>
      </c>
      <c r="I44" s="24">
        <v>2483.143</v>
      </c>
      <c r="J44" s="24">
        <v>2386.0349999999999</v>
      </c>
      <c r="K44" s="24">
        <v>2955.6550000000002</v>
      </c>
      <c r="L44" s="24">
        <v>3515.8760000000002</v>
      </c>
    </row>
    <row r="45" spans="1:17" x14ac:dyDescent="0.45">
      <c r="B45" s="34" t="s">
        <v>297</v>
      </c>
      <c r="C45" s="24">
        <v>9644.3329999999987</v>
      </c>
      <c r="D45" s="24">
        <v>10668.198</v>
      </c>
      <c r="E45" s="24">
        <v>9849.5249999999996</v>
      </c>
      <c r="F45" s="24">
        <v>11171.66</v>
      </c>
      <c r="G45" s="24">
        <v>12740.057000000003</v>
      </c>
      <c r="H45" s="24">
        <v>12702.315999999999</v>
      </c>
      <c r="I45" s="24">
        <v>14840.824999999999</v>
      </c>
      <c r="J45" s="24">
        <v>16132.403</v>
      </c>
      <c r="K45" s="24">
        <v>18895.564999999999</v>
      </c>
      <c r="L45" s="24">
        <v>20766.848999999998</v>
      </c>
    </row>
    <row r="46" spans="1:17" x14ac:dyDescent="0.45">
      <c r="B46" s="34" t="s">
        <v>292</v>
      </c>
      <c r="C46" s="24">
        <v>14834.319</v>
      </c>
      <c r="D46" s="24">
        <v>17736.081000000002</v>
      </c>
      <c r="E46" s="24">
        <v>16631.016</v>
      </c>
      <c r="F46" s="24">
        <v>18963.259999999998</v>
      </c>
      <c r="G46" s="24">
        <v>18880.627</v>
      </c>
      <c r="H46" s="24">
        <v>19207.163</v>
      </c>
      <c r="I46" s="24">
        <v>28950.951999999997</v>
      </c>
      <c r="J46" s="24">
        <v>24141.997000000003</v>
      </c>
      <c r="K46" s="24">
        <v>22418.466</v>
      </c>
      <c r="L46" s="24">
        <v>28072.917999999998</v>
      </c>
    </row>
    <row r="47" spans="1:17" x14ac:dyDescent="0.45">
      <c r="B47" s="34" t="s">
        <v>293</v>
      </c>
      <c r="C47" s="24">
        <v>2453.6660000000002</v>
      </c>
      <c r="D47" s="24">
        <v>3751.0790000000002</v>
      </c>
      <c r="E47" s="24">
        <v>3327.0360000000001</v>
      </c>
      <c r="F47" s="24">
        <v>2869.9920000000002</v>
      </c>
      <c r="G47" s="24">
        <v>2218.8389999999999</v>
      </c>
      <c r="H47" s="24">
        <v>2385.4650000000001</v>
      </c>
      <c r="I47" s="24">
        <v>5456.9359999999997</v>
      </c>
      <c r="J47" s="24">
        <v>2754.701</v>
      </c>
      <c r="K47" s="24">
        <v>2572.9670000000001</v>
      </c>
      <c r="L47" s="24">
        <v>3192.3</v>
      </c>
    </row>
    <row r="48" spans="1:17" ht="28.5" x14ac:dyDescent="0.45">
      <c r="B48" s="34" t="s">
        <v>294</v>
      </c>
      <c r="C48" s="24">
        <v>7274.451</v>
      </c>
      <c r="D48" s="24">
        <v>7528.7079999999996</v>
      </c>
      <c r="E48" s="24">
        <v>5299.9390000000003</v>
      </c>
      <c r="F48" s="24">
        <v>4643.8680000000004</v>
      </c>
      <c r="G48" s="24">
        <v>4443.0250000000005</v>
      </c>
      <c r="H48" s="24">
        <v>3573.2930000000001</v>
      </c>
      <c r="I48" s="24">
        <v>3825.835</v>
      </c>
      <c r="J48" s="24">
        <v>4104.9160000000002</v>
      </c>
      <c r="K48" s="24">
        <v>3426.0990000000002</v>
      </c>
      <c r="L48" s="24">
        <v>2829.1210000000001</v>
      </c>
    </row>
    <row r="49" spans="1:17" x14ac:dyDescent="0.45">
      <c r="B49" s="34" t="s">
        <v>291</v>
      </c>
      <c r="C49" s="24">
        <v>17.492999999999999</v>
      </c>
      <c r="D49" s="24">
        <v>1720.9829999999999</v>
      </c>
      <c r="E49" s="24">
        <v>1400.77</v>
      </c>
      <c r="F49" s="24">
        <v>1376.4780000000001</v>
      </c>
      <c r="G49" s="24">
        <v>1309.0260000000001</v>
      </c>
      <c r="H49" s="24">
        <v>13.08</v>
      </c>
      <c r="I49" s="24">
        <v>16.707000000000001</v>
      </c>
      <c r="J49" s="24">
        <v>19.649999999999999</v>
      </c>
      <c r="K49" s="24">
        <v>20.808</v>
      </c>
      <c r="L49" s="24">
        <v>82.102000000000004</v>
      </c>
    </row>
    <row r="50" spans="1:17" x14ac:dyDescent="0.45">
      <c r="B50" s="34" t="s">
        <v>289</v>
      </c>
      <c r="C50" s="24">
        <v>17023.743000000002</v>
      </c>
      <c r="D50" s="24">
        <v>14084.562999999998</v>
      </c>
      <c r="E50" s="24">
        <v>12458.688</v>
      </c>
      <c r="F50" s="24">
        <v>10889.552</v>
      </c>
      <c r="G50" s="24">
        <v>11697.470000000001</v>
      </c>
      <c r="H50" s="24">
        <v>12770.986000000001</v>
      </c>
      <c r="I50" s="24">
        <v>34528.351999999999</v>
      </c>
      <c r="J50" s="24">
        <v>34655.521000000001</v>
      </c>
      <c r="K50" s="24">
        <v>35412.673000000003</v>
      </c>
      <c r="L50" s="24">
        <v>39395.197</v>
      </c>
    </row>
    <row r="51" spans="1:17" x14ac:dyDescent="0.45">
      <c r="B51" s="34" t="s">
        <v>290</v>
      </c>
    </row>
    <row r="52" spans="1:17" s="29" customFormat="1" x14ac:dyDescent="0.45">
      <c r="A52" s="24"/>
      <c r="B52" s="39" t="s">
        <v>300</v>
      </c>
      <c r="C52" s="36">
        <v>55293.560000000005</v>
      </c>
      <c r="D52" s="36">
        <v>59287.152000000002</v>
      </c>
      <c r="E52" s="36">
        <v>52761.210999999996</v>
      </c>
      <c r="F52" s="36">
        <v>52972.582999999999</v>
      </c>
      <c r="G52" s="36">
        <v>54693.046000000002</v>
      </c>
      <c r="H52" s="36">
        <v>54550.960999999996</v>
      </c>
      <c r="I52" s="36">
        <v>92645.684999999998</v>
      </c>
      <c r="J52" s="36">
        <v>90279.145000000004</v>
      </c>
      <c r="K52" s="36">
        <v>91482.361000000004</v>
      </c>
      <c r="L52" s="36">
        <v>100487.40599999999</v>
      </c>
      <c r="M52" s="36"/>
      <c r="N52" s="36"/>
      <c r="O52" s="36"/>
      <c r="P52" s="36"/>
      <c r="Q52" s="36"/>
    </row>
    <row r="54" spans="1:17" x14ac:dyDescent="0.45">
      <c r="A54" s="24" t="s">
        <v>14</v>
      </c>
      <c r="B54" s="32" t="s">
        <v>302</v>
      </c>
    </row>
    <row r="55" spans="1:17" x14ac:dyDescent="0.45">
      <c r="C55" s="25"/>
      <c r="D55" s="25"/>
      <c r="E55" s="25"/>
      <c r="F55" s="25"/>
      <c r="G55" s="25"/>
      <c r="H55" s="25"/>
      <c r="I55" s="25"/>
      <c r="J55" s="25"/>
      <c r="K55" s="25"/>
      <c r="L55" s="25"/>
      <c r="M55" s="25"/>
      <c r="N55" s="25"/>
      <c r="O55" s="25"/>
      <c r="P55" s="25"/>
      <c r="Q55" s="25"/>
    </row>
    <row r="56" spans="1:17" x14ac:dyDescent="0.45">
      <c r="B56" s="34" t="s">
        <v>303</v>
      </c>
      <c r="C56" s="24">
        <v>2713.723</v>
      </c>
      <c r="D56" s="24">
        <v>3628.7959999999998</v>
      </c>
      <c r="E56" s="24">
        <v>3906.7270000000003</v>
      </c>
      <c r="F56" s="24">
        <v>2617.3050000000003</v>
      </c>
      <c r="G56" s="24">
        <v>1732.174</v>
      </c>
      <c r="H56" s="24">
        <v>2841.0250000000005</v>
      </c>
      <c r="I56" s="24">
        <v>1109.048</v>
      </c>
      <c r="J56" s="24">
        <v>4830.7749999999996</v>
      </c>
      <c r="K56" s="24">
        <v>6045.8330000000005</v>
      </c>
      <c r="L56" s="24">
        <v>6595.0659999999998</v>
      </c>
    </row>
    <row r="57" spans="1:17" ht="42.75" x14ac:dyDescent="0.45">
      <c r="B57" s="34" t="s">
        <v>417</v>
      </c>
      <c r="C57" s="24">
        <v>0</v>
      </c>
      <c r="D57" s="24">
        <v>0</v>
      </c>
      <c r="E57" s="24">
        <v>0</v>
      </c>
      <c r="F57" s="24">
        <v>0</v>
      </c>
      <c r="G57" s="24">
        <v>0</v>
      </c>
      <c r="H57" s="24">
        <v>0</v>
      </c>
      <c r="I57" s="24">
        <v>0</v>
      </c>
      <c r="J57" s="24">
        <v>0</v>
      </c>
      <c r="K57" s="24">
        <v>0</v>
      </c>
      <c r="L57" s="24">
        <v>0</v>
      </c>
    </row>
    <row r="58" spans="1:17" x14ac:dyDescent="0.45">
      <c r="B58" s="34" t="s">
        <v>305</v>
      </c>
      <c r="C58" s="24">
        <v>-928.61700000000008</v>
      </c>
      <c r="D58" s="24">
        <v>-1172.825</v>
      </c>
      <c r="E58" s="24">
        <v>-1461.585</v>
      </c>
      <c r="F58" s="24">
        <v>-1495.117</v>
      </c>
      <c r="G58" s="24">
        <v>-1006.787</v>
      </c>
      <c r="H58" s="24">
        <v>-901.69</v>
      </c>
      <c r="I58" s="24">
        <v>-1032.9119999999998</v>
      </c>
      <c r="J58" s="24">
        <v>-200.727</v>
      </c>
      <c r="K58" s="24">
        <v>-258.96199999999999</v>
      </c>
      <c r="L58" s="24">
        <v>-29.587</v>
      </c>
    </row>
    <row r="59" spans="1:17" x14ac:dyDescent="0.45">
      <c r="B59" s="34" t="s">
        <v>306</v>
      </c>
      <c r="C59" s="24">
        <v>1422.675</v>
      </c>
      <c r="D59" s="24">
        <v>919.63299999999981</v>
      </c>
      <c r="E59" s="24">
        <v>2017.663</v>
      </c>
      <c r="F59" s="24">
        <v>2429.1420000000003</v>
      </c>
      <c r="G59" s="24">
        <v>2775.5889999999999</v>
      </c>
      <c r="H59" s="24">
        <v>1991.087</v>
      </c>
      <c r="I59" s="24">
        <v>4272.9210000000003</v>
      </c>
      <c r="J59" s="24">
        <v>2829.2090000000003</v>
      </c>
      <c r="K59" s="24">
        <v>4041.6540000000005</v>
      </c>
      <c r="L59" s="24">
        <v>5317.2889999999998</v>
      </c>
    </row>
    <row r="60" spans="1:17" x14ac:dyDescent="0.45">
      <c r="B60" s="34" t="s">
        <v>304</v>
      </c>
      <c r="C60" s="24">
        <v>219.08099999999999</v>
      </c>
      <c r="D60" s="24">
        <v>132.02199999999999</v>
      </c>
      <c r="E60" s="24">
        <v>-568.49300000000005</v>
      </c>
      <c r="F60" s="24">
        <v>-48.311999999999998</v>
      </c>
      <c r="G60" s="24">
        <v>286.76</v>
      </c>
      <c r="H60" s="24">
        <v>677.14499999999998</v>
      </c>
      <c r="I60" s="24">
        <v>-321.46300000000002</v>
      </c>
      <c r="J60" s="24">
        <v>-753.44100000000003</v>
      </c>
      <c r="K60" s="24">
        <v>867.52200000000005</v>
      </c>
      <c r="L60" s="24">
        <v>1525.5650000000001</v>
      </c>
    </row>
    <row r="61" spans="1:17" x14ac:dyDescent="0.45">
      <c r="B61" s="34" t="s">
        <v>310</v>
      </c>
      <c r="C61" s="24">
        <v>-32.456000000000003</v>
      </c>
      <c r="D61" s="24">
        <v>-38.883000000000003</v>
      </c>
      <c r="E61" s="24">
        <v>-87.802000000000007</v>
      </c>
      <c r="F61" s="24">
        <v>-111.88</v>
      </c>
      <c r="G61" s="24">
        <v>-129.53299999999999</v>
      </c>
      <c r="H61" s="24">
        <v>-67.539000000000001</v>
      </c>
      <c r="I61" s="24">
        <v>-36.375999999999998</v>
      </c>
      <c r="J61" s="24">
        <v>-77.055999999999997</v>
      </c>
      <c r="K61" s="24">
        <v>-278.38400000000001</v>
      </c>
      <c r="L61" s="24">
        <v>-318.98200000000003</v>
      </c>
    </row>
    <row r="62" spans="1:17" x14ac:dyDescent="0.45">
      <c r="B62" s="34" t="s">
        <v>311</v>
      </c>
      <c r="C62" s="24">
        <v>0</v>
      </c>
      <c r="D62" s="24">
        <v>0</v>
      </c>
      <c r="E62" s="24">
        <v>0</v>
      </c>
      <c r="F62" s="24">
        <v>0</v>
      </c>
      <c r="G62" s="24">
        <v>0</v>
      </c>
      <c r="H62" s="24">
        <v>0</v>
      </c>
      <c r="I62" s="24">
        <v>0</v>
      </c>
      <c r="J62" s="24">
        <v>0</v>
      </c>
      <c r="K62" s="24">
        <v>0</v>
      </c>
      <c r="L62" s="24">
        <v>0</v>
      </c>
    </row>
    <row r="63" spans="1:17" ht="28.5" x14ac:dyDescent="0.45">
      <c r="B63" s="34" t="s">
        <v>308</v>
      </c>
      <c r="C63" s="24">
        <v>-44.176000000000045</v>
      </c>
      <c r="D63" s="24">
        <v>837.3449999999998</v>
      </c>
      <c r="E63" s="24">
        <v>-44.34499999999997</v>
      </c>
      <c r="F63" s="24">
        <v>-541.59799999999996</v>
      </c>
      <c r="G63" s="24">
        <v>-309.09300000000007</v>
      </c>
      <c r="H63" s="24">
        <v>316.64499999999998</v>
      </c>
      <c r="I63" s="24">
        <v>1709.6769999999999</v>
      </c>
      <c r="J63" s="24">
        <v>3574.09</v>
      </c>
      <c r="K63" s="24">
        <v>277.45899999999983</v>
      </c>
      <c r="L63" s="24">
        <v>-825.6550000000002</v>
      </c>
    </row>
    <row r="64" spans="1:17" ht="28.5" x14ac:dyDescent="0.45">
      <c r="B64" s="34" t="s">
        <v>312</v>
      </c>
      <c r="C64" s="24">
        <v>-3821.752</v>
      </c>
      <c r="D64" s="24">
        <v>-3588.96</v>
      </c>
      <c r="E64" s="24">
        <v>-2064.7090000000003</v>
      </c>
      <c r="F64" s="24">
        <v>816.28200000000004</v>
      </c>
      <c r="G64" s="24">
        <v>-586.8739999999998</v>
      </c>
      <c r="H64" s="24">
        <v>-249.9220000000002</v>
      </c>
      <c r="I64" s="24">
        <v>-9354.5380000000005</v>
      </c>
      <c r="J64" s="24">
        <v>-2815.7840000000001</v>
      </c>
      <c r="K64" s="24">
        <v>-3758.6390000000001</v>
      </c>
      <c r="L64" s="24">
        <v>-7378.2019999999993</v>
      </c>
    </row>
    <row r="65" spans="2:17" x14ac:dyDescent="0.45">
      <c r="B65" s="39" t="s">
        <v>111</v>
      </c>
      <c r="C65" s="36">
        <v>-471.52199999999993</v>
      </c>
      <c r="D65" s="36">
        <v>717.1279999999997</v>
      </c>
      <c r="E65" s="36">
        <v>1697.4560000000001</v>
      </c>
      <c r="F65" s="36">
        <v>3665.822000000001</v>
      </c>
      <c r="G65" s="36">
        <v>2762.2359999999999</v>
      </c>
      <c r="H65" s="36">
        <v>4606.7510000000002</v>
      </c>
      <c r="I65" s="36">
        <v>-3653.643</v>
      </c>
      <c r="J65" s="36">
        <v>7387.0660000000007</v>
      </c>
      <c r="K65" s="36">
        <v>6936.4830000000029</v>
      </c>
      <c r="L65" s="36">
        <v>4885.4940000000006</v>
      </c>
      <c r="M65" s="32"/>
      <c r="N65" s="32"/>
      <c r="O65" s="32"/>
      <c r="P65" s="32"/>
      <c r="Q65" s="32"/>
    </row>
    <row r="66" spans="2:17" x14ac:dyDescent="0.45">
      <c r="C66" s="25"/>
      <c r="D66" s="25"/>
      <c r="E66" s="25"/>
      <c r="F66" s="25"/>
      <c r="G66" s="25"/>
      <c r="H66" s="25"/>
      <c r="I66" s="25"/>
      <c r="J66" s="25"/>
      <c r="K66" s="25"/>
      <c r="L66" s="25"/>
      <c r="M66" s="25"/>
      <c r="N66" s="25"/>
      <c r="O66" s="25"/>
      <c r="P66" s="25"/>
      <c r="Q66" s="25"/>
    </row>
    <row r="67" spans="2:17" x14ac:dyDescent="0.45">
      <c r="B67" s="34" t="s">
        <v>315</v>
      </c>
      <c r="C67" s="24">
        <v>3895.6809999999991</v>
      </c>
      <c r="D67" s="24">
        <v>1980.3300000000002</v>
      </c>
      <c r="E67" s="24">
        <v>478.91799999999995</v>
      </c>
      <c r="F67" s="24">
        <v>1191.6879999999999</v>
      </c>
      <c r="G67" s="24">
        <v>-1516.8810000000001</v>
      </c>
      <c r="H67" s="24">
        <v>1174.4780000000001</v>
      </c>
      <c r="I67" s="24">
        <v>6324.3630000000003</v>
      </c>
      <c r="J67" s="24">
        <v>-2250.8110000000001</v>
      </c>
      <c r="K67" s="24">
        <v>-1950.5369999999998</v>
      </c>
      <c r="L67" s="24">
        <v>603.755</v>
      </c>
    </row>
    <row r="68" spans="2:17" x14ac:dyDescent="0.45">
      <c r="B68" s="34" t="s">
        <v>314</v>
      </c>
      <c r="C68" s="24">
        <v>-353.41500000000002</v>
      </c>
      <c r="D68" s="24">
        <v>-557.92899999999997</v>
      </c>
      <c r="E68" s="24">
        <v>-588.89099999999996</v>
      </c>
      <c r="F68" s="24">
        <v>-630.59400000000005</v>
      </c>
      <c r="G68" s="24">
        <v>-696.8</v>
      </c>
      <c r="H68" s="24">
        <v>-647.322</v>
      </c>
      <c r="I68" s="24">
        <v>-656.46199999999999</v>
      </c>
      <c r="J68" s="24">
        <v>-872.35599999999999</v>
      </c>
      <c r="K68" s="24">
        <v>-1127.4090000000001</v>
      </c>
      <c r="L68" s="24">
        <v>-1297.193</v>
      </c>
    </row>
    <row r="69" spans="2:17" x14ac:dyDescent="0.45">
      <c r="B69" s="34" t="s">
        <v>317</v>
      </c>
      <c r="C69" s="24">
        <v>-3142.8710000000001</v>
      </c>
      <c r="D69" s="24">
        <v>-3220.07</v>
      </c>
      <c r="E69" s="24">
        <v>-3120.9470000000001</v>
      </c>
      <c r="F69" s="24">
        <v>-2952.942</v>
      </c>
      <c r="G69" s="24">
        <v>-3208.855</v>
      </c>
      <c r="H69" s="24">
        <v>-3133.11</v>
      </c>
      <c r="I69" s="24">
        <v>-3262.0050000000001</v>
      </c>
      <c r="J69" s="24">
        <v>-4267.5969999999998</v>
      </c>
      <c r="K69" s="24">
        <v>-4153.5619999999999</v>
      </c>
      <c r="L69" s="24">
        <v>-4258.6390000000001</v>
      </c>
    </row>
    <row r="70" spans="2:17" x14ac:dyDescent="0.45">
      <c r="B70" s="34" t="s">
        <v>418</v>
      </c>
      <c r="C70" s="24">
        <v>38.767000000000003</v>
      </c>
      <c r="D70" s="24">
        <v>42.5</v>
      </c>
      <c r="E70" s="24">
        <v>38.136000000000003</v>
      </c>
      <c r="F70" s="24">
        <v>28.817</v>
      </c>
      <c r="G70" s="24">
        <v>3149.0010000000002</v>
      </c>
      <c r="H70" s="24">
        <v>26.314</v>
      </c>
      <c r="I70" s="24">
        <v>24.533000000000001</v>
      </c>
      <c r="J70" s="24">
        <v>27.588000000000001</v>
      </c>
      <c r="K70" s="24">
        <v>30.52</v>
      </c>
      <c r="L70" s="24">
        <v>-39.757000000000005</v>
      </c>
    </row>
    <row r="71" spans="2:17" x14ac:dyDescent="0.45">
      <c r="B71" s="31" t="s">
        <v>319</v>
      </c>
      <c r="C71" s="24">
        <v>-68.519000000000005</v>
      </c>
      <c r="D71" s="24">
        <v>18.989000000000001</v>
      </c>
      <c r="E71" s="24">
        <v>-58.533999999999999</v>
      </c>
      <c r="F71" s="24">
        <v>-32.207999999999998</v>
      </c>
      <c r="G71" s="24">
        <v>4.4669999999999996</v>
      </c>
      <c r="H71" s="24">
        <v>10.526</v>
      </c>
      <c r="I71" s="24">
        <v>-52.448999999999998</v>
      </c>
      <c r="J71" s="24">
        <v>-76.105000000000004</v>
      </c>
      <c r="K71" s="24">
        <v>-55.491999999999997</v>
      </c>
      <c r="L71" s="24">
        <v>-85.986000000000004</v>
      </c>
      <c r="M71" s="32"/>
      <c r="N71" s="32"/>
      <c r="O71" s="32"/>
      <c r="P71" s="32"/>
      <c r="Q71" s="32"/>
    </row>
    <row r="72" spans="2:17" x14ac:dyDescent="0.45">
      <c r="B72" s="39" t="s">
        <v>419</v>
      </c>
      <c r="C72" s="36">
        <v>-101.87900000000087</v>
      </c>
      <c r="D72" s="36">
        <v>-1019.0520000000006</v>
      </c>
      <c r="E72" s="36">
        <v>-1553.8620000000001</v>
      </c>
      <c r="F72" s="36">
        <v>1270.583000000001</v>
      </c>
      <c r="G72" s="36">
        <v>493.16800000000001</v>
      </c>
      <c r="H72" s="36">
        <v>2037.6370000000002</v>
      </c>
      <c r="I72" s="36">
        <v>-1275.663</v>
      </c>
      <c r="J72" s="36">
        <v>-52.214999999998504</v>
      </c>
      <c r="K72" s="36">
        <v>-319.99699999999649</v>
      </c>
      <c r="L72" s="36">
        <v>-192.32599999999962</v>
      </c>
    </row>
  </sheetData>
  <dataValidations count="2">
    <dataValidation type="list" allowBlank="1" showInputMessage="1" showErrorMessage="1" sqref="B9" xr:uid="{41E252F7-E3D2-3945-96DD-BE7283A15D74}">
      <formula1>B$246:B$263</formula1>
    </dataValidation>
    <dataValidation type="list" allowBlank="1" showInputMessage="1" showErrorMessage="1" sqref="B5" xr:uid="{D4FE01C2-740B-EF41-8C62-E2A975548C68}">
      <formula1>B$247:B$264</formula1>
    </dataValidation>
  </dataValidations>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DE228-11A4-476F-BCB7-A910A9571088}">
  <dimension ref="A2:S72"/>
  <sheetViews>
    <sheetView showGridLines="0" workbookViewId="0"/>
  </sheetViews>
  <sheetFormatPr defaultColWidth="9.1328125" defaultRowHeight="14.25" x14ac:dyDescent="0.45"/>
  <cols>
    <col min="1" max="1" width="3.33203125" style="24" customWidth="1"/>
    <col min="2" max="2" width="36.33203125" style="24" customWidth="1"/>
    <col min="3" max="17" width="13.1328125" style="24" customWidth="1"/>
    <col min="18" max="16384" width="9.1328125" style="24"/>
  </cols>
  <sheetData>
    <row r="2" spans="1:19" x14ac:dyDescent="0.45">
      <c r="C2" s="21">
        <v>2015</v>
      </c>
      <c r="D2" s="21">
        <v>2016</v>
      </c>
      <c r="E2" s="21">
        <v>2017</v>
      </c>
      <c r="F2" s="21">
        <v>2018</v>
      </c>
      <c r="G2" s="21">
        <v>2019</v>
      </c>
      <c r="H2" s="21">
        <v>2020</v>
      </c>
      <c r="I2" s="21">
        <v>2021</v>
      </c>
      <c r="J2" s="21">
        <v>2022</v>
      </c>
      <c r="K2" s="21">
        <v>2023</v>
      </c>
      <c r="L2" s="21">
        <v>2024</v>
      </c>
      <c r="M2" s="37">
        <v>2025</v>
      </c>
      <c r="N2" s="37">
        <v>2026</v>
      </c>
      <c r="O2" s="37">
        <v>2027</v>
      </c>
      <c r="P2" s="37">
        <v>2028</v>
      </c>
      <c r="Q2" s="37">
        <v>2029</v>
      </c>
    </row>
    <row r="3" spans="1:19" x14ac:dyDescent="0.45">
      <c r="A3" s="24" t="s">
        <v>14</v>
      </c>
      <c r="B3" s="32" t="s">
        <v>252</v>
      </c>
      <c r="C3" s="33"/>
      <c r="D3" s="33"/>
      <c r="E3" s="33"/>
      <c r="F3" s="33"/>
      <c r="G3" s="33"/>
      <c r="H3" s="33"/>
      <c r="I3" s="33"/>
      <c r="J3" s="33"/>
      <c r="K3" s="33"/>
      <c r="L3" s="33"/>
      <c r="M3" s="33"/>
      <c r="N3" s="33"/>
      <c r="O3" s="33"/>
      <c r="P3" s="33"/>
      <c r="Q3" s="33"/>
    </row>
    <row r="4" spans="1:19" x14ac:dyDescent="0.45">
      <c r="C4" s="25"/>
      <c r="D4" s="25"/>
      <c r="E4" s="25"/>
      <c r="F4" s="25"/>
      <c r="G4" s="25"/>
      <c r="H4" s="25"/>
      <c r="I4" s="25"/>
      <c r="J4" s="25"/>
      <c r="K4" s="25"/>
      <c r="L4" s="25"/>
      <c r="M4" s="25"/>
      <c r="N4" s="25"/>
      <c r="O4" s="25"/>
      <c r="P4" s="25"/>
      <c r="Q4" s="25"/>
      <c r="S4" s="24" t="s">
        <v>405</v>
      </c>
    </row>
    <row r="5" spans="1:19" x14ac:dyDescent="0.45">
      <c r="B5" s="34" t="s">
        <v>406</v>
      </c>
      <c r="C5" s="24">
        <v>0</v>
      </c>
      <c r="D5" s="24">
        <v>98.018000000000001</v>
      </c>
      <c r="E5" s="24">
        <v>182.54300000000001</v>
      </c>
      <c r="F5" s="24">
        <v>114.48</v>
      </c>
      <c r="G5" s="24">
        <v>53.6</v>
      </c>
      <c r="H5" s="24">
        <v>704.33600000000001</v>
      </c>
      <c r="I5" s="24">
        <v>15625.644999999999</v>
      </c>
      <c r="J5" s="24">
        <v>18325.173999999999</v>
      </c>
      <c r="K5" s="24">
        <v>6333.4650000000001</v>
      </c>
      <c r="L5" s="24">
        <v>2991.9569999999999</v>
      </c>
    </row>
    <row r="6" spans="1:19" x14ac:dyDescent="0.45">
      <c r="B6" s="34" t="s">
        <v>267</v>
      </c>
      <c r="C6" s="24">
        <v>0</v>
      </c>
      <c r="D6" s="24">
        <v>-248.416</v>
      </c>
      <c r="E6" s="24">
        <v>-364.03</v>
      </c>
      <c r="F6" s="24">
        <v>-384.86700000000002</v>
      </c>
      <c r="G6" s="24">
        <v>-443.09399999999999</v>
      </c>
      <c r="H6" s="24">
        <v>-1208.6859999999999</v>
      </c>
      <c r="I6" s="24">
        <v>-3898.163</v>
      </c>
      <c r="J6" s="24">
        <v>-8286.902</v>
      </c>
      <c r="K6" s="24">
        <v>-8821.348</v>
      </c>
      <c r="L6" s="24">
        <v>-5553.9830000000002</v>
      </c>
    </row>
    <row r="7" spans="1:19" x14ac:dyDescent="0.45">
      <c r="B7" s="34" t="s">
        <v>274</v>
      </c>
      <c r="C7" s="24">
        <v>0</v>
      </c>
      <c r="D7" s="24">
        <v>0</v>
      </c>
      <c r="E7" s="24">
        <v>0</v>
      </c>
      <c r="F7" s="24">
        <v>0</v>
      </c>
      <c r="G7" s="24">
        <v>0</v>
      </c>
      <c r="H7" s="24">
        <v>0</v>
      </c>
      <c r="I7" s="24">
        <v>0</v>
      </c>
      <c r="J7" s="24">
        <v>0</v>
      </c>
      <c r="K7" s="24">
        <v>0</v>
      </c>
      <c r="L7" s="24">
        <v>0</v>
      </c>
    </row>
    <row r="8" spans="1:19" x14ac:dyDescent="0.45">
      <c r="B8" s="34" t="s">
        <v>268</v>
      </c>
      <c r="C8" s="24">
        <v>0</v>
      </c>
      <c r="D8" s="24">
        <v>-51.95</v>
      </c>
      <c r="E8" s="24">
        <v>-57.401000000000003</v>
      </c>
      <c r="F8" s="24">
        <v>-79.885000000000005</v>
      </c>
      <c r="G8" s="24">
        <v>-98.266999999999996</v>
      </c>
      <c r="H8" s="24">
        <v>-164.90100000000001</v>
      </c>
      <c r="I8" s="24">
        <v>-479.65699999999998</v>
      </c>
      <c r="J8" s="24">
        <v>-1076.8879999999999</v>
      </c>
      <c r="K8" s="24">
        <v>-1432.614</v>
      </c>
      <c r="L8" s="24">
        <v>-1085.463</v>
      </c>
    </row>
    <row r="9" spans="1:19" x14ac:dyDescent="0.45">
      <c r="B9" s="34" t="s">
        <v>269</v>
      </c>
      <c r="C9" s="24">
        <v>0</v>
      </c>
      <c r="D9" s="24">
        <v>0</v>
      </c>
      <c r="E9" s="24">
        <v>0</v>
      </c>
      <c r="F9" s="24">
        <v>0</v>
      </c>
      <c r="G9" s="24">
        <v>0</v>
      </c>
      <c r="H9" s="24">
        <v>0</v>
      </c>
      <c r="I9" s="24">
        <v>0</v>
      </c>
      <c r="J9" s="24">
        <v>0</v>
      </c>
      <c r="K9" s="24">
        <v>0</v>
      </c>
      <c r="L9" s="24">
        <v>0</v>
      </c>
    </row>
    <row r="10" spans="1:19" ht="28.5" x14ac:dyDescent="0.45">
      <c r="B10" s="34" t="s">
        <v>270</v>
      </c>
      <c r="C10" s="24">
        <v>0</v>
      </c>
      <c r="D10" s="24">
        <v>0</v>
      </c>
      <c r="E10" s="24">
        <v>0</v>
      </c>
      <c r="F10" s="24">
        <v>0</v>
      </c>
      <c r="G10" s="24">
        <v>0</v>
      </c>
      <c r="H10" s="24">
        <v>0</v>
      </c>
      <c r="I10" s="24">
        <v>0</v>
      </c>
      <c r="J10" s="24">
        <v>0</v>
      </c>
      <c r="K10" s="24">
        <v>0</v>
      </c>
      <c r="L10" s="24">
        <v>0</v>
      </c>
    </row>
    <row r="11" spans="1:19" x14ac:dyDescent="0.45">
      <c r="B11" s="34" t="s">
        <v>407</v>
      </c>
      <c r="C11" s="24">
        <v>0</v>
      </c>
      <c r="D11" s="24">
        <v>10.228999999999999</v>
      </c>
      <c r="E11" s="24">
        <v>13.512</v>
      </c>
      <c r="F11" s="24">
        <v>22.904</v>
      </c>
      <c r="G11" s="24">
        <v>34.840000000000003</v>
      </c>
      <c r="H11" s="24">
        <v>21.928000000000001</v>
      </c>
      <c r="I11" s="24">
        <v>15.227</v>
      </c>
      <c r="J11" s="24">
        <v>190.26300000000001</v>
      </c>
      <c r="K11" s="24">
        <v>389.36799999999999</v>
      </c>
      <c r="L11" s="24">
        <v>392.94900000000001</v>
      </c>
    </row>
    <row r="12" spans="1:19" x14ac:dyDescent="0.45">
      <c r="B12" s="34" t="s">
        <v>408</v>
      </c>
      <c r="C12" s="24">
        <v>0</v>
      </c>
      <c r="D12" s="24">
        <v>-0.126</v>
      </c>
      <c r="E12" s="24">
        <v>-0.11700000000000001</v>
      </c>
      <c r="F12" s="24">
        <v>-2.6240000000000001</v>
      </c>
      <c r="G12" s="24">
        <v>0</v>
      </c>
      <c r="H12" s="24">
        <v>-8.7710000000000008</v>
      </c>
      <c r="I12" s="24">
        <v>-14.381</v>
      </c>
      <c r="J12" s="24">
        <v>-27.588000000000001</v>
      </c>
      <c r="K12" s="24">
        <v>-35.145000000000003</v>
      </c>
      <c r="L12" s="24">
        <v>-22.19</v>
      </c>
    </row>
    <row r="13" spans="1:19" x14ac:dyDescent="0.45">
      <c r="B13" s="34" t="s">
        <v>255</v>
      </c>
      <c r="C13" s="24">
        <v>0</v>
      </c>
      <c r="D13" s="24">
        <v>0</v>
      </c>
      <c r="E13" s="24">
        <v>0</v>
      </c>
      <c r="F13" s="24">
        <v>0</v>
      </c>
      <c r="G13" s="24">
        <v>0</v>
      </c>
      <c r="H13" s="24">
        <v>0</v>
      </c>
      <c r="I13" s="24">
        <v>0</v>
      </c>
      <c r="J13" s="24">
        <v>0</v>
      </c>
      <c r="K13" s="24">
        <v>0</v>
      </c>
      <c r="L13" s="24">
        <v>0</v>
      </c>
    </row>
    <row r="14" spans="1:19" x14ac:dyDescent="0.45">
      <c r="B14" s="34" t="s">
        <v>409</v>
      </c>
      <c r="C14" s="24">
        <v>0</v>
      </c>
      <c r="D14" s="24">
        <v>-2.3239999999999998</v>
      </c>
      <c r="E14" s="24">
        <v>-1.5459999999999998</v>
      </c>
      <c r="F14" s="24">
        <v>4.1790000000000003</v>
      </c>
      <c r="G14" s="24">
        <v>-7.1470000000000002</v>
      </c>
      <c r="H14" s="24">
        <v>3.5089999999999999</v>
      </c>
      <c r="I14" s="24">
        <v>-10.151</v>
      </c>
      <c r="J14" s="24">
        <v>-15.221</v>
      </c>
      <c r="K14" s="24">
        <v>-79.538000000000011</v>
      </c>
      <c r="L14" s="24">
        <v>-58.249000000000002</v>
      </c>
    </row>
    <row r="15" spans="1:19" x14ac:dyDescent="0.45">
      <c r="B15" s="34" t="s">
        <v>410</v>
      </c>
      <c r="C15" s="24">
        <v>0</v>
      </c>
      <c r="D15" s="24">
        <v>-0.94299999999999995</v>
      </c>
      <c r="E15" s="24">
        <v>7.0999999999999994E-2</v>
      </c>
      <c r="F15" s="24">
        <v>-0.27600000000000002</v>
      </c>
      <c r="G15" s="24">
        <v>0.89300000000000002</v>
      </c>
      <c r="H15" s="24">
        <v>-2.6309999999999998</v>
      </c>
      <c r="I15" s="24">
        <v>-916.17</v>
      </c>
      <c r="J15" s="24">
        <v>-1153.9449999999999</v>
      </c>
      <c r="K15" s="24">
        <v>-713.995</v>
      </c>
      <c r="L15" s="24">
        <v>42.530999999999999</v>
      </c>
    </row>
    <row r="16" spans="1:19" x14ac:dyDescent="0.45">
      <c r="B16" s="34" t="s">
        <v>411</v>
      </c>
      <c r="C16" s="24">
        <v>0</v>
      </c>
      <c r="D16" s="24">
        <v>0</v>
      </c>
      <c r="E16" s="24">
        <v>0</v>
      </c>
      <c r="F16" s="24">
        <v>0</v>
      </c>
      <c r="G16" s="24">
        <v>0</v>
      </c>
      <c r="H16" s="24">
        <v>0</v>
      </c>
      <c r="I16" s="24">
        <v>0</v>
      </c>
      <c r="J16" s="24">
        <v>0</v>
      </c>
      <c r="K16" s="24">
        <v>0</v>
      </c>
      <c r="L16" s="24">
        <v>0</v>
      </c>
    </row>
    <row r="17" spans="1:17" x14ac:dyDescent="0.45">
      <c r="B17" s="34" t="s">
        <v>263</v>
      </c>
      <c r="C17" s="24">
        <v>0</v>
      </c>
      <c r="D17" s="24">
        <v>0</v>
      </c>
      <c r="E17" s="24">
        <v>0</v>
      </c>
      <c r="F17" s="24">
        <v>0</v>
      </c>
      <c r="G17" s="24">
        <v>0</v>
      </c>
      <c r="H17" s="24">
        <v>0</v>
      </c>
      <c r="I17" s="24">
        <v>0</v>
      </c>
      <c r="J17" s="24">
        <v>0</v>
      </c>
      <c r="K17" s="24">
        <v>0</v>
      </c>
      <c r="L17" s="24">
        <v>0</v>
      </c>
    </row>
    <row r="18" spans="1:17" s="26" customFormat="1" x14ac:dyDescent="0.45">
      <c r="B18" s="35" t="s">
        <v>412</v>
      </c>
      <c r="C18" s="36">
        <v>0</v>
      </c>
      <c r="D18" s="36">
        <v>-195.51200000000006</v>
      </c>
      <c r="E18" s="36">
        <v>-226.96799999999996</v>
      </c>
      <c r="F18" s="36">
        <v>-326.08900000000006</v>
      </c>
      <c r="G18" s="36">
        <v>-459.17499999999995</v>
      </c>
      <c r="H18" s="36">
        <v>-655.21599999999989</v>
      </c>
      <c r="I18" s="36">
        <v>10322.35</v>
      </c>
      <c r="J18" s="36">
        <v>7954.893</v>
      </c>
      <c r="K18" s="36">
        <v>-4359.8069999999998</v>
      </c>
      <c r="L18" s="36">
        <v>-3292.4480000000003</v>
      </c>
      <c r="M18" s="32"/>
      <c r="N18" s="32"/>
      <c r="O18" s="32"/>
      <c r="P18" s="32"/>
      <c r="Q18" s="32"/>
    </row>
    <row r="20" spans="1:17" x14ac:dyDescent="0.45">
      <c r="A20" s="24" t="s">
        <v>14</v>
      </c>
      <c r="B20" s="32" t="s">
        <v>413</v>
      </c>
    </row>
    <row r="21" spans="1:17" x14ac:dyDescent="0.45">
      <c r="B21" s="32"/>
      <c r="C21" s="25"/>
      <c r="D21" s="25"/>
      <c r="E21" s="25"/>
      <c r="F21" s="25"/>
      <c r="G21" s="25"/>
      <c r="H21" s="25"/>
      <c r="I21" s="25"/>
      <c r="J21" s="25"/>
      <c r="K21" s="25"/>
      <c r="L21" s="25"/>
      <c r="M21" s="25"/>
      <c r="N21" s="25"/>
      <c r="O21" s="25"/>
      <c r="P21" s="25"/>
      <c r="Q21" s="25"/>
    </row>
    <row r="22" spans="1:17" x14ac:dyDescent="0.45">
      <c r="B22" s="34" t="s">
        <v>263</v>
      </c>
    </row>
    <row r="23" spans="1:17" x14ac:dyDescent="0.45">
      <c r="B23" s="34" t="s">
        <v>272</v>
      </c>
    </row>
    <row r="24" spans="1:17" x14ac:dyDescent="0.45">
      <c r="B24" s="34" t="s">
        <v>273</v>
      </c>
    </row>
    <row r="25" spans="1:17" x14ac:dyDescent="0.45">
      <c r="B25" s="34" t="s">
        <v>274</v>
      </c>
    </row>
    <row r="26" spans="1:17" ht="42.75" x14ac:dyDescent="0.45">
      <c r="B26" s="34" t="s">
        <v>414</v>
      </c>
      <c r="C26" s="24">
        <v>13.667</v>
      </c>
      <c r="D26" s="24">
        <v>18.213999999999999</v>
      </c>
      <c r="E26" s="24">
        <v>21.071999999999999</v>
      </c>
      <c r="F26" s="24">
        <v>27.693000000000001</v>
      </c>
      <c r="G26" s="24">
        <v>81.572999999999993</v>
      </c>
      <c r="H26" s="24">
        <v>196.262</v>
      </c>
      <c r="I26" s="24">
        <v>331.05700000000002</v>
      </c>
      <c r="J26" s="24">
        <v>574.34</v>
      </c>
      <c r="K26" s="24">
        <v>174.74700000000001</v>
      </c>
      <c r="L26" s="24">
        <v>0</v>
      </c>
    </row>
    <row r="27" spans="1:17" ht="28.5" x14ac:dyDescent="0.45">
      <c r="B27" s="34" t="s">
        <v>275</v>
      </c>
    </row>
    <row r="28" spans="1:17" x14ac:dyDescent="0.45">
      <c r="B28" s="34"/>
    </row>
    <row r="29" spans="1:17" x14ac:dyDescent="0.45">
      <c r="A29" s="24" t="s">
        <v>14</v>
      </c>
      <c r="B29" s="32" t="s">
        <v>415</v>
      </c>
    </row>
    <row r="30" spans="1:17" x14ac:dyDescent="0.45">
      <c r="C30" s="25"/>
      <c r="D30" s="25"/>
      <c r="E30" s="25"/>
      <c r="F30" s="25"/>
      <c r="G30" s="25"/>
      <c r="H30" s="25"/>
      <c r="I30" s="25"/>
      <c r="J30" s="25"/>
      <c r="K30" s="25"/>
      <c r="L30" s="25"/>
      <c r="M30" s="25"/>
      <c r="N30" s="25"/>
      <c r="O30" s="25"/>
      <c r="P30" s="25"/>
      <c r="Q30" s="25"/>
    </row>
    <row r="31" spans="1:17" x14ac:dyDescent="0.45">
      <c r="B31" s="34" t="s">
        <v>285</v>
      </c>
      <c r="C31" s="24">
        <v>0</v>
      </c>
      <c r="D31" s="24">
        <v>1003.327</v>
      </c>
      <c r="E31" s="24">
        <v>629.62099999999998</v>
      </c>
      <c r="F31" s="24">
        <v>1328.8139999999999</v>
      </c>
      <c r="G31" s="24">
        <v>982.88299999999992</v>
      </c>
      <c r="H31" s="24">
        <v>3767.04</v>
      </c>
      <c r="I31" s="24">
        <v>9432.2510000000002</v>
      </c>
      <c r="J31" s="24">
        <v>9265.3019999999997</v>
      </c>
      <c r="K31" s="24">
        <v>7784.0390000000007</v>
      </c>
      <c r="L31" s="24">
        <v>6785.4470000000001</v>
      </c>
    </row>
    <row r="32" spans="1:17" x14ac:dyDescent="0.45">
      <c r="B32" s="34" t="s">
        <v>283</v>
      </c>
      <c r="C32" s="24">
        <v>0</v>
      </c>
      <c r="D32" s="24">
        <v>12.823</v>
      </c>
      <c r="E32" s="24">
        <v>11.173999999999999</v>
      </c>
      <c r="F32" s="24">
        <v>10.992000000000001</v>
      </c>
      <c r="G32" s="24">
        <v>4.7839999999999998</v>
      </c>
      <c r="H32" s="24">
        <v>1137.143</v>
      </c>
      <c r="I32" s="24">
        <v>2791.7779999999998</v>
      </c>
      <c r="J32" s="24">
        <v>1329.6299999999999</v>
      </c>
      <c r="K32" s="24">
        <v>806.99199999999996</v>
      </c>
      <c r="L32" s="24">
        <v>345.79199999999997</v>
      </c>
    </row>
    <row r="33" spans="1:17" x14ac:dyDescent="0.45">
      <c r="B33" s="34" t="s">
        <v>136</v>
      </c>
      <c r="C33" s="24">
        <v>0</v>
      </c>
      <c r="D33" s="24">
        <v>0</v>
      </c>
      <c r="E33" s="24">
        <v>0</v>
      </c>
      <c r="F33" s="24">
        <v>0</v>
      </c>
      <c r="G33" s="24">
        <v>0</v>
      </c>
      <c r="H33" s="24">
        <v>38.423000000000002</v>
      </c>
      <c r="I33" s="24">
        <v>1519.43</v>
      </c>
      <c r="J33" s="24">
        <v>1092.8979999999999</v>
      </c>
      <c r="K33" s="24">
        <v>182.749</v>
      </c>
      <c r="L33" s="24">
        <v>113.01</v>
      </c>
    </row>
    <row r="34" spans="1:17" x14ac:dyDescent="0.45">
      <c r="B34" s="34" t="s">
        <v>284</v>
      </c>
      <c r="C34" s="24">
        <v>0</v>
      </c>
      <c r="D34" s="24">
        <v>14.689</v>
      </c>
      <c r="E34" s="24">
        <v>11.472999999999999</v>
      </c>
      <c r="F34" s="24">
        <v>25.323</v>
      </c>
      <c r="G34" s="24">
        <v>18.21</v>
      </c>
      <c r="H34" s="24">
        <v>206.012</v>
      </c>
      <c r="I34" s="24">
        <v>387.77099999999996</v>
      </c>
      <c r="J34" s="24">
        <v>879.55799999999999</v>
      </c>
      <c r="K34" s="24">
        <v>567.24600000000009</v>
      </c>
      <c r="L34" s="24">
        <v>578.57499999999993</v>
      </c>
    </row>
    <row r="35" spans="1:17" x14ac:dyDescent="0.45">
      <c r="B35" s="34" t="s">
        <v>278</v>
      </c>
      <c r="C35" s="24">
        <v>0</v>
      </c>
      <c r="D35" s="24">
        <v>77</v>
      </c>
      <c r="E35" s="24">
        <v>115.785</v>
      </c>
      <c r="F35" s="24">
        <v>185.14099999999999</v>
      </c>
      <c r="G35" s="24">
        <v>256.55599999999998</v>
      </c>
      <c r="H35" s="24">
        <v>316.37299999999999</v>
      </c>
      <c r="I35" s="24">
        <v>1216.0719999999999</v>
      </c>
      <c r="J35" s="24">
        <v>2001.462</v>
      </c>
      <c r="K35" s="24">
        <v>2404.6930000000002</v>
      </c>
      <c r="L35" s="24">
        <v>2854.2350000000001</v>
      </c>
    </row>
    <row r="36" spans="1:17" x14ac:dyDescent="0.45">
      <c r="B36" s="34" t="s">
        <v>279</v>
      </c>
      <c r="C36" s="24">
        <v>0</v>
      </c>
      <c r="D36" s="24">
        <v>11.599</v>
      </c>
      <c r="E36" s="24">
        <v>13.645</v>
      </c>
      <c r="F36" s="24">
        <v>12.381</v>
      </c>
      <c r="G36" s="24">
        <v>11.337</v>
      </c>
      <c r="H36" s="24">
        <v>10.628</v>
      </c>
      <c r="I36" s="24">
        <v>40.448</v>
      </c>
      <c r="J36" s="24">
        <v>885.17200000000003</v>
      </c>
      <c r="K36" s="24">
        <v>633.29</v>
      </c>
      <c r="L36" s="24">
        <v>560.22199999999998</v>
      </c>
    </row>
    <row r="37" spans="1:17" x14ac:dyDescent="0.45">
      <c r="B37" s="34" t="s">
        <v>280</v>
      </c>
      <c r="C37" s="24">
        <v>0</v>
      </c>
      <c r="D37" s="24">
        <v>224.315</v>
      </c>
      <c r="E37" s="24">
        <v>121.465</v>
      </c>
      <c r="F37" s="24">
        <v>151.089</v>
      </c>
      <c r="G37" s="24">
        <v>142.56399999999999</v>
      </c>
      <c r="H37" s="24">
        <v>522.38300000000004</v>
      </c>
      <c r="I37" s="24">
        <v>6017.05</v>
      </c>
      <c r="J37" s="24">
        <v>7822.4520000000002</v>
      </c>
      <c r="K37" s="24">
        <v>4290.9920000000002</v>
      </c>
      <c r="L37" s="24">
        <v>2422.4769999999999</v>
      </c>
    </row>
    <row r="38" spans="1:17" x14ac:dyDescent="0.45">
      <c r="B38" s="34" t="s">
        <v>281</v>
      </c>
      <c r="C38" s="24">
        <v>0</v>
      </c>
      <c r="D38" s="24">
        <v>0</v>
      </c>
      <c r="E38" s="24">
        <v>0</v>
      </c>
      <c r="F38" s="24">
        <v>0</v>
      </c>
      <c r="G38" s="24">
        <v>0</v>
      </c>
      <c r="H38" s="24">
        <v>0</v>
      </c>
      <c r="I38" s="24">
        <v>286.65199999999999</v>
      </c>
      <c r="J38" s="24">
        <v>918.85699999999997</v>
      </c>
      <c r="K38" s="24">
        <v>0</v>
      </c>
      <c r="L38" s="24">
        <v>0</v>
      </c>
    </row>
    <row r="39" spans="1:17" s="29" customFormat="1" x14ac:dyDescent="0.45">
      <c r="A39" s="24"/>
      <c r="B39" s="39" t="s">
        <v>287</v>
      </c>
      <c r="C39" s="36">
        <v>0</v>
      </c>
      <c r="D39" s="36">
        <v>1343.7529999999999</v>
      </c>
      <c r="E39" s="36">
        <v>903.1629999999999</v>
      </c>
      <c r="F39" s="36">
        <v>1713.74</v>
      </c>
      <c r="G39" s="36">
        <v>1416.3340000000001</v>
      </c>
      <c r="H39" s="36">
        <v>5998.0019999999986</v>
      </c>
      <c r="I39" s="36">
        <v>21691.452000000001</v>
      </c>
      <c r="J39" s="36">
        <v>24195.330999999998</v>
      </c>
      <c r="K39" s="36">
        <v>16670.001000000004</v>
      </c>
      <c r="L39" s="36">
        <v>13659.758000000002</v>
      </c>
      <c r="M39" s="36"/>
      <c r="N39" s="36"/>
      <c r="O39" s="36"/>
      <c r="P39" s="36"/>
      <c r="Q39" s="36"/>
    </row>
    <row r="41" spans="1:17" x14ac:dyDescent="0.45">
      <c r="A41" s="24" t="s">
        <v>14</v>
      </c>
      <c r="B41" s="32" t="s">
        <v>416</v>
      </c>
    </row>
    <row r="42" spans="1:17" x14ac:dyDescent="0.45">
      <c r="C42" s="25"/>
      <c r="D42" s="25"/>
      <c r="E42" s="25"/>
      <c r="F42" s="25"/>
      <c r="G42" s="25"/>
      <c r="H42" s="25"/>
      <c r="I42" s="25"/>
      <c r="J42" s="25"/>
      <c r="K42" s="25"/>
      <c r="L42" s="25"/>
      <c r="M42" s="25"/>
      <c r="N42" s="25"/>
      <c r="O42" s="25"/>
      <c r="P42" s="25"/>
      <c r="Q42" s="25"/>
    </row>
    <row r="43" spans="1:17" x14ac:dyDescent="0.45">
      <c r="B43" s="34" t="s">
        <v>298</v>
      </c>
      <c r="C43" s="24">
        <v>0</v>
      </c>
      <c r="D43" s="24">
        <v>0</v>
      </c>
      <c r="E43" s="24">
        <v>0</v>
      </c>
      <c r="F43" s="24">
        <v>0</v>
      </c>
      <c r="G43" s="24">
        <v>3.1930000000000001</v>
      </c>
      <c r="H43" s="24">
        <v>24.524999999999999</v>
      </c>
      <c r="I43" s="24">
        <v>185.53200000000001</v>
      </c>
      <c r="J43" s="24">
        <v>183.39699999999999</v>
      </c>
      <c r="K43" s="24">
        <v>22.617999999999999</v>
      </c>
      <c r="L43" s="24">
        <v>35.738</v>
      </c>
    </row>
    <row r="44" spans="1:17" x14ac:dyDescent="0.45">
      <c r="B44" s="34" t="s">
        <v>296</v>
      </c>
      <c r="C44" s="24">
        <v>0</v>
      </c>
      <c r="D44" s="24">
        <v>26.698</v>
      </c>
      <c r="E44" s="24">
        <v>17.260000000000002</v>
      </c>
      <c r="F44" s="24">
        <v>27.259</v>
      </c>
      <c r="G44" s="24">
        <v>6.3179999999999996</v>
      </c>
      <c r="H44" s="24">
        <v>14.715</v>
      </c>
      <c r="I44" s="24">
        <v>265.54899999999998</v>
      </c>
      <c r="J44" s="24">
        <v>455.68599999999998</v>
      </c>
      <c r="K44" s="24">
        <v>470.44400000000002</v>
      </c>
      <c r="L44" s="24">
        <v>391.19</v>
      </c>
    </row>
    <row r="45" spans="1:17" x14ac:dyDescent="0.45">
      <c r="B45" s="34" t="s">
        <v>297</v>
      </c>
      <c r="C45" s="24">
        <v>0</v>
      </c>
      <c r="D45" s="24">
        <v>127.67100000000001</v>
      </c>
      <c r="E45" s="24">
        <v>142.18900000000002</v>
      </c>
      <c r="F45" s="24">
        <v>167.33799999999999</v>
      </c>
      <c r="G45" s="24">
        <v>118.01900000000001</v>
      </c>
      <c r="H45" s="24">
        <v>3548.768</v>
      </c>
      <c r="I45" s="24">
        <v>7575.17</v>
      </c>
      <c r="J45" s="24">
        <v>3967.3690000000001</v>
      </c>
      <c r="K45" s="24">
        <v>2234.6090000000004</v>
      </c>
      <c r="L45" s="24">
        <v>1703.848</v>
      </c>
    </row>
    <row r="46" spans="1:17" x14ac:dyDescent="0.45">
      <c r="B46" s="34" t="s">
        <v>292</v>
      </c>
      <c r="C46" s="24">
        <v>0</v>
      </c>
      <c r="D46" s="24">
        <v>11.853</v>
      </c>
      <c r="E46" s="24">
        <v>13.064</v>
      </c>
      <c r="F46" s="24">
        <v>29.248999999999999</v>
      </c>
      <c r="G46" s="24">
        <v>117.95</v>
      </c>
      <c r="H46" s="24">
        <v>169.22300000000001</v>
      </c>
      <c r="I46" s="24">
        <v>619.90700000000004</v>
      </c>
      <c r="J46" s="24">
        <v>939.44299999999998</v>
      </c>
      <c r="K46" s="24">
        <v>1101.925</v>
      </c>
      <c r="L46" s="24">
        <v>685.78899999999999</v>
      </c>
    </row>
    <row r="47" spans="1:17" x14ac:dyDescent="0.45">
      <c r="B47" s="34" t="s">
        <v>293</v>
      </c>
      <c r="C47" s="24">
        <v>0</v>
      </c>
      <c r="D47" s="24">
        <v>0</v>
      </c>
      <c r="E47" s="24">
        <v>0</v>
      </c>
      <c r="F47" s="24">
        <v>0</v>
      </c>
      <c r="G47" s="24">
        <v>0</v>
      </c>
      <c r="H47" s="24">
        <v>0</v>
      </c>
      <c r="I47" s="24">
        <v>0</v>
      </c>
      <c r="J47" s="24">
        <v>0</v>
      </c>
      <c r="K47" s="24">
        <v>0</v>
      </c>
      <c r="L47" s="24">
        <v>0</v>
      </c>
    </row>
    <row r="48" spans="1:17" ht="28.5" x14ac:dyDescent="0.45">
      <c r="B48" s="2" t="s">
        <v>294</v>
      </c>
      <c r="C48" s="24">
        <v>0</v>
      </c>
      <c r="D48" s="24">
        <v>379.28799999999995</v>
      </c>
      <c r="E48" s="24">
        <v>209.90300000000002</v>
      </c>
      <c r="F48" s="24">
        <v>153.38300000000001</v>
      </c>
      <c r="G48" s="24">
        <v>123.98100000000001</v>
      </c>
      <c r="H48" s="24">
        <v>147.15100000000001</v>
      </c>
      <c r="I48" s="24">
        <v>607.59699999999998</v>
      </c>
      <c r="J48" s="24">
        <v>756.04600000000005</v>
      </c>
      <c r="K48" s="24">
        <v>306.69299999999998</v>
      </c>
      <c r="L48" s="24">
        <v>313.91699999999997</v>
      </c>
    </row>
    <row r="49" spans="1:17" x14ac:dyDescent="0.45">
      <c r="B49" s="34" t="s">
        <v>291</v>
      </c>
      <c r="C49" s="24">
        <v>0</v>
      </c>
      <c r="D49" s="24">
        <v>0</v>
      </c>
      <c r="E49" s="24">
        <v>0</v>
      </c>
      <c r="F49" s="24">
        <v>0</v>
      </c>
      <c r="G49" s="24">
        <v>0</v>
      </c>
      <c r="H49" s="24">
        <v>0</v>
      </c>
      <c r="I49" s="24">
        <v>0</v>
      </c>
      <c r="J49" s="24">
        <v>0</v>
      </c>
      <c r="K49" s="24">
        <v>0</v>
      </c>
      <c r="L49" s="24">
        <v>0</v>
      </c>
    </row>
    <row r="50" spans="1:17" x14ac:dyDescent="0.45">
      <c r="B50" s="34" t="s">
        <v>289</v>
      </c>
      <c r="C50" s="24">
        <v>0</v>
      </c>
      <c r="D50" s="24">
        <v>-317.46699999999998</v>
      </c>
      <c r="E50" s="24">
        <v>-459.17700000000002</v>
      </c>
      <c r="F50" s="24">
        <v>1336.5129999999997</v>
      </c>
      <c r="G50" s="24">
        <v>1046.8740000000003</v>
      </c>
      <c r="H50" s="24">
        <v>2093.6179999999999</v>
      </c>
      <c r="I50" s="24">
        <v>12437.698</v>
      </c>
      <c r="J50" s="24">
        <v>17893.391000000003</v>
      </c>
      <c r="K50" s="24">
        <v>12533.714</v>
      </c>
      <c r="L50" s="24">
        <v>10529.276000000002</v>
      </c>
    </row>
    <row r="51" spans="1:17" x14ac:dyDescent="0.45">
      <c r="B51" s="34" t="s">
        <v>290</v>
      </c>
      <c r="C51" s="24">
        <v>0</v>
      </c>
      <c r="D51" s="24">
        <v>1115.71</v>
      </c>
      <c r="E51" s="24">
        <v>979.923</v>
      </c>
      <c r="F51" s="24">
        <v>0</v>
      </c>
      <c r="G51" s="24">
        <v>0</v>
      </c>
      <c r="H51" s="24">
        <v>0</v>
      </c>
      <c r="I51" s="24">
        <v>0</v>
      </c>
      <c r="J51" s="24">
        <v>0</v>
      </c>
      <c r="K51" s="24">
        <v>0</v>
      </c>
      <c r="L51" s="24">
        <v>0</v>
      </c>
    </row>
    <row r="52" spans="1:17" s="29" customFormat="1" x14ac:dyDescent="0.45">
      <c r="A52" s="24"/>
      <c r="B52" s="39" t="s">
        <v>300</v>
      </c>
      <c r="C52" s="36">
        <v>0</v>
      </c>
      <c r="D52" s="36">
        <v>1343.7530000000002</v>
      </c>
      <c r="E52" s="36">
        <v>903.16200000000003</v>
      </c>
      <c r="F52" s="36">
        <v>1713.7419999999997</v>
      </c>
      <c r="G52" s="36">
        <v>1416.3350000000003</v>
      </c>
      <c r="H52" s="36">
        <v>5998</v>
      </c>
      <c r="I52" s="36">
        <v>21691.453000000001</v>
      </c>
      <c r="J52" s="36">
        <v>24195.332000000002</v>
      </c>
      <c r="K52" s="36">
        <v>16670.003000000001</v>
      </c>
      <c r="L52" s="36">
        <v>13659.758000000002</v>
      </c>
      <c r="M52" s="36"/>
      <c r="N52" s="36"/>
      <c r="O52" s="36"/>
      <c r="P52" s="36"/>
      <c r="Q52" s="36"/>
    </row>
    <row r="54" spans="1:17" x14ac:dyDescent="0.45">
      <c r="A54" s="24" t="s">
        <v>14</v>
      </c>
      <c r="B54" s="32" t="s">
        <v>302</v>
      </c>
    </row>
    <row r="55" spans="1:17" x14ac:dyDescent="0.45">
      <c r="C55" s="25"/>
      <c r="D55" s="25"/>
      <c r="E55" s="25"/>
      <c r="F55" s="25"/>
      <c r="G55" s="25"/>
      <c r="H55" s="25"/>
      <c r="I55" s="25"/>
      <c r="J55" s="25"/>
      <c r="K55" s="25"/>
      <c r="L55" s="25"/>
      <c r="M55" s="25"/>
      <c r="N55" s="25"/>
      <c r="O55" s="25"/>
      <c r="P55" s="25"/>
      <c r="Q55" s="25"/>
    </row>
    <row r="56" spans="1:17" x14ac:dyDescent="0.45">
      <c r="B56" s="34" t="s">
        <v>303</v>
      </c>
      <c r="C56" s="24">
        <v>0</v>
      </c>
      <c r="D56" s="24">
        <v>-204.672</v>
      </c>
      <c r="E56" s="24">
        <v>-240.43399999999997</v>
      </c>
      <c r="F56" s="24">
        <v>-346.09299999999996</v>
      </c>
      <c r="G56" s="24">
        <v>-494.90799999999996</v>
      </c>
      <c r="H56" s="24">
        <v>-665.74199999999996</v>
      </c>
      <c r="I56" s="24">
        <v>11237.673999999999</v>
      </c>
      <c r="J56" s="24">
        <v>8946.1630000000005</v>
      </c>
      <c r="K56" s="24">
        <v>-4000.0349999999999</v>
      </c>
      <c r="L56" s="24">
        <v>-3705.7380000000007</v>
      </c>
    </row>
    <row r="57" spans="1:17" ht="42.75" x14ac:dyDescent="0.45">
      <c r="B57" s="34" t="s">
        <v>417</v>
      </c>
      <c r="C57" s="24">
        <v>0</v>
      </c>
      <c r="D57" s="24">
        <v>0</v>
      </c>
      <c r="E57" s="24">
        <v>0</v>
      </c>
      <c r="F57" s="24">
        <v>0</v>
      </c>
      <c r="G57" s="24">
        <v>0</v>
      </c>
      <c r="H57" s="24">
        <v>0</v>
      </c>
      <c r="I57" s="24">
        <v>0</v>
      </c>
      <c r="J57" s="24">
        <v>0</v>
      </c>
      <c r="K57" s="24">
        <v>0</v>
      </c>
      <c r="L57" s="24">
        <v>0</v>
      </c>
    </row>
    <row r="58" spans="1:17" x14ac:dyDescent="0.45">
      <c r="B58" s="34" t="s">
        <v>305</v>
      </c>
      <c r="C58" s="24">
        <v>0</v>
      </c>
      <c r="D58" s="24">
        <v>2.2410000000000001</v>
      </c>
      <c r="E58" s="24">
        <v>0.96299999999999997</v>
      </c>
      <c r="F58" s="24">
        <v>-0.82700000000000007</v>
      </c>
      <c r="G58" s="24">
        <v>-3.573</v>
      </c>
      <c r="H58" s="24">
        <v>8.7710000000000008</v>
      </c>
      <c r="I58" s="24">
        <v>45.682000000000002</v>
      </c>
      <c r="J58" s="24">
        <v>29.491</v>
      </c>
      <c r="K58" s="24">
        <v>-24.045999999999999</v>
      </c>
      <c r="L58" s="24">
        <v>-39.756999999999998</v>
      </c>
    </row>
    <row r="59" spans="1:17" x14ac:dyDescent="0.45">
      <c r="B59" s="34" t="s">
        <v>306</v>
      </c>
      <c r="C59" s="24">
        <v>0</v>
      </c>
      <c r="D59" s="24">
        <v>52.454000000000001</v>
      </c>
      <c r="E59" s="24">
        <v>87.204999999999998</v>
      </c>
      <c r="F59" s="24">
        <v>88.363</v>
      </c>
      <c r="G59" s="24">
        <v>107.2</v>
      </c>
      <c r="H59" s="24">
        <v>299.97799999999995</v>
      </c>
      <c r="I59" s="24">
        <v>539.72</v>
      </c>
      <c r="J59" s="24">
        <v>-1690.4860000000001</v>
      </c>
      <c r="K59" s="24">
        <v>2246.4929999999999</v>
      </c>
      <c r="L59" s="24">
        <v>453.97200000000004</v>
      </c>
    </row>
    <row r="60" spans="1:17" x14ac:dyDescent="0.45">
      <c r="B60" s="34" t="s">
        <v>304</v>
      </c>
      <c r="C60" s="24">
        <v>0</v>
      </c>
      <c r="D60" s="24">
        <v>-0.94299999999999995</v>
      </c>
      <c r="E60" s="24">
        <v>7.0999999999999994E-2</v>
      </c>
      <c r="F60" s="24">
        <v>-0.27600000000000002</v>
      </c>
      <c r="G60" s="24">
        <v>0.89300000000000002</v>
      </c>
      <c r="H60" s="24">
        <v>-2.6309999999999998</v>
      </c>
      <c r="I60" s="24">
        <v>-175.11299999999994</v>
      </c>
      <c r="J60" s="24">
        <v>-1153.9449999999999</v>
      </c>
      <c r="K60" s="24">
        <v>-713.995</v>
      </c>
      <c r="L60" s="24">
        <v>42.530999999999999</v>
      </c>
    </row>
    <row r="61" spans="1:17" x14ac:dyDescent="0.45">
      <c r="B61" s="34" t="s">
        <v>310</v>
      </c>
      <c r="C61" s="24">
        <v>0</v>
      </c>
      <c r="D61" s="24">
        <v>10.228999999999999</v>
      </c>
      <c r="E61" s="24">
        <v>13.512</v>
      </c>
      <c r="F61" s="24">
        <v>22.904</v>
      </c>
      <c r="G61" s="24">
        <v>34.840000000000003</v>
      </c>
      <c r="H61" s="24">
        <v>21.928000000000001</v>
      </c>
      <c r="I61" s="24">
        <v>15.227</v>
      </c>
      <c r="J61" s="24">
        <v>190.26300000000001</v>
      </c>
      <c r="K61" s="24">
        <v>389.36799999999999</v>
      </c>
      <c r="L61" s="24">
        <v>392.94900000000001</v>
      </c>
    </row>
    <row r="62" spans="1:17" x14ac:dyDescent="0.45">
      <c r="B62" s="34" t="s">
        <v>311</v>
      </c>
      <c r="C62" s="24">
        <v>0</v>
      </c>
      <c r="D62" s="24">
        <v>0</v>
      </c>
      <c r="E62" s="24">
        <v>0</v>
      </c>
      <c r="F62" s="24">
        <v>0</v>
      </c>
      <c r="G62" s="24">
        <v>0</v>
      </c>
      <c r="H62" s="24">
        <v>0</v>
      </c>
      <c r="I62" s="24">
        <v>0</v>
      </c>
      <c r="J62" s="24">
        <v>0</v>
      </c>
      <c r="K62" s="24">
        <v>0</v>
      </c>
      <c r="L62" s="24">
        <v>0</v>
      </c>
    </row>
    <row r="63" spans="1:17" ht="28.5" x14ac:dyDescent="0.45">
      <c r="B63" s="34" t="s">
        <v>308</v>
      </c>
      <c r="C63" s="24">
        <v>0</v>
      </c>
      <c r="D63" s="24">
        <v>201.16</v>
      </c>
      <c r="E63" s="24">
        <v>-155.18800000000002</v>
      </c>
      <c r="F63" s="24">
        <v>-41.88</v>
      </c>
      <c r="G63" s="24">
        <v>-54.494</v>
      </c>
      <c r="H63" s="24">
        <v>2124.4110000000001</v>
      </c>
      <c r="I63" s="24">
        <v>-126.89400000000023</v>
      </c>
      <c r="J63" s="24">
        <v>-1555.3989999999999</v>
      </c>
      <c r="K63" s="24">
        <v>-746.36500000000001</v>
      </c>
      <c r="L63" s="24">
        <v>100.78000000000009</v>
      </c>
    </row>
    <row r="64" spans="1:17" ht="28.5" x14ac:dyDescent="0.45">
      <c r="B64" s="34" t="s">
        <v>312</v>
      </c>
      <c r="C64" s="24">
        <v>0</v>
      </c>
      <c r="D64" s="24">
        <v>-586.51</v>
      </c>
      <c r="E64" s="24">
        <v>370.154</v>
      </c>
      <c r="F64" s="24">
        <v>-316.22400000000005</v>
      </c>
      <c r="G64" s="24">
        <v>-13.4</v>
      </c>
      <c r="H64" s="24">
        <v>-1466.5619999999999</v>
      </c>
      <c r="I64" s="24">
        <v>-7210.0789999999997</v>
      </c>
      <c r="J64" s="24">
        <v>-4924.0050000000001</v>
      </c>
      <c r="K64" s="24">
        <v>3889.9759999999997</v>
      </c>
      <c r="L64" s="24">
        <v>1802.0160000000001</v>
      </c>
    </row>
    <row r="65" spans="2:17" x14ac:dyDescent="0.45">
      <c r="B65" s="39" t="s">
        <v>111</v>
      </c>
      <c r="C65" s="36">
        <v>0</v>
      </c>
      <c r="D65" s="36">
        <v>-526.04099999999994</v>
      </c>
      <c r="E65" s="36">
        <v>76.283000000000015</v>
      </c>
      <c r="F65" s="36">
        <v>-594.03300000000002</v>
      </c>
      <c r="G65" s="36">
        <v>-423.44200000000001</v>
      </c>
      <c r="H65" s="36">
        <v>320.15300000000025</v>
      </c>
      <c r="I65" s="36">
        <v>4326.2170000000006</v>
      </c>
      <c r="J65" s="36">
        <v>-157.91799999999876</v>
      </c>
      <c r="K65" s="36">
        <v>1041.3959999999997</v>
      </c>
      <c r="L65" s="36">
        <v>-953.2470000000003</v>
      </c>
      <c r="M65" s="32"/>
      <c r="N65" s="32"/>
      <c r="O65" s="32"/>
      <c r="P65" s="32"/>
      <c r="Q65" s="32"/>
    </row>
    <row r="66" spans="2:17" x14ac:dyDescent="0.45">
      <c r="C66" s="25"/>
      <c r="D66" s="25"/>
      <c r="E66" s="25"/>
      <c r="F66" s="25"/>
      <c r="G66" s="25"/>
      <c r="H66" s="25"/>
      <c r="I66" s="25"/>
      <c r="J66" s="25"/>
      <c r="K66" s="25"/>
      <c r="L66" s="25"/>
      <c r="M66" s="25"/>
      <c r="N66" s="25"/>
      <c r="O66" s="25"/>
      <c r="P66" s="25"/>
      <c r="Q66" s="25"/>
    </row>
    <row r="67" spans="2:17" x14ac:dyDescent="0.45">
      <c r="B67" s="34" t="s">
        <v>315</v>
      </c>
      <c r="C67" s="24">
        <v>0</v>
      </c>
      <c r="D67" s="24">
        <v>0</v>
      </c>
      <c r="E67" s="24">
        <v>1.276</v>
      </c>
      <c r="F67" s="24">
        <v>8.0190000000000001</v>
      </c>
      <c r="G67" s="24">
        <v>0.89300000000000002</v>
      </c>
      <c r="H67" s="24">
        <v>-5.2629999999999999</v>
      </c>
      <c r="I67" s="24">
        <v>-118.434</v>
      </c>
      <c r="J67" s="24">
        <v>-175.042</v>
      </c>
      <c r="K67" s="24">
        <v>-249.71299999999999</v>
      </c>
      <c r="L67" s="24">
        <v>-9.2460000000000004</v>
      </c>
    </row>
    <row r="68" spans="2:17" x14ac:dyDescent="0.45">
      <c r="B68" s="34" t="s">
        <v>314</v>
      </c>
      <c r="C68" s="24">
        <v>0</v>
      </c>
      <c r="D68" s="24">
        <v>-0.126</v>
      </c>
      <c r="E68" s="24">
        <v>-0.11700000000000001</v>
      </c>
      <c r="F68" s="24">
        <v>-2.6240000000000001</v>
      </c>
      <c r="G68" s="24">
        <v>0</v>
      </c>
      <c r="H68" s="24">
        <v>-8.7710000000000008</v>
      </c>
      <c r="I68" s="24">
        <v>-14.381</v>
      </c>
      <c r="J68" s="24">
        <v>-27.588000000000001</v>
      </c>
      <c r="K68" s="24">
        <v>-35.145000000000003</v>
      </c>
      <c r="L68" s="24">
        <v>-22.19</v>
      </c>
    </row>
    <row r="69" spans="2:17" x14ac:dyDescent="0.45">
      <c r="B69" s="34" t="s">
        <v>317</v>
      </c>
      <c r="C69" s="24">
        <v>0</v>
      </c>
      <c r="D69" s="24">
        <v>-0.57199999999999995</v>
      </c>
      <c r="E69" s="24">
        <v>-1.3149999999999999</v>
      </c>
      <c r="F69" s="24">
        <v>0</v>
      </c>
      <c r="G69" s="24">
        <v>0</v>
      </c>
      <c r="H69" s="24">
        <v>0</v>
      </c>
      <c r="I69" s="24">
        <v>0</v>
      </c>
      <c r="J69" s="24">
        <v>0</v>
      </c>
      <c r="K69" s="24">
        <v>0</v>
      </c>
      <c r="L69" s="24">
        <v>0</v>
      </c>
    </row>
    <row r="70" spans="2:17" x14ac:dyDescent="0.45">
      <c r="B70" s="34" t="s">
        <v>418</v>
      </c>
      <c r="C70" s="24">
        <v>0</v>
      </c>
      <c r="D70" s="24">
        <v>428.20600000000002</v>
      </c>
      <c r="E70" s="24">
        <v>0.188</v>
      </c>
      <c r="F70" s="24">
        <v>1031.8190000000002</v>
      </c>
      <c r="G70" s="24">
        <v>45.56</v>
      </c>
      <c r="H70" s="24">
        <v>1788.4690000000001</v>
      </c>
      <c r="I70" s="24">
        <v>-620.08600000000001</v>
      </c>
      <c r="J70" s="24">
        <v>-3105.0909999999999</v>
      </c>
      <c r="K70" s="24">
        <v>-1023.824</v>
      </c>
      <c r="L70" s="24">
        <v>61.023000000000003</v>
      </c>
    </row>
    <row r="71" spans="2:17" x14ac:dyDescent="0.45">
      <c r="B71" s="31" t="s">
        <v>319</v>
      </c>
      <c r="C71" s="24">
        <v>0</v>
      </c>
      <c r="D71" s="24">
        <v>0</v>
      </c>
      <c r="E71" s="24">
        <v>0</v>
      </c>
      <c r="F71" s="24">
        <v>0</v>
      </c>
      <c r="G71" s="24">
        <v>0</v>
      </c>
      <c r="H71" s="24">
        <v>0</v>
      </c>
      <c r="I71" s="24">
        <v>0</v>
      </c>
      <c r="J71" s="24">
        <v>0</v>
      </c>
      <c r="K71" s="24">
        <v>0</v>
      </c>
      <c r="L71" s="24">
        <v>0</v>
      </c>
      <c r="M71" s="32"/>
      <c r="N71" s="32"/>
      <c r="O71" s="32"/>
      <c r="P71" s="32"/>
      <c r="Q71" s="32"/>
    </row>
    <row r="72" spans="2:17" x14ac:dyDescent="0.45">
      <c r="B72" s="39" t="s">
        <v>419</v>
      </c>
      <c r="C72" s="36">
        <v>0</v>
      </c>
      <c r="D72" s="36">
        <v>-98.532999999999902</v>
      </c>
      <c r="E72" s="36">
        <v>76.315000000000012</v>
      </c>
      <c r="F72" s="36">
        <v>443.18100000000015</v>
      </c>
      <c r="G72" s="36">
        <v>-376.98900000000003</v>
      </c>
      <c r="H72" s="36">
        <v>2094.5880000000002</v>
      </c>
      <c r="I72" s="36">
        <v>3573.3160000000007</v>
      </c>
      <c r="J72" s="36">
        <v>-3465.6389999999988</v>
      </c>
      <c r="K72" s="36">
        <v>-267.28600000000029</v>
      </c>
      <c r="L72" s="36">
        <v>-923.66000000000031</v>
      </c>
    </row>
  </sheetData>
  <dataValidations count="2">
    <dataValidation type="list" allowBlank="1" showInputMessage="1" showErrorMessage="1" sqref="B5" xr:uid="{85F3815E-6EB9-43E5-ABFE-FAEAC18B0B5B}">
      <formula1>B$247:B$264</formula1>
    </dataValidation>
    <dataValidation type="list" allowBlank="1" showInputMessage="1" showErrorMessage="1" sqref="B48" xr:uid="{8E427B39-749E-45AB-B76A-292022EA9DBE}">
      <formula1>$B$249:$B$272</formula1>
    </dataValidation>
  </dataValidations>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1EFF6-D562-407D-BFE8-8E109F3CD880}">
  <dimension ref="A2:S74"/>
  <sheetViews>
    <sheetView showGridLines="0" topLeftCell="A44" workbookViewId="0"/>
  </sheetViews>
  <sheetFormatPr defaultColWidth="9.1328125" defaultRowHeight="14.25" x14ac:dyDescent="0.45"/>
  <cols>
    <col min="1" max="1" width="3.33203125" style="24" customWidth="1"/>
    <col min="2" max="2" width="36.33203125" style="24" customWidth="1"/>
    <col min="3" max="3" width="12.33203125" style="24" customWidth="1"/>
    <col min="4" max="17" width="13.1328125" style="24" customWidth="1"/>
    <col min="18" max="16384" width="9.1328125" style="24"/>
  </cols>
  <sheetData>
    <row r="2" spans="1:19" x14ac:dyDescent="0.45">
      <c r="C2" s="21">
        <v>2015</v>
      </c>
      <c r="D2" s="21">
        <v>2016</v>
      </c>
      <c r="E2" s="21">
        <v>2017</v>
      </c>
      <c r="F2" s="21">
        <v>2018</v>
      </c>
      <c r="G2" s="21">
        <v>2019</v>
      </c>
      <c r="H2" s="21">
        <v>2020</v>
      </c>
      <c r="I2" s="21">
        <v>2021</v>
      </c>
      <c r="J2" s="21">
        <v>2022</v>
      </c>
      <c r="K2" s="21">
        <v>2023</v>
      </c>
      <c r="L2" s="21">
        <v>2024</v>
      </c>
      <c r="M2" s="37">
        <v>2025</v>
      </c>
      <c r="N2" s="37">
        <v>2026</v>
      </c>
      <c r="O2" s="37">
        <v>2027</v>
      </c>
      <c r="P2" s="37">
        <v>2028</v>
      </c>
      <c r="Q2" s="37">
        <v>2029</v>
      </c>
    </row>
    <row r="3" spans="1:19" x14ac:dyDescent="0.45">
      <c r="A3" s="24" t="s">
        <v>14</v>
      </c>
      <c r="B3" s="32" t="s">
        <v>252</v>
      </c>
      <c r="C3" s="33"/>
      <c r="D3" s="33"/>
      <c r="E3" s="33"/>
      <c r="F3" s="33"/>
      <c r="G3" s="33"/>
      <c r="H3" s="33"/>
      <c r="I3" s="33"/>
      <c r="J3" s="33"/>
      <c r="K3" s="33"/>
      <c r="L3" s="33"/>
      <c r="M3" s="33"/>
      <c r="N3" s="33"/>
      <c r="O3" s="33"/>
      <c r="P3" s="33"/>
      <c r="Q3" s="33"/>
    </row>
    <row r="4" spans="1:19" x14ac:dyDescent="0.45">
      <c r="C4" s="25"/>
      <c r="D4" s="25"/>
      <c r="E4" s="25"/>
      <c r="F4" s="25"/>
      <c r="G4" s="25"/>
      <c r="H4" s="25"/>
      <c r="I4" s="25"/>
      <c r="J4" s="25"/>
      <c r="K4" s="25"/>
      <c r="L4" s="25"/>
      <c r="M4" s="25"/>
      <c r="N4" s="25"/>
      <c r="O4" s="25"/>
      <c r="P4" s="25"/>
      <c r="Q4" s="25"/>
      <c r="S4" s="24" t="s">
        <v>405</v>
      </c>
    </row>
    <row r="5" spans="1:19" x14ac:dyDescent="0.45">
      <c r="B5" s="34" t="s">
        <v>406</v>
      </c>
      <c r="C5" s="24">
        <v>34861</v>
      </c>
      <c r="D5" s="24">
        <v>34696</v>
      </c>
      <c r="E5" s="24">
        <v>36221</v>
      </c>
      <c r="F5" s="24">
        <v>35677</v>
      </c>
      <c r="G5" s="24">
        <v>37631</v>
      </c>
      <c r="H5" s="24">
        <v>37369</v>
      </c>
      <c r="I5" s="24">
        <v>39175</v>
      </c>
      <c r="J5" s="24">
        <v>40304</v>
      </c>
      <c r="K5" s="24">
        <v>41109</v>
      </c>
      <c r="L5" s="24">
        <v>44286</v>
      </c>
    </row>
    <row r="6" spans="1:19" x14ac:dyDescent="0.45">
      <c r="B6" s="34" t="s">
        <v>267</v>
      </c>
      <c r="C6" s="24">
        <v>-10919</v>
      </c>
      <c r="D6" s="24">
        <v>-10701</v>
      </c>
      <c r="E6" s="24">
        <v>-11447</v>
      </c>
      <c r="F6" s="24">
        <v>-11321</v>
      </c>
      <c r="G6" s="24">
        <v>-11976</v>
      </c>
      <c r="H6" s="24">
        <v>-12106</v>
      </c>
      <c r="I6" s="24">
        <v>-12251</v>
      </c>
      <c r="J6" s="24">
        <v>-11869</v>
      </c>
      <c r="K6" s="24">
        <v>-12619</v>
      </c>
      <c r="L6" s="24">
        <v>-13195</v>
      </c>
    </row>
    <row r="7" spans="1:19" x14ac:dyDescent="0.45">
      <c r="B7" s="34" t="s">
        <v>274</v>
      </c>
      <c r="C7" s="24">
        <v>-2137</v>
      </c>
      <c r="D7" s="24">
        <v>-1692</v>
      </c>
      <c r="E7" s="24">
        <v>-1866</v>
      </c>
      <c r="F7" s="24">
        <v>-2170</v>
      </c>
      <c r="G7" s="24">
        <v>-2146</v>
      </c>
      <c r="H7" s="24">
        <v>-1681</v>
      </c>
      <c r="I7" s="24">
        <v>-1580</v>
      </c>
      <c r="J7" s="24">
        <v>-1578</v>
      </c>
      <c r="K7" s="24">
        <v>-1911</v>
      </c>
      <c r="L7" s="24">
        <v>-1749</v>
      </c>
    </row>
    <row r="8" spans="1:19" x14ac:dyDescent="0.45">
      <c r="B8" s="34" t="s">
        <v>268</v>
      </c>
      <c r="C8" s="24">
        <v>-9496</v>
      </c>
      <c r="D8" s="24">
        <v>-9592</v>
      </c>
      <c r="E8" s="24">
        <v>-10164</v>
      </c>
      <c r="F8" s="24">
        <v>-9934</v>
      </c>
      <c r="G8" s="24">
        <v>-9967</v>
      </c>
      <c r="H8" s="24">
        <v>-9448</v>
      </c>
      <c r="I8" s="24">
        <v>-9599</v>
      </c>
      <c r="J8" s="24">
        <v>-8785</v>
      </c>
      <c r="K8" s="24">
        <v>-9003</v>
      </c>
      <c r="L8" s="24">
        <v>-9247</v>
      </c>
    </row>
    <row r="9" spans="1:19" x14ac:dyDescent="0.45">
      <c r="B9" s="34" t="s">
        <v>269</v>
      </c>
      <c r="C9" s="24">
        <v>-5082</v>
      </c>
      <c r="D9" s="24">
        <v>-5172</v>
      </c>
      <c r="E9" s="24">
        <v>-5472</v>
      </c>
      <c r="F9" s="24">
        <v>-5894</v>
      </c>
      <c r="G9" s="24">
        <v>-6020</v>
      </c>
      <c r="H9" s="24">
        <v>-5530</v>
      </c>
      <c r="I9" s="24">
        <v>-5692</v>
      </c>
      <c r="J9" s="24">
        <v>-6501</v>
      </c>
      <c r="K9" s="24">
        <v>-6507</v>
      </c>
      <c r="L9" s="24">
        <v>-7394</v>
      </c>
    </row>
    <row r="10" spans="1:19" ht="28.5" x14ac:dyDescent="0.45">
      <c r="B10" s="2" t="s">
        <v>270</v>
      </c>
      <c r="C10" s="24">
        <v>-256</v>
      </c>
      <c r="D10" s="24">
        <v>-21</v>
      </c>
      <c r="E10" s="24">
        <v>1</v>
      </c>
      <c r="F10" s="24">
        <v>-334</v>
      </c>
      <c r="G10" s="24">
        <v>-720</v>
      </c>
      <c r="H10" s="24">
        <v>-1025</v>
      </c>
      <c r="I10" s="24">
        <v>-1488</v>
      </c>
      <c r="J10" s="24">
        <v>-1190</v>
      </c>
      <c r="K10" s="24">
        <v>-2948</v>
      </c>
      <c r="L10" s="24">
        <v>-3832</v>
      </c>
    </row>
    <row r="11" spans="1:19" x14ac:dyDescent="0.45">
      <c r="B11" s="34" t="s">
        <v>407</v>
      </c>
      <c r="C11" s="24">
        <v>57</v>
      </c>
      <c r="D11" s="24">
        <v>56</v>
      </c>
      <c r="E11" s="24">
        <v>56</v>
      </c>
      <c r="F11" s="24">
        <v>72</v>
      </c>
      <c r="G11" s="24">
        <v>91</v>
      </c>
      <c r="H11" s="24">
        <v>37</v>
      </c>
      <c r="I11" s="24">
        <v>3</v>
      </c>
      <c r="J11" s="24">
        <v>239</v>
      </c>
      <c r="K11" s="24">
        <v>527</v>
      </c>
      <c r="L11" s="24">
        <v>413</v>
      </c>
    </row>
    <row r="12" spans="1:19" x14ac:dyDescent="0.45">
      <c r="B12" s="34" t="s">
        <v>408</v>
      </c>
      <c r="C12" s="24">
        <v>-416</v>
      </c>
      <c r="D12" s="24">
        <v>-360</v>
      </c>
      <c r="E12" s="24">
        <v>-346</v>
      </c>
      <c r="F12" s="24">
        <v>-471</v>
      </c>
      <c r="G12" s="24">
        <v>-544</v>
      </c>
      <c r="H12" s="24">
        <v>-459</v>
      </c>
      <c r="I12" s="24">
        <v>-362</v>
      </c>
      <c r="J12" s="24">
        <v>-402</v>
      </c>
      <c r="K12" s="24">
        <v>-589</v>
      </c>
      <c r="L12" s="24">
        <v>-641</v>
      </c>
    </row>
    <row r="13" spans="1:19" x14ac:dyDescent="0.45">
      <c r="B13" s="2" t="s">
        <v>255</v>
      </c>
      <c r="C13" s="24">
        <v>-22</v>
      </c>
      <c r="D13" s="24">
        <v>-110</v>
      </c>
      <c r="E13" s="24">
        <v>85</v>
      </c>
      <c r="F13" s="24">
        <v>562</v>
      </c>
      <c r="G13" s="24">
        <v>255</v>
      </c>
      <c r="H13" s="24">
        <v>7747</v>
      </c>
      <c r="I13" s="24">
        <v>42</v>
      </c>
      <c r="J13" s="24">
        <v>56</v>
      </c>
      <c r="K13" s="24">
        <v>-137</v>
      </c>
      <c r="L13" s="24">
        <v>60</v>
      </c>
    </row>
    <row r="14" spans="1:19" x14ac:dyDescent="0.45">
      <c r="B14" s="34" t="s">
        <v>409</v>
      </c>
      <c r="C14" s="24">
        <v>-1369</v>
      </c>
      <c r="D14" s="24">
        <v>-1293</v>
      </c>
      <c r="E14" s="24">
        <v>-1452</v>
      </c>
      <c r="F14" s="24">
        <v>-1283</v>
      </c>
      <c r="G14" s="24">
        <v>-3597</v>
      </c>
      <c r="H14" s="24">
        <v>-767</v>
      </c>
      <c r="I14" s="24">
        <v>-411</v>
      </c>
      <c r="J14" s="24">
        <v>-282</v>
      </c>
      <c r="K14" s="24">
        <v>-1807</v>
      </c>
      <c r="L14" s="24">
        <v>-1943</v>
      </c>
    </row>
    <row r="15" spans="1:19" x14ac:dyDescent="0.45">
      <c r="B15" s="34" t="s">
        <v>410</v>
      </c>
      <c r="C15" s="24">
        <v>-709</v>
      </c>
      <c r="D15" s="24">
        <v>-1325</v>
      </c>
      <c r="E15" s="24">
        <v>-1722</v>
      </c>
      <c r="F15" s="24">
        <v>-481</v>
      </c>
      <c r="G15" s="24">
        <v>-121</v>
      </c>
      <c r="H15" s="24">
        <v>-1807</v>
      </c>
      <c r="I15" s="24">
        <v>-1558</v>
      </c>
      <c r="J15" s="24">
        <v>-1909</v>
      </c>
      <c r="K15" s="24">
        <v>-1017</v>
      </c>
      <c r="L15" s="24">
        <v>-1204</v>
      </c>
    </row>
    <row r="16" spans="1:19" x14ac:dyDescent="0.45">
      <c r="B16" s="34" t="s">
        <v>411</v>
      </c>
      <c r="C16" s="24">
        <v>-124</v>
      </c>
      <c r="D16" s="24">
        <v>314</v>
      </c>
      <c r="E16" s="24">
        <v>4643</v>
      </c>
      <c r="F16" s="24">
        <v>-13</v>
      </c>
      <c r="G16" s="24">
        <v>-101</v>
      </c>
      <c r="H16" s="24">
        <v>0</v>
      </c>
      <c r="I16" s="24">
        <v>0</v>
      </c>
      <c r="J16" s="24">
        <v>401</v>
      </c>
      <c r="K16" s="24">
        <v>338</v>
      </c>
      <c r="L16" s="24">
        <v>64</v>
      </c>
    </row>
    <row r="17" spans="1:17" x14ac:dyDescent="0.45">
      <c r="B17" s="34" t="s">
        <v>263</v>
      </c>
      <c r="C17" s="24">
        <v>-101</v>
      </c>
      <c r="D17" s="24">
        <v>-91</v>
      </c>
      <c r="E17" s="24">
        <v>-121</v>
      </c>
      <c r="F17" s="24">
        <v>-104</v>
      </c>
      <c r="G17" s="24">
        <v>-31</v>
      </c>
      <c r="H17" s="24">
        <v>-36</v>
      </c>
      <c r="I17" s="24">
        <v>-56</v>
      </c>
      <c r="J17" s="24">
        <v>-113</v>
      </c>
      <c r="K17" s="24">
        <v>-36</v>
      </c>
      <c r="L17" s="24">
        <v>-58</v>
      </c>
    </row>
    <row r="18" spans="1:17" s="26" customFormat="1" x14ac:dyDescent="0.45">
      <c r="B18" s="35" t="s">
        <v>412</v>
      </c>
      <c r="C18" s="36">
        <v>4287</v>
      </c>
      <c r="D18" s="36">
        <v>4709</v>
      </c>
      <c r="E18" s="36">
        <v>8416</v>
      </c>
      <c r="F18" s="36">
        <v>4306</v>
      </c>
      <c r="G18" s="36">
        <v>2754</v>
      </c>
      <c r="H18" s="36">
        <v>12294</v>
      </c>
      <c r="I18" s="36">
        <v>6223</v>
      </c>
      <c r="J18" s="36">
        <v>8371</v>
      </c>
      <c r="K18" s="36">
        <v>5400</v>
      </c>
      <c r="L18" s="36">
        <v>5560</v>
      </c>
      <c r="M18" s="32"/>
      <c r="N18" s="32"/>
      <c r="O18" s="32"/>
      <c r="P18" s="32"/>
      <c r="Q18" s="32"/>
    </row>
    <row r="20" spans="1:17" x14ac:dyDescent="0.45">
      <c r="A20" s="24" t="s">
        <v>14</v>
      </c>
      <c r="B20" s="32" t="s">
        <v>413</v>
      </c>
    </row>
    <row r="21" spans="1:17" x14ac:dyDescent="0.45">
      <c r="B21" s="32"/>
      <c r="C21" s="25"/>
      <c r="D21" s="25"/>
      <c r="E21" s="25"/>
      <c r="F21" s="25"/>
      <c r="G21" s="25"/>
      <c r="H21" s="25"/>
      <c r="I21" s="25"/>
      <c r="J21" s="25"/>
      <c r="K21" s="25"/>
      <c r="L21" s="25"/>
      <c r="M21" s="25"/>
      <c r="N21" s="25"/>
      <c r="O21" s="25"/>
      <c r="P21" s="25"/>
      <c r="Q21" s="25"/>
    </row>
    <row r="22" spans="1:17" x14ac:dyDescent="0.45">
      <c r="B22" s="34" t="s">
        <v>263</v>
      </c>
    </row>
    <row r="23" spans="1:17" x14ac:dyDescent="0.45">
      <c r="B23" s="34" t="s">
        <v>272</v>
      </c>
    </row>
    <row r="24" spans="1:17" x14ac:dyDescent="0.45">
      <c r="B24" s="34" t="s">
        <v>273</v>
      </c>
    </row>
    <row r="25" spans="1:17" x14ac:dyDescent="0.45">
      <c r="B25" s="34" t="s">
        <v>274</v>
      </c>
    </row>
    <row r="26" spans="1:17" ht="42.75" x14ac:dyDescent="0.45">
      <c r="B26" s="34" t="s">
        <v>414</v>
      </c>
      <c r="C26" s="24">
        <v>3263</v>
      </c>
      <c r="D26" s="24">
        <v>2841</v>
      </c>
      <c r="E26" s="24">
        <v>3007</v>
      </c>
      <c r="F26" s="24">
        <v>3339</v>
      </c>
      <c r="G26" s="24">
        <v>3593</v>
      </c>
      <c r="H26" s="24">
        <v>3186</v>
      </c>
      <c r="I26" s="24">
        <v>3001</v>
      </c>
      <c r="J26" s="24">
        <v>3053</v>
      </c>
      <c r="K26" s="24">
        <v>3247</v>
      </c>
      <c r="L26" s="24">
        <v>3110</v>
      </c>
    </row>
    <row r="27" spans="1:17" ht="28.5" x14ac:dyDescent="0.45">
      <c r="B27" s="34" t="s">
        <v>275</v>
      </c>
    </row>
    <row r="29" spans="1:17" x14ac:dyDescent="0.45">
      <c r="A29" s="24" t="s">
        <v>14</v>
      </c>
      <c r="B29" s="32" t="s">
        <v>415</v>
      </c>
    </row>
    <row r="30" spans="1:17" x14ac:dyDescent="0.45">
      <c r="C30" s="25"/>
      <c r="D30" s="25"/>
      <c r="E30" s="25"/>
      <c r="F30" s="25"/>
      <c r="G30" s="25"/>
      <c r="H30" s="25"/>
      <c r="I30" s="25"/>
      <c r="J30" s="25"/>
      <c r="K30" s="25"/>
      <c r="L30" s="25"/>
      <c r="M30" s="25"/>
      <c r="N30" s="25"/>
      <c r="O30" s="25"/>
      <c r="P30" s="25"/>
      <c r="Q30" s="25"/>
    </row>
    <row r="31" spans="1:17" x14ac:dyDescent="0.45">
      <c r="B31" s="34" t="s">
        <v>285</v>
      </c>
      <c r="C31" s="24">
        <v>9148</v>
      </c>
      <c r="D31" s="24">
        <v>10273</v>
      </c>
      <c r="E31" s="24">
        <v>10315</v>
      </c>
      <c r="F31" s="24">
        <v>6925</v>
      </c>
      <c r="G31" s="24">
        <v>9427</v>
      </c>
      <c r="H31" s="24">
        <v>13915</v>
      </c>
      <c r="I31" s="24">
        <v>10098</v>
      </c>
      <c r="J31" s="24">
        <v>12736</v>
      </c>
      <c r="K31" s="24">
        <v>8710</v>
      </c>
      <c r="L31" s="24">
        <v>7441</v>
      </c>
    </row>
    <row r="32" spans="1:17" x14ac:dyDescent="0.45">
      <c r="B32" s="34" t="s">
        <v>283</v>
      </c>
      <c r="C32" s="24">
        <v>7386</v>
      </c>
      <c r="D32" s="24">
        <v>7311</v>
      </c>
      <c r="E32" s="24">
        <v>7216</v>
      </c>
      <c r="F32" s="24">
        <v>7260</v>
      </c>
      <c r="G32" s="24">
        <v>7937</v>
      </c>
      <c r="H32" s="24">
        <v>7491</v>
      </c>
      <c r="I32" s="24">
        <v>7568</v>
      </c>
      <c r="J32" s="24">
        <v>8424</v>
      </c>
      <c r="K32" s="24">
        <v>8433</v>
      </c>
      <c r="L32" s="24">
        <v>7677</v>
      </c>
    </row>
    <row r="33" spans="1:17" x14ac:dyDescent="0.45">
      <c r="B33" s="34" t="s">
        <v>136</v>
      </c>
      <c r="C33" s="24">
        <v>6516</v>
      </c>
      <c r="D33" s="24">
        <v>6896</v>
      </c>
      <c r="E33" s="24">
        <v>6818</v>
      </c>
      <c r="F33" s="24">
        <v>7477</v>
      </c>
      <c r="G33" s="24">
        <v>7994</v>
      </c>
      <c r="H33" s="24">
        <v>8352</v>
      </c>
      <c r="I33" s="24">
        <v>8715</v>
      </c>
      <c r="J33" s="24">
        <v>8960</v>
      </c>
      <c r="K33" s="24">
        <v>9666</v>
      </c>
      <c r="L33" s="24">
        <v>9431</v>
      </c>
    </row>
    <row r="34" spans="1:17" x14ac:dyDescent="0.45">
      <c r="B34" s="34" t="s">
        <v>284</v>
      </c>
      <c r="C34" s="24">
        <v>7630</v>
      </c>
      <c r="D34" s="24">
        <v>8632</v>
      </c>
      <c r="E34" s="24">
        <v>2039</v>
      </c>
      <c r="F34" s="24">
        <v>2985</v>
      </c>
      <c r="G34" s="24">
        <v>3578</v>
      </c>
      <c r="H34" s="24">
        <v>4028</v>
      </c>
      <c r="I34" s="24">
        <v>4272</v>
      </c>
      <c r="J34" s="24">
        <v>3991</v>
      </c>
      <c r="K34" s="24">
        <v>3861</v>
      </c>
      <c r="L34" s="24">
        <v>18039</v>
      </c>
    </row>
    <row r="35" spans="1:17" x14ac:dyDescent="0.45">
      <c r="B35" s="34" t="s">
        <v>278</v>
      </c>
      <c r="C35" s="24">
        <v>10112</v>
      </c>
      <c r="D35" s="24">
        <v>12839</v>
      </c>
      <c r="E35" s="24">
        <v>9712</v>
      </c>
      <c r="F35" s="24">
        <v>10029</v>
      </c>
      <c r="G35" s="24">
        <v>11488</v>
      </c>
      <c r="H35" s="24">
        <v>11104</v>
      </c>
      <c r="I35" s="24">
        <v>12621</v>
      </c>
      <c r="J35" s="24">
        <v>12481</v>
      </c>
      <c r="K35" s="24">
        <v>12387</v>
      </c>
      <c r="L35" s="24">
        <v>12469</v>
      </c>
    </row>
    <row r="36" spans="1:17" x14ac:dyDescent="0.45">
      <c r="B36" s="34" t="s">
        <v>279</v>
      </c>
      <c r="C36" s="24">
        <v>52254</v>
      </c>
      <c r="D36" s="24">
        <v>51166</v>
      </c>
      <c r="E36" s="24">
        <v>54043</v>
      </c>
      <c r="F36" s="24">
        <v>66588</v>
      </c>
      <c r="G36" s="24">
        <v>61549</v>
      </c>
      <c r="H36" s="24">
        <v>63242</v>
      </c>
      <c r="I36" s="24">
        <v>69948</v>
      </c>
      <c r="J36" s="24">
        <v>71984</v>
      </c>
      <c r="K36" s="24">
        <v>74314</v>
      </c>
      <c r="L36" s="24">
        <v>66515</v>
      </c>
    </row>
    <row r="37" spans="1:17" x14ac:dyDescent="0.45">
      <c r="B37" s="34" t="s">
        <v>280</v>
      </c>
      <c r="C37" s="24">
        <v>4561</v>
      </c>
      <c r="D37" s="24">
        <v>2892</v>
      </c>
      <c r="E37" s="24">
        <v>5379</v>
      </c>
      <c r="F37" s="24">
        <v>5531</v>
      </c>
      <c r="G37" s="24">
        <v>5266</v>
      </c>
      <c r="H37" s="24">
        <v>2105</v>
      </c>
      <c r="I37" s="24">
        <v>2422</v>
      </c>
      <c r="J37" s="24">
        <v>2765</v>
      </c>
      <c r="K37" s="24">
        <v>2666</v>
      </c>
      <c r="L37" s="24">
        <v>3259</v>
      </c>
    </row>
    <row r="38" spans="1:17" x14ac:dyDescent="0.45">
      <c r="B38" s="34" t="s">
        <v>281</v>
      </c>
      <c r="C38" s="24">
        <v>4714</v>
      </c>
      <c r="D38" s="24">
        <v>4670</v>
      </c>
      <c r="E38" s="24">
        <v>4291</v>
      </c>
      <c r="F38" s="24">
        <v>4613</v>
      </c>
      <c r="G38" s="24">
        <v>5391</v>
      </c>
      <c r="H38" s="24">
        <v>4176</v>
      </c>
      <c r="I38" s="24">
        <v>4598</v>
      </c>
      <c r="J38" s="24">
        <v>5381</v>
      </c>
      <c r="K38" s="24">
        <v>6427</v>
      </c>
      <c r="L38" s="24">
        <v>7967</v>
      </c>
    </row>
    <row r="39" spans="1:17" s="29" customFormat="1" x14ac:dyDescent="0.45">
      <c r="A39" s="24"/>
      <c r="B39" s="39" t="s">
        <v>287</v>
      </c>
      <c r="C39" s="36">
        <v>102321</v>
      </c>
      <c r="D39" s="36">
        <v>104679</v>
      </c>
      <c r="E39" s="36">
        <v>99813</v>
      </c>
      <c r="F39" s="36">
        <v>111408</v>
      </c>
      <c r="G39" s="36">
        <v>112630</v>
      </c>
      <c r="H39" s="36">
        <v>114413</v>
      </c>
      <c r="I39" s="36">
        <v>120242</v>
      </c>
      <c r="J39" s="36">
        <v>126722</v>
      </c>
      <c r="K39" s="36">
        <v>126464</v>
      </c>
      <c r="L39" s="36">
        <v>132798</v>
      </c>
      <c r="M39" s="36"/>
      <c r="N39" s="36"/>
      <c r="O39" s="36"/>
      <c r="P39" s="36"/>
      <c r="Q39" s="36"/>
    </row>
    <row r="41" spans="1:17" x14ac:dyDescent="0.45">
      <c r="A41" s="24" t="s">
        <v>14</v>
      </c>
      <c r="B41" s="32" t="s">
        <v>416</v>
      </c>
    </row>
    <row r="42" spans="1:17" x14ac:dyDescent="0.45">
      <c r="C42" s="25"/>
      <c r="D42" s="25"/>
      <c r="E42" s="25"/>
      <c r="F42" s="25"/>
      <c r="G42" s="25"/>
      <c r="H42" s="25"/>
      <c r="I42" s="25"/>
      <c r="J42" s="25"/>
      <c r="K42" s="25"/>
      <c r="L42" s="25"/>
      <c r="M42" s="25"/>
      <c r="N42" s="25"/>
      <c r="O42" s="25"/>
      <c r="P42" s="25"/>
      <c r="Q42" s="25"/>
    </row>
    <row r="43" spans="1:17" x14ac:dyDescent="0.45">
      <c r="B43" s="34" t="s">
        <v>298</v>
      </c>
      <c r="C43" s="24">
        <v>3440</v>
      </c>
      <c r="D43" s="24">
        <v>1766</v>
      </c>
      <c r="E43" s="24">
        <v>1275</v>
      </c>
      <c r="F43" s="24">
        <v>2633</v>
      </c>
      <c r="G43" s="24">
        <v>4817</v>
      </c>
      <c r="H43" s="24">
        <v>2999</v>
      </c>
      <c r="I43" s="24">
        <v>3453</v>
      </c>
      <c r="J43" s="24">
        <v>4451</v>
      </c>
      <c r="K43" s="24">
        <v>2321</v>
      </c>
      <c r="L43" s="24">
        <v>4477</v>
      </c>
    </row>
    <row r="44" spans="1:17" x14ac:dyDescent="0.45">
      <c r="B44" s="34" t="s">
        <v>296</v>
      </c>
      <c r="C44" s="24">
        <v>3817</v>
      </c>
      <c r="D44" s="24">
        <v>4297</v>
      </c>
      <c r="E44" s="24">
        <v>4633</v>
      </c>
      <c r="F44" s="24">
        <v>5041</v>
      </c>
      <c r="G44" s="24">
        <v>5313</v>
      </c>
      <c r="H44" s="24">
        <v>5295</v>
      </c>
      <c r="I44" s="24">
        <v>6180</v>
      </c>
      <c r="J44" s="24">
        <v>6813</v>
      </c>
      <c r="K44" s="24">
        <v>7328</v>
      </c>
      <c r="L44" s="24">
        <v>7551</v>
      </c>
    </row>
    <row r="45" spans="1:17" x14ac:dyDescent="0.45">
      <c r="B45" s="34" t="s">
        <v>297</v>
      </c>
      <c r="C45" s="24">
        <v>10551</v>
      </c>
      <c r="D45" s="24">
        <v>11575</v>
      </c>
      <c r="E45" s="24">
        <v>9555</v>
      </c>
      <c r="F45" s="24">
        <v>9702</v>
      </c>
      <c r="G45" s="24">
        <v>10257</v>
      </c>
      <c r="H45" s="24">
        <v>10986</v>
      </c>
      <c r="I45" s="24">
        <v>11662</v>
      </c>
      <c r="J45" s="24">
        <v>12710</v>
      </c>
      <c r="K45" s="24">
        <v>14558</v>
      </c>
      <c r="L45" s="24">
        <v>17134</v>
      </c>
    </row>
    <row r="46" spans="1:17" x14ac:dyDescent="0.45">
      <c r="B46" s="34" t="s">
        <v>292</v>
      </c>
      <c r="C46" s="24">
        <v>17426</v>
      </c>
      <c r="D46" s="24">
        <v>21192</v>
      </c>
      <c r="E46" s="24">
        <v>18285</v>
      </c>
      <c r="F46" s="24">
        <v>25529</v>
      </c>
      <c r="G46" s="24">
        <v>24717</v>
      </c>
      <c r="H46" s="24">
        <v>23952</v>
      </c>
      <c r="I46" s="24">
        <v>21909</v>
      </c>
      <c r="J46" s="24">
        <v>18800</v>
      </c>
      <c r="K46" s="24">
        <v>18316</v>
      </c>
      <c r="L46" s="24">
        <v>15428</v>
      </c>
    </row>
    <row r="47" spans="1:17" x14ac:dyDescent="0.45">
      <c r="B47" s="34" t="s">
        <v>293</v>
      </c>
      <c r="C47" s="24">
        <v>2895</v>
      </c>
      <c r="D47" s="24">
        <v>2292</v>
      </c>
      <c r="E47" s="24">
        <v>1605</v>
      </c>
      <c r="F47" s="24">
        <v>3414</v>
      </c>
      <c r="G47" s="24">
        <v>2294</v>
      </c>
      <c r="H47" s="24">
        <v>1770</v>
      </c>
      <c r="I47" s="24">
        <v>1617</v>
      </c>
      <c r="J47" s="24">
        <v>1841</v>
      </c>
      <c r="K47" s="24">
        <v>1857</v>
      </c>
      <c r="L47" s="24">
        <v>2166</v>
      </c>
    </row>
    <row r="48" spans="1:17" ht="28.5" x14ac:dyDescent="0.45">
      <c r="B48" s="2" t="s">
        <v>294</v>
      </c>
      <c r="C48" s="24">
        <v>5982</v>
      </c>
      <c r="D48" s="24">
        <v>5835</v>
      </c>
      <c r="E48" s="24">
        <v>6221</v>
      </c>
      <c r="F48" s="24">
        <v>6054</v>
      </c>
      <c r="G48" s="24">
        <v>6002</v>
      </c>
      <c r="H48" s="24">
        <v>6159</v>
      </c>
      <c r="I48" s="24">
        <v>6390</v>
      </c>
      <c r="J48" s="24">
        <v>6955</v>
      </c>
      <c r="K48" s="24">
        <v>7731</v>
      </c>
      <c r="L48" s="24">
        <v>8185</v>
      </c>
    </row>
    <row r="49" spans="1:17" x14ac:dyDescent="0.45">
      <c r="B49" s="34" t="s">
        <v>291</v>
      </c>
      <c r="C49" s="24">
        <v>161</v>
      </c>
      <c r="D49" s="24">
        <v>170</v>
      </c>
      <c r="E49" s="24">
        <v>169</v>
      </c>
      <c r="F49" s="24">
        <v>159</v>
      </c>
      <c r="G49" s="24">
        <v>174</v>
      </c>
      <c r="H49" s="24">
        <v>146</v>
      </c>
      <c r="I49" s="24">
        <v>350</v>
      </c>
      <c r="J49" s="24">
        <v>368</v>
      </c>
      <c r="K49" s="24">
        <v>313</v>
      </c>
      <c r="L49" s="24">
        <v>350</v>
      </c>
    </row>
    <row r="50" spans="1:17" x14ac:dyDescent="0.45">
      <c r="B50" s="34" t="s">
        <v>289</v>
      </c>
      <c r="C50" s="24">
        <v>58049</v>
      </c>
      <c r="D50" s="24">
        <v>57552</v>
      </c>
      <c r="E50" s="24">
        <v>58070</v>
      </c>
      <c r="F50" s="24">
        <v>58876</v>
      </c>
      <c r="G50" s="24">
        <v>59056</v>
      </c>
      <c r="H50" s="24">
        <v>63106</v>
      </c>
      <c r="I50" s="24">
        <v>68681</v>
      </c>
      <c r="J50" s="24">
        <v>74784</v>
      </c>
      <c r="K50" s="24">
        <v>74040</v>
      </c>
      <c r="L50" s="24">
        <v>77507</v>
      </c>
    </row>
    <row r="51" spans="1:17" x14ac:dyDescent="0.45">
      <c r="B51" s="34" t="s">
        <v>290</v>
      </c>
      <c r="C51" s="24">
        <v>0</v>
      </c>
      <c r="D51" s="24">
        <v>0</v>
      </c>
      <c r="E51" s="24">
        <v>0</v>
      </c>
      <c r="F51" s="24">
        <v>0</v>
      </c>
      <c r="G51" s="24">
        <v>0</v>
      </c>
      <c r="H51" s="24">
        <v>0</v>
      </c>
      <c r="I51" s="24">
        <v>0</v>
      </c>
      <c r="J51" s="24">
        <v>0</v>
      </c>
      <c r="K51" s="24">
        <v>0</v>
      </c>
      <c r="L51" s="24">
        <v>0</v>
      </c>
    </row>
    <row r="52" spans="1:17" s="29" customFormat="1" x14ac:dyDescent="0.45">
      <c r="A52" s="24"/>
      <c r="B52" s="39" t="s">
        <v>300</v>
      </c>
      <c r="C52" s="36">
        <v>102321</v>
      </c>
      <c r="D52" s="36">
        <v>104679</v>
      </c>
      <c r="E52" s="36">
        <v>99813</v>
      </c>
      <c r="F52" s="36">
        <v>111408</v>
      </c>
      <c r="G52" s="36">
        <v>112630</v>
      </c>
      <c r="H52" s="36">
        <v>114413</v>
      </c>
      <c r="I52" s="36">
        <v>120242</v>
      </c>
      <c r="J52" s="36">
        <v>126722</v>
      </c>
      <c r="K52" s="36">
        <v>126464</v>
      </c>
      <c r="L52" s="36">
        <v>132798</v>
      </c>
      <c r="M52" s="36"/>
      <c r="N52" s="36"/>
      <c r="O52" s="36"/>
      <c r="P52" s="36"/>
      <c r="Q52" s="36"/>
    </row>
    <row r="54" spans="1:17" x14ac:dyDescent="0.45">
      <c r="A54" s="24" t="s">
        <v>14</v>
      </c>
      <c r="B54" s="32" t="s">
        <v>302</v>
      </c>
    </row>
    <row r="55" spans="1:17" x14ac:dyDescent="0.45">
      <c r="C55" s="25"/>
      <c r="D55" s="25"/>
      <c r="E55" s="25"/>
      <c r="F55" s="25"/>
      <c r="G55" s="25"/>
      <c r="H55" s="25"/>
      <c r="I55" s="25"/>
      <c r="J55" s="25"/>
      <c r="K55" s="25"/>
      <c r="L55" s="25"/>
      <c r="M55" s="25"/>
      <c r="N55" s="25"/>
      <c r="O55" s="25"/>
      <c r="P55" s="25"/>
      <c r="Q55" s="25"/>
    </row>
    <row r="56" spans="1:17" x14ac:dyDescent="0.45">
      <c r="B56" s="34" t="s">
        <v>303</v>
      </c>
      <c r="C56" s="24">
        <v>5355</v>
      </c>
      <c r="D56" s="24">
        <v>6338</v>
      </c>
      <c r="E56" s="24">
        <v>10428</v>
      </c>
      <c r="F56" s="24">
        <v>5186</v>
      </c>
      <c r="G56" s="24">
        <v>3328</v>
      </c>
      <c r="H56" s="24">
        <v>14523</v>
      </c>
      <c r="I56" s="24">
        <v>8140</v>
      </c>
      <c r="J56" s="24">
        <v>10443</v>
      </c>
      <c r="K56" s="24">
        <v>6479</v>
      </c>
      <c r="L56" s="24">
        <v>6992</v>
      </c>
    </row>
    <row r="57" spans="1:17" ht="42.75" x14ac:dyDescent="0.45">
      <c r="B57" s="34" t="s">
        <v>417</v>
      </c>
      <c r="C57" s="24">
        <v>0</v>
      </c>
      <c r="D57" s="24">
        <v>0</v>
      </c>
      <c r="E57" s="24">
        <v>0</v>
      </c>
      <c r="F57" s="24">
        <v>0</v>
      </c>
      <c r="G57" s="24">
        <v>0</v>
      </c>
      <c r="H57" s="24">
        <v>0</v>
      </c>
      <c r="I57" s="24">
        <v>0</v>
      </c>
      <c r="J57" s="24">
        <v>0</v>
      </c>
      <c r="K57" s="24">
        <v>0</v>
      </c>
      <c r="L57" s="24">
        <v>0</v>
      </c>
    </row>
    <row r="58" spans="1:17" x14ac:dyDescent="0.45">
      <c r="B58" s="34" t="s">
        <v>305</v>
      </c>
      <c r="C58" s="24">
        <v>616</v>
      </c>
      <c r="D58" s="24">
        <v>-721</v>
      </c>
      <c r="E58" s="24">
        <v>-4711</v>
      </c>
      <c r="F58" s="24">
        <v>-1164</v>
      </c>
      <c r="G58" s="24">
        <v>-655</v>
      </c>
      <c r="H58" s="24">
        <v>-8195</v>
      </c>
      <c r="I58" s="24">
        <v>-316</v>
      </c>
      <c r="J58" s="24">
        <v>486</v>
      </c>
      <c r="K58" s="24">
        <v>1213</v>
      </c>
      <c r="L58" s="24">
        <v>316</v>
      </c>
    </row>
    <row r="59" spans="1:17" x14ac:dyDescent="0.45">
      <c r="B59" s="34" t="s">
        <v>306</v>
      </c>
      <c r="C59" s="24">
        <v>2962</v>
      </c>
      <c r="D59" s="24">
        <v>3020</v>
      </c>
      <c r="E59" s="24">
        <v>3527</v>
      </c>
      <c r="F59" s="24">
        <v>3685</v>
      </c>
      <c r="G59" s="24">
        <v>6035</v>
      </c>
      <c r="H59" s="24">
        <v>3644</v>
      </c>
      <c r="I59" s="24">
        <v>3206</v>
      </c>
      <c r="J59" s="24">
        <v>2463</v>
      </c>
      <c r="K59" s="24">
        <v>3232</v>
      </c>
      <c r="L59" s="24">
        <v>3820</v>
      </c>
    </row>
    <row r="60" spans="1:17" x14ac:dyDescent="0.45">
      <c r="B60" s="34" t="s">
        <v>304</v>
      </c>
      <c r="C60" s="24">
        <v>-709</v>
      </c>
      <c r="D60" s="24">
        <v>-1325</v>
      </c>
      <c r="E60" s="24">
        <v>-1722</v>
      </c>
      <c r="F60" s="24">
        <v>-481</v>
      </c>
      <c r="G60" s="24">
        <v>-121</v>
      </c>
      <c r="H60" s="24">
        <v>-1807</v>
      </c>
      <c r="I60" s="24">
        <v>-1558</v>
      </c>
      <c r="J60" s="24">
        <v>-1909</v>
      </c>
      <c r="K60" s="24">
        <v>-1017</v>
      </c>
      <c r="L60" s="24">
        <v>-1204</v>
      </c>
    </row>
    <row r="61" spans="1:17" x14ac:dyDescent="0.45">
      <c r="B61" s="34" t="s">
        <v>310</v>
      </c>
      <c r="C61" s="24">
        <v>57</v>
      </c>
      <c r="D61" s="24">
        <v>56</v>
      </c>
      <c r="E61" s="24">
        <v>56</v>
      </c>
      <c r="F61" s="24">
        <v>72</v>
      </c>
      <c r="G61" s="24">
        <v>91</v>
      </c>
      <c r="H61" s="24">
        <v>37</v>
      </c>
      <c r="I61" s="24">
        <v>3</v>
      </c>
      <c r="J61" s="24">
        <v>239</v>
      </c>
      <c r="K61" s="24">
        <v>527</v>
      </c>
      <c r="L61" s="24">
        <v>413</v>
      </c>
    </row>
    <row r="62" spans="1:17" x14ac:dyDescent="0.45">
      <c r="B62" s="34" t="s">
        <v>311</v>
      </c>
      <c r="C62" s="24">
        <v>0</v>
      </c>
      <c r="D62" s="24">
        <v>0</v>
      </c>
      <c r="E62" s="24">
        <v>0</v>
      </c>
      <c r="F62" s="24">
        <v>0</v>
      </c>
      <c r="G62" s="24">
        <v>0</v>
      </c>
      <c r="H62" s="24">
        <v>0</v>
      </c>
      <c r="I62" s="24">
        <v>0</v>
      </c>
      <c r="J62" s="24">
        <v>0</v>
      </c>
      <c r="K62" s="24">
        <v>0</v>
      </c>
      <c r="L62" s="24">
        <v>0</v>
      </c>
    </row>
    <row r="63" spans="1:17" ht="28.5" x14ac:dyDescent="0.45">
      <c r="B63" s="34" t="s">
        <v>308</v>
      </c>
      <c r="C63" s="24">
        <v>1055</v>
      </c>
      <c r="D63" s="24">
        <v>830</v>
      </c>
      <c r="E63" s="24">
        <v>147</v>
      </c>
      <c r="F63" s="24">
        <v>-1280</v>
      </c>
      <c r="G63" s="24">
        <v>-419</v>
      </c>
      <c r="H63" s="24">
        <v>-325</v>
      </c>
      <c r="I63" s="24">
        <v>1409</v>
      </c>
      <c r="J63" s="24">
        <v>-794</v>
      </c>
      <c r="K63" s="24">
        <v>413</v>
      </c>
      <c r="L63" s="24">
        <v>-615</v>
      </c>
    </row>
    <row r="64" spans="1:17" ht="28.5" x14ac:dyDescent="0.45">
      <c r="B64" s="34" t="s">
        <v>312</v>
      </c>
      <c r="C64" s="24">
        <v>-3257</v>
      </c>
      <c r="D64" s="24">
        <v>-2511</v>
      </c>
      <c r="E64" s="24">
        <v>-2896</v>
      </c>
      <c r="F64" s="24">
        <v>-12866</v>
      </c>
      <c r="G64" s="24">
        <v>-1183</v>
      </c>
      <c r="H64" s="24">
        <v>3619</v>
      </c>
      <c r="I64" s="24">
        <v>-7298</v>
      </c>
      <c r="J64" s="24">
        <v>-2075</v>
      </c>
      <c r="K64" s="24">
        <v>-6200</v>
      </c>
      <c r="L64" s="24">
        <v>-4407</v>
      </c>
    </row>
    <row r="65" spans="2:17" x14ac:dyDescent="0.45">
      <c r="B65" s="39" t="s">
        <v>111</v>
      </c>
      <c r="C65" s="36">
        <v>6079</v>
      </c>
      <c r="D65" s="36">
        <v>5687</v>
      </c>
      <c r="E65" s="36">
        <v>4829</v>
      </c>
      <c r="F65" s="36">
        <v>-6848</v>
      </c>
      <c r="G65" s="36">
        <v>7076</v>
      </c>
      <c r="H65" s="36">
        <v>11496</v>
      </c>
      <c r="I65" s="36">
        <v>3586</v>
      </c>
      <c r="J65" s="36">
        <v>8853</v>
      </c>
      <c r="K65" s="36">
        <v>4647</v>
      </c>
      <c r="L65" s="36">
        <v>5315</v>
      </c>
      <c r="M65" s="32"/>
      <c r="N65" s="32"/>
      <c r="O65" s="32"/>
      <c r="P65" s="32"/>
      <c r="Q65" s="32"/>
    </row>
    <row r="66" spans="2:17" x14ac:dyDescent="0.45">
      <c r="C66" s="25"/>
      <c r="D66" s="25"/>
      <c r="E66" s="25"/>
      <c r="F66" s="25"/>
      <c r="G66" s="25"/>
      <c r="H66" s="25"/>
      <c r="I66" s="25"/>
      <c r="J66" s="25"/>
      <c r="K66" s="25"/>
      <c r="L66" s="25"/>
      <c r="M66" s="25"/>
      <c r="N66" s="25"/>
      <c r="O66" s="25"/>
      <c r="P66" s="25"/>
      <c r="Q66" s="25"/>
    </row>
    <row r="67" spans="2:17" x14ac:dyDescent="0.45">
      <c r="B67" s="34" t="s">
        <v>315</v>
      </c>
      <c r="C67" s="24">
        <v>1303</v>
      </c>
      <c r="D67" s="24">
        <v>2261</v>
      </c>
      <c r="E67" s="24">
        <v>1186</v>
      </c>
      <c r="F67" s="24">
        <v>8625</v>
      </c>
      <c r="G67" s="24">
        <v>-358</v>
      </c>
      <c r="H67" s="24">
        <v>-1929</v>
      </c>
      <c r="I67" s="24">
        <v>-2852</v>
      </c>
      <c r="J67" s="24">
        <v>-1344</v>
      </c>
      <c r="K67" s="24">
        <v>-3200</v>
      </c>
      <c r="L67" s="24">
        <v>-944</v>
      </c>
    </row>
    <row r="68" spans="2:17" x14ac:dyDescent="0.45">
      <c r="B68" s="34" t="s">
        <v>314</v>
      </c>
      <c r="C68" s="24">
        <v>-416</v>
      </c>
      <c r="D68" s="24">
        <v>-360</v>
      </c>
      <c r="E68" s="24">
        <v>-346</v>
      </c>
      <c r="F68" s="24">
        <v>-471</v>
      </c>
      <c r="G68" s="24">
        <v>-544</v>
      </c>
      <c r="H68" s="24">
        <v>-459</v>
      </c>
      <c r="I68" s="24">
        <v>-362</v>
      </c>
      <c r="J68" s="24">
        <v>-402</v>
      </c>
      <c r="K68" s="24">
        <v>-589</v>
      </c>
      <c r="L68" s="24">
        <v>-641</v>
      </c>
    </row>
    <row r="69" spans="2:17" x14ac:dyDescent="0.45">
      <c r="B69" s="34" t="s">
        <v>317</v>
      </c>
      <c r="C69" s="24">
        <v>-3694</v>
      </c>
      <c r="D69" s="24">
        <v>-3759</v>
      </c>
      <c r="E69" s="24">
        <v>-3710</v>
      </c>
      <c r="F69" s="24">
        <v>-3773</v>
      </c>
      <c r="G69" s="24">
        <v>-3834</v>
      </c>
      <c r="H69" s="24">
        <v>-3937</v>
      </c>
      <c r="I69" s="24">
        <v>-4008</v>
      </c>
      <c r="J69" s="24">
        <v>-4168</v>
      </c>
      <c r="K69" s="24">
        <v>-4454</v>
      </c>
      <c r="L69" s="24">
        <v>-4704</v>
      </c>
    </row>
    <row r="70" spans="2:17" x14ac:dyDescent="0.45">
      <c r="B70" s="34" t="s">
        <v>418</v>
      </c>
      <c r="C70" s="24">
        <v>-1210</v>
      </c>
      <c r="D70" s="24">
        <v>-2603</v>
      </c>
      <c r="E70" s="24">
        <v>-1843</v>
      </c>
      <c r="F70" s="24">
        <v>-924</v>
      </c>
      <c r="G70" s="24">
        <v>153</v>
      </c>
      <c r="H70" s="24">
        <v>-619</v>
      </c>
      <c r="I70" s="24">
        <v>-196</v>
      </c>
      <c r="J70" s="24">
        <v>-309</v>
      </c>
      <c r="K70" s="24">
        <v>-398</v>
      </c>
      <c r="L70" s="24">
        <v>-115</v>
      </c>
    </row>
    <row r="71" spans="2:17" x14ac:dyDescent="0.45">
      <c r="B71" s="31" t="s">
        <v>319</v>
      </c>
      <c r="C71" s="24">
        <v>-255</v>
      </c>
      <c r="D71" s="24">
        <v>-101</v>
      </c>
      <c r="E71" s="24">
        <v>-74</v>
      </c>
      <c r="F71" s="24">
        <v>1</v>
      </c>
      <c r="G71" s="24">
        <v>9</v>
      </c>
      <c r="H71" s="24">
        <v>-64</v>
      </c>
      <c r="I71" s="24">
        <v>15</v>
      </c>
      <c r="J71" s="24">
        <v>8</v>
      </c>
      <c r="K71" s="24">
        <v>-32</v>
      </c>
      <c r="L71" s="24">
        <v>-180</v>
      </c>
    </row>
    <row r="72" spans="2:17" x14ac:dyDescent="0.45">
      <c r="B72" s="39" t="s">
        <v>419</v>
      </c>
      <c r="C72" s="36">
        <v>1807</v>
      </c>
      <c r="D72" s="36">
        <v>1125</v>
      </c>
      <c r="E72" s="36">
        <v>42</v>
      </c>
      <c r="F72" s="36">
        <v>-3390</v>
      </c>
      <c r="G72" s="36">
        <v>2502</v>
      </c>
      <c r="H72" s="36">
        <v>4488</v>
      </c>
      <c r="I72" s="36">
        <v>-3817</v>
      </c>
      <c r="J72" s="36">
        <v>2638</v>
      </c>
      <c r="K72" s="36">
        <v>-4026</v>
      </c>
      <c r="L72" s="36">
        <v>-1269</v>
      </c>
    </row>
    <row r="73" spans="2:17" x14ac:dyDescent="0.45">
      <c r="M73" s="32"/>
      <c r="N73" s="32"/>
      <c r="O73" s="32"/>
      <c r="P73" s="32"/>
      <c r="Q73" s="32"/>
    </row>
    <row r="74" spans="2:17" x14ac:dyDescent="0.45">
      <c r="B74" s="38"/>
      <c r="C74" s="38"/>
      <c r="D74" s="38"/>
      <c r="E74" s="38"/>
      <c r="F74" s="38"/>
      <c r="G74" s="38"/>
      <c r="H74" s="38"/>
      <c r="I74" s="38"/>
      <c r="J74" s="38"/>
      <c r="K74" s="38"/>
    </row>
  </sheetData>
  <dataValidations count="5">
    <dataValidation type="list" allowBlank="1" showInputMessage="1" showErrorMessage="1" sqref="B48" xr:uid="{88A38E66-3F96-4EAB-8096-BCFF637F7107}">
      <formula1>$B$251:$B$274</formula1>
    </dataValidation>
    <dataValidation type="list" allowBlank="1" showInputMessage="1" showErrorMessage="1" sqref="D27:F27" xr:uid="{5518C5AB-7990-4955-9D0C-628C0AC16663}">
      <formula1>D$226:D$242</formula1>
    </dataValidation>
    <dataValidation type="list" allowBlank="1" showInputMessage="1" showErrorMessage="1" sqref="B5" xr:uid="{66151C4C-A624-47AF-A009-45929B8ABADD}">
      <formula1>B$249:B$266</formula1>
    </dataValidation>
    <dataValidation type="list" allowBlank="1" showInputMessage="1" showErrorMessage="1" sqref="B10" xr:uid="{1E9FA1AA-DBB6-4BCA-893C-F263FCCFE05A}">
      <formula1>B$246:B$263</formula1>
    </dataValidation>
    <dataValidation type="list" allowBlank="1" showInputMessage="1" showErrorMessage="1" sqref="B13" xr:uid="{29CA06A4-B2F6-45DC-A63A-E32532BFED1D}">
      <formula1>B$243:B$260</formula1>
    </dataValidation>
  </dataValidations>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D9932-822A-E64D-9E60-6401694B6EA7}">
  <dimension ref="A2:S74"/>
  <sheetViews>
    <sheetView showGridLines="0" topLeftCell="A54" workbookViewId="0"/>
  </sheetViews>
  <sheetFormatPr defaultColWidth="9.1328125" defaultRowHeight="14.25" x14ac:dyDescent="0.45"/>
  <cols>
    <col min="1" max="1" width="3.33203125" style="24" customWidth="1"/>
    <col min="2" max="2" width="36.33203125" style="24" customWidth="1"/>
    <col min="3" max="17" width="13.1328125" style="24" customWidth="1"/>
    <col min="18" max="16384" width="9.1328125" style="24"/>
  </cols>
  <sheetData>
    <row r="2" spans="1:19" x14ac:dyDescent="0.45">
      <c r="C2" s="21">
        <v>2015</v>
      </c>
      <c r="D2" s="21">
        <v>2016</v>
      </c>
      <c r="E2" s="21">
        <v>2017</v>
      </c>
      <c r="F2" s="21">
        <v>2018</v>
      </c>
      <c r="G2" s="21">
        <v>2019</v>
      </c>
      <c r="H2" s="21">
        <v>2020</v>
      </c>
      <c r="I2" s="21">
        <v>2021</v>
      </c>
      <c r="J2" s="21">
        <v>2022</v>
      </c>
      <c r="K2" s="21">
        <v>2023</v>
      </c>
      <c r="L2" s="21">
        <v>2024</v>
      </c>
      <c r="M2" s="37">
        <v>2025</v>
      </c>
      <c r="N2" s="37">
        <v>2026</v>
      </c>
      <c r="O2" s="37">
        <v>2027</v>
      </c>
      <c r="P2" s="37">
        <v>2028</v>
      </c>
      <c r="Q2" s="37">
        <v>2029</v>
      </c>
    </row>
    <row r="3" spans="1:19" x14ac:dyDescent="0.45">
      <c r="A3" s="24" t="s">
        <v>14</v>
      </c>
      <c r="B3" s="32" t="s">
        <v>252</v>
      </c>
      <c r="C3" s="33"/>
      <c r="D3" s="33"/>
      <c r="E3" s="33"/>
      <c r="F3" s="33"/>
      <c r="G3" s="33"/>
      <c r="H3" s="33"/>
      <c r="I3" s="33"/>
      <c r="J3" s="33"/>
      <c r="K3" s="33"/>
      <c r="L3" s="33"/>
      <c r="M3" s="33"/>
      <c r="N3" s="33"/>
      <c r="O3" s="33"/>
      <c r="P3" s="33"/>
      <c r="Q3" s="33"/>
    </row>
    <row r="4" spans="1:19" x14ac:dyDescent="0.45">
      <c r="C4" s="25"/>
      <c r="D4" s="25"/>
      <c r="E4" s="25"/>
      <c r="F4" s="25"/>
      <c r="G4" s="25"/>
      <c r="H4" s="25"/>
      <c r="I4" s="25"/>
      <c r="J4" s="25"/>
      <c r="K4" s="25"/>
      <c r="L4" s="25"/>
      <c r="M4" s="25"/>
      <c r="N4" s="25"/>
      <c r="O4" s="25"/>
      <c r="P4" s="25"/>
      <c r="Q4" s="25"/>
      <c r="S4" s="24" t="s">
        <v>405</v>
      </c>
    </row>
    <row r="5" spans="1:19" x14ac:dyDescent="0.45">
      <c r="B5" s="34" t="s">
        <v>406</v>
      </c>
      <c r="C5" s="24">
        <v>32954.658000000003</v>
      </c>
      <c r="D5" s="24">
        <v>34142.589999999997</v>
      </c>
      <c r="E5" s="24">
        <v>34457.760999999999</v>
      </c>
      <c r="F5" s="24">
        <v>34841.553</v>
      </c>
      <c r="G5" s="24">
        <v>38488.834000000003</v>
      </c>
      <c r="H5" s="24">
        <v>27403.152999999998</v>
      </c>
      <c r="I5" s="24">
        <v>28731.919999999998</v>
      </c>
      <c r="J5" s="24">
        <v>34399.976999999999</v>
      </c>
      <c r="K5" s="24">
        <v>34874.021000000001</v>
      </c>
      <c r="L5" s="24">
        <v>37066.156000000003</v>
      </c>
    </row>
    <row r="6" spans="1:19" x14ac:dyDescent="0.45">
      <c r="B6" s="34" t="s">
        <v>267</v>
      </c>
      <c r="C6" s="24">
        <v>-12195.276</v>
      </c>
      <c r="D6" s="24">
        <v>-10904.228999999999</v>
      </c>
      <c r="E6" s="24">
        <v>-10635.492</v>
      </c>
      <c r="F6" s="24">
        <v>-10981.177</v>
      </c>
      <c r="G6" s="24">
        <v>-12305.844999999999</v>
      </c>
      <c r="H6" s="24">
        <v>-8237.5990000000002</v>
      </c>
      <c r="I6" s="24">
        <v>-9345.7849999999999</v>
      </c>
      <c r="J6" s="24">
        <v>-11035.349</v>
      </c>
      <c r="K6" s="24">
        <v>-9645.3209999999999</v>
      </c>
      <c r="L6" s="24">
        <v>-10449.074000000001</v>
      </c>
    </row>
    <row r="7" spans="1:19" x14ac:dyDescent="0.45">
      <c r="B7" s="34" t="s">
        <v>274</v>
      </c>
      <c r="C7" s="24">
        <v>0</v>
      </c>
      <c r="D7" s="24">
        <v>0</v>
      </c>
      <c r="E7" s="24">
        <v>0</v>
      </c>
      <c r="F7" s="24">
        <v>0</v>
      </c>
      <c r="G7" s="24">
        <v>0</v>
      </c>
      <c r="H7" s="24">
        <v>0</v>
      </c>
      <c r="I7" s="24">
        <v>0</v>
      </c>
      <c r="J7" s="24">
        <v>0</v>
      </c>
      <c r="K7" s="24">
        <v>0</v>
      </c>
      <c r="L7" s="24">
        <v>0</v>
      </c>
    </row>
    <row r="8" spans="1:19" x14ac:dyDescent="0.45">
      <c r="B8" s="34" t="s">
        <v>268</v>
      </c>
      <c r="C8" s="24">
        <v>-12717.36</v>
      </c>
      <c r="D8" s="24">
        <v>-10836.897000000001</v>
      </c>
      <c r="E8" s="24">
        <v>-10757.634</v>
      </c>
      <c r="F8" s="24">
        <v>-10739.261</v>
      </c>
      <c r="G8" s="24">
        <v>-12499.691999999999</v>
      </c>
      <c r="H8" s="24">
        <v>-7922.5429999999997</v>
      </c>
      <c r="I8" s="24">
        <v>-7892.6689999999999</v>
      </c>
      <c r="J8" s="24">
        <v>-9594.7829999999994</v>
      </c>
      <c r="K8" s="24">
        <v>-10528.44</v>
      </c>
      <c r="L8" s="24">
        <v>-12821.233</v>
      </c>
    </row>
    <row r="9" spans="1:19" x14ac:dyDescent="0.45">
      <c r="B9" s="34" t="s">
        <v>269</v>
      </c>
      <c r="C9" s="24">
        <v>-4904.0079999999998</v>
      </c>
      <c r="D9" s="24">
        <v>-4346.0219999999999</v>
      </c>
      <c r="E9" s="24">
        <v>-4480.4449999999997</v>
      </c>
      <c r="F9" s="24">
        <v>-4294.5739999999996</v>
      </c>
      <c r="G9" s="24">
        <v>-5022.91</v>
      </c>
      <c r="H9" s="24">
        <v>-4947.51</v>
      </c>
      <c r="I9" s="24">
        <v>-5383.1629999999996</v>
      </c>
      <c r="J9" s="24">
        <v>-6044.9830000000002</v>
      </c>
      <c r="K9" s="24">
        <v>-6695.84</v>
      </c>
      <c r="L9" s="24">
        <v>-7180.268</v>
      </c>
    </row>
    <row r="10" spans="1:19" ht="28.5" x14ac:dyDescent="0.45">
      <c r="B10" s="2" t="s">
        <v>270</v>
      </c>
      <c r="C10" s="24">
        <v>370.55599999999998</v>
      </c>
      <c r="D10" s="24">
        <v>-1581.7070000000001</v>
      </c>
      <c r="E10" s="24">
        <v>-912.07</v>
      </c>
      <c r="F10" s="24">
        <v>-353.83</v>
      </c>
      <c r="G10" s="24">
        <v>691.00599999999997</v>
      </c>
      <c r="H10" s="24">
        <v>511.96699999999998</v>
      </c>
      <c r="I10" s="24">
        <v>444.428</v>
      </c>
      <c r="J10" s="24">
        <v>864.57500000000005</v>
      </c>
      <c r="K10" s="24">
        <v>1658.1489999999999</v>
      </c>
      <c r="L10" s="24">
        <v>1144.732</v>
      </c>
    </row>
    <row r="11" spans="1:19" x14ac:dyDescent="0.45">
      <c r="B11" s="34" t="s">
        <v>407</v>
      </c>
      <c r="C11" s="24">
        <v>136.376</v>
      </c>
      <c r="D11" s="24">
        <v>85.695999999999998</v>
      </c>
      <c r="E11" s="24">
        <v>71.915000000000006</v>
      </c>
      <c r="F11" s="24">
        <v>83.653000000000006</v>
      </c>
      <c r="G11" s="24">
        <v>90.081999999999994</v>
      </c>
      <c r="H11" s="24">
        <v>29.254999999999999</v>
      </c>
      <c r="I11" s="24">
        <v>15.125</v>
      </c>
      <c r="J11" s="24">
        <v>72.731999999999999</v>
      </c>
      <c r="K11" s="24">
        <v>124.18899999999999</v>
      </c>
      <c r="L11" s="24">
        <v>144.125</v>
      </c>
    </row>
    <row r="12" spans="1:19" x14ac:dyDescent="0.45">
      <c r="B12" s="34" t="s">
        <v>408</v>
      </c>
      <c r="C12" s="24">
        <v>-990.44399999999996</v>
      </c>
      <c r="D12" s="24">
        <v>-858.18600000000004</v>
      </c>
      <c r="E12" s="24">
        <v>-823.03200000000004</v>
      </c>
      <c r="F12" s="24">
        <v>-854.61900000000003</v>
      </c>
      <c r="G12" s="24">
        <v>-1000.021</v>
      </c>
      <c r="H12" s="24">
        <v>-949.67</v>
      </c>
      <c r="I12" s="24">
        <v>-886.529</v>
      </c>
      <c r="J12" s="24">
        <v>-960.76900000000001</v>
      </c>
      <c r="K12" s="24">
        <v>-816.42600000000004</v>
      </c>
      <c r="L12" s="24">
        <v>-790.32600000000002</v>
      </c>
    </row>
    <row r="13" spans="1:19" x14ac:dyDescent="0.45">
      <c r="B13" s="2" t="s">
        <v>255</v>
      </c>
      <c r="C13" s="24">
        <v>1289.3680000000002</v>
      </c>
      <c r="D13" s="24">
        <v>259.53699999999998</v>
      </c>
      <c r="E13" s="24">
        <v>-655.22899999999993</v>
      </c>
      <c r="F13" s="24">
        <v>-70.088000000000008</v>
      </c>
      <c r="G13" s="24">
        <v>-26.227000000000004</v>
      </c>
      <c r="H13" s="24">
        <v>-460.20699999999999</v>
      </c>
      <c r="I13" s="24">
        <v>-364.15200000000004</v>
      </c>
      <c r="J13" s="24">
        <v>-49.269999999999982</v>
      </c>
      <c r="K13" s="24">
        <v>-602.54399999999998</v>
      </c>
      <c r="L13" s="24">
        <v>-367.40100000000001</v>
      </c>
    </row>
    <row r="14" spans="1:19" x14ac:dyDescent="0.45">
      <c r="B14" s="34" t="s">
        <v>409</v>
      </c>
      <c r="C14" s="24">
        <v>10556.013999999999</v>
      </c>
      <c r="D14" s="24">
        <v>-3586.9970000000003</v>
      </c>
      <c r="E14" s="24">
        <v>-2241.9350000000004</v>
      </c>
      <c r="F14" s="24">
        <v>-2205.5050000000001</v>
      </c>
      <c r="G14" s="24">
        <v>-1321.578</v>
      </c>
      <c r="H14" s="24">
        <v>390.44499999999971</v>
      </c>
      <c r="I14" s="24">
        <v>-1132.0119999999999</v>
      </c>
      <c r="J14" s="24">
        <v>-1049.9250000000002</v>
      </c>
      <c r="K14" s="24">
        <v>-1394.8220000000001</v>
      </c>
      <c r="L14" s="24">
        <v>-2639.1440000000002</v>
      </c>
    </row>
    <row r="15" spans="1:19" x14ac:dyDescent="0.45">
      <c r="B15" s="34" t="s">
        <v>410</v>
      </c>
      <c r="C15" s="24">
        <v>-2967.2</v>
      </c>
      <c r="D15" s="24">
        <v>-1073.6510000000001</v>
      </c>
      <c r="E15" s="24">
        <v>-1547.894</v>
      </c>
      <c r="F15" s="24">
        <v>-852.35799999999995</v>
      </c>
      <c r="G15" s="24">
        <v>-1086.682</v>
      </c>
      <c r="H15" s="24">
        <v>-75.388000000000005</v>
      </c>
      <c r="I15" s="24">
        <v>-96.563999999999993</v>
      </c>
      <c r="J15" s="24">
        <v>-829.38199999999995</v>
      </c>
      <c r="K15" s="24">
        <v>-869.32100000000003</v>
      </c>
      <c r="L15" s="24">
        <v>-621.39200000000005</v>
      </c>
    </row>
    <row r="16" spans="1:19" x14ac:dyDescent="0.45">
      <c r="B16" s="34" t="s">
        <v>411</v>
      </c>
      <c r="C16" s="24">
        <v>68.876999999999995</v>
      </c>
      <c r="D16" s="24">
        <v>-183.63499999999999</v>
      </c>
      <c r="E16" s="24">
        <v>-727.14499999999998</v>
      </c>
      <c r="F16" s="24">
        <v>-478.18</v>
      </c>
      <c r="G16" s="24">
        <v>-710.39099999999996</v>
      </c>
      <c r="H16" s="24">
        <v>-258.79599999999999</v>
      </c>
      <c r="I16" s="24">
        <v>-232.685</v>
      </c>
      <c r="J16" s="24">
        <v>-539.62599999999998</v>
      </c>
      <c r="K16" s="24">
        <v>-436.96</v>
      </c>
      <c r="L16" s="24">
        <v>-444.18900000000002</v>
      </c>
    </row>
    <row r="17" spans="1:17" x14ac:dyDescent="0.45">
      <c r="B17" s="34" t="s">
        <v>263</v>
      </c>
      <c r="C17" s="24">
        <v>0</v>
      </c>
      <c r="D17" s="24">
        <v>0</v>
      </c>
      <c r="E17" s="24">
        <v>0</v>
      </c>
      <c r="F17" s="24">
        <v>0</v>
      </c>
      <c r="G17" s="24">
        <v>0</v>
      </c>
      <c r="H17" s="24">
        <v>985.67600000000004</v>
      </c>
      <c r="I17" s="24">
        <v>1243.7</v>
      </c>
      <c r="J17" s="24">
        <v>12311.682000000001</v>
      </c>
      <c r="K17" s="24">
        <v>0</v>
      </c>
      <c r="L17" s="24">
        <v>0</v>
      </c>
    </row>
    <row r="18" spans="1:17" s="26" customFormat="1" x14ac:dyDescent="0.45">
      <c r="B18" s="35" t="s">
        <v>412</v>
      </c>
      <c r="C18" s="36">
        <v>11601.561000000005</v>
      </c>
      <c r="D18" s="36">
        <v>1116.4989999999962</v>
      </c>
      <c r="E18" s="36">
        <v>1748.7999999999997</v>
      </c>
      <c r="F18" s="36">
        <v>4095.6140000000019</v>
      </c>
      <c r="G18" s="36">
        <v>5296.5760000000018</v>
      </c>
      <c r="H18" s="36">
        <v>6468.7829999999958</v>
      </c>
      <c r="I18" s="36">
        <v>5101.6139999999996</v>
      </c>
      <c r="J18" s="36">
        <v>17544.878999999997</v>
      </c>
      <c r="K18" s="36">
        <v>5666.6850000000004</v>
      </c>
      <c r="L18" s="36">
        <v>3041.9860000000022</v>
      </c>
      <c r="M18" s="32"/>
      <c r="N18" s="32"/>
      <c r="O18" s="32"/>
      <c r="P18" s="32"/>
      <c r="Q18" s="32"/>
    </row>
    <row r="20" spans="1:17" x14ac:dyDescent="0.45">
      <c r="A20" s="24" t="s">
        <v>14</v>
      </c>
      <c r="B20" s="32" t="s">
        <v>413</v>
      </c>
    </row>
    <row r="21" spans="1:17" x14ac:dyDescent="0.45">
      <c r="B21" s="32"/>
      <c r="C21" s="25"/>
      <c r="D21" s="25"/>
      <c r="E21" s="25"/>
      <c r="F21" s="25"/>
      <c r="G21" s="25"/>
      <c r="H21" s="25"/>
      <c r="I21" s="25"/>
      <c r="J21" s="25"/>
      <c r="K21" s="25"/>
      <c r="L21" s="25"/>
      <c r="M21" s="25"/>
      <c r="N21" s="25"/>
      <c r="O21" s="25"/>
      <c r="P21" s="25"/>
      <c r="Q21" s="25"/>
    </row>
    <row r="22" spans="1:17" x14ac:dyDescent="0.45">
      <c r="B22" s="34" t="s">
        <v>263</v>
      </c>
    </row>
    <row r="23" spans="1:17" x14ac:dyDescent="0.45">
      <c r="B23" s="34" t="s">
        <v>272</v>
      </c>
    </row>
    <row r="24" spans="1:17" x14ac:dyDescent="0.45">
      <c r="B24" s="34" t="s">
        <v>273</v>
      </c>
    </row>
    <row r="25" spans="1:17" x14ac:dyDescent="0.45">
      <c r="B25" s="34" t="s">
        <v>274</v>
      </c>
    </row>
    <row r="26" spans="1:17" ht="42.75" x14ac:dyDescent="0.45">
      <c r="B26" s="34" t="s">
        <v>414</v>
      </c>
      <c r="C26" s="24">
        <v>2245.3739999999998</v>
      </c>
      <c r="D26" s="24">
        <v>2171.7869999999998</v>
      </c>
      <c r="E26" s="24">
        <v>2193.991</v>
      </c>
      <c r="F26" s="24">
        <v>2098.1120000000001</v>
      </c>
      <c r="G26" s="24">
        <v>2661.4009999999998</v>
      </c>
      <c r="H26" s="24">
        <v>2306.663</v>
      </c>
      <c r="I26" s="24">
        <v>2468.7860000000001</v>
      </c>
      <c r="J26" s="24">
        <v>2279.3330000000001</v>
      </c>
      <c r="K26" s="24">
        <v>2404.431</v>
      </c>
      <c r="L26" s="24">
        <v>3155.3960000000002</v>
      </c>
    </row>
    <row r="27" spans="1:17" ht="28.5" x14ac:dyDescent="0.45">
      <c r="B27" s="34" t="s">
        <v>275</v>
      </c>
    </row>
    <row r="28" spans="1:17" x14ac:dyDescent="0.45">
      <c r="B28" s="34"/>
    </row>
    <row r="29" spans="1:17" x14ac:dyDescent="0.45">
      <c r="A29" s="24" t="s">
        <v>14</v>
      </c>
      <c r="B29" s="32" t="s">
        <v>415</v>
      </c>
    </row>
    <row r="30" spans="1:17" x14ac:dyDescent="0.45">
      <c r="C30" s="25"/>
      <c r="D30" s="25"/>
      <c r="E30" s="25"/>
      <c r="F30" s="25"/>
      <c r="G30" s="25"/>
      <c r="H30" s="25"/>
      <c r="I30" s="25"/>
      <c r="J30" s="25"/>
      <c r="K30" s="25"/>
      <c r="L30" s="25"/>
      <c r="M30" s="25"/>
      <c r="N30" s="25"/>
      <c r="O30" s="25"/>
      <c r="P30" s="25"/>
      <c r="Q30" s="25"/>
    </row>
    <row r="31" spans="1:17" x14ac:dyDescent="0.45">
      <c r="B31" s="34" t="s">
        <v>285</v>
      </c>
      <c r="C31" s="24">
        <v>8012.8710000000001</v>
      </c>
      <c r="D31" s="24">
        <v>5839.5810000000001</v>
      </c>
      <c r="E31" s="24">
        <v>4402.3519999999999</v>
      </c>
      <c r="F31" s="24">
        <v>4778.8150000000005</v>
      </c>
      <c r="G31" s="24">
        <v>6482.7659999999996</v>
      </c>
      <c r="H31" s="24">
        <v>7558.4489999999996</v>
      </c>
      <c r="I31" s="24">
        <v>5819.7719999999999</v>
      </c>
      <c r="J31" s="24">
        <v>5042.9380000000001</v>
      </c>
      <c r="K31" s="24">
        <v>3901.913</v>
      </c>
      <c r="L31" s="24">
        <v>4705.13</v>
      </c>
    </row>
    <row r="32" spans="1:17" x14ac:dyDescent="0.45">
      <c r="B32" s="34" t="s">
        <v>283</v>
      </c>
      <c r="C32" s="24">
        <v>5237.8809999999994</v>
      </c>
      <c r="D32" s="24">
        <v>5424.9780000000001</v>
      </c>
      <c r="E32" s="24">
        <v>5280.3469999999998</v>
      </c>
      <c r="F32" s="24">
        <v>5777.3229999999994</v>
      </c>
      <c r="G32" s="24">
        <v>6491.027</v>
      </c>
      <c r="H32" s="24">
        <v>6205.6959999999999</v>
      </c>
      <c r="I32" s="24">
        <v>7458.0719999999992</v>
      </c>
      <c r="J32" s="24">
        <v>6159.0810000000001</v>
      </c>
      <c r="K32" s="24">
        <v>6815.0960000000005</v>
      </c>
      <c r="L32" s="24">
        <v>8266.3250000000007</v>
      </c>
    </row>
    <row r="33" spans="1:17" x14ac:dyDescent="0.45">
      <c r="B33" s="34" t="s">
        <v>136</v>
      </c>
      <c r="C33" s="24">
        <v>6399.442</v>
      </c>
      <c r="D33" s="24">
        <v>5975.44</v>
      </c>
      <c r="E33" s="24">
        <v>6255.1459999999997</v>
      </c>
      <c r="F33" s="24">
        <v>6095.6890000000003</v>
      </c>
      <c r="G33" s="24">
        <v>7018.5709999999999</v>
      </c>
      <c r="H33" s="24">
        <v>6692.33</v>
      </c>
      <c r="I33" s="24">
        <v>6885.3810000000003</v>
      </c>
      <c r="J33" s="24">
        <v>5801.6890000000003</v>
      </c>
      <c r="K33" s="24">
        <v>6335.7120000000004</v>
      </c>
      <c r="L33" s="24">
        <v>6855.1490000000003</v>
      </c>
    </row>
    <row r="34" spans="1:17" x14ac:dyDescent="0.45">
      <c r="B34" s="34" t="s">
        <v>284</v>
      </c>
      <c r="C34" s="24">
        <v>2857.7660000000001</v>
      </c>
      <c r="D34" s="24">
        <v>2331.8510000000001</v>
      </c>
      <c r="E34" s="24">
        <v>1967.6079999999999</v>
      </c>
      <c r="F34" s="24">
        <v>2190.7070000000003</v>
      </c>
      <c r="G34" s="24">
        <v>3010.6570000000002</v>
      </c>
      <c r="H34" s="24">
        <v>2141.8580000000002</v>
      </c>
      <c r="I34" s="24">
        <v>2070.4960000000001</v>
      </c>
      <c r="J34" s="24">
        <v>6411.6210000000001</v>
      </c>
      <c r="K34" s="24">
        <v>4432.0020000000004</v>
      </c>
      <c r="L34" s="24">
        <v>726.75</v>
      </c>
    </row>
    <row r="35" spans="1:17" x14ac:dyDescent="0.45">
      <c r="B35" s="34" t="s">
        <v>278</v>
      </c>
      <c r="C35" s="24">
        <v>14462.521000000001</v>
      </c>
      <c r="D35" s="24">
        <v>14062.546999999999</v>
      </c>
      <c r="E35" s="24">
        <v>13814.901</v>
      </c>
      <c r="F35" s="24">
        <v>14134.963</v>
      </c>
      <c r="G35" s="24">
        <v>14530.458999999999</v>
      </c>
      <c r="H35" s="24">
        <v>13371.266</v>
      </c>
      <c r="I35" s="24">
        <v>14649.444</v>
      </c>
      <c r="J35" s="24">
        <v>12153.558999999999</v>
      </c>
      <c r="K35" s="24">
        <v>13268.35</v>
      </c>
      <c r="L35" s="24">
        <v>14530.157999999999</v>
      </c>
    </row>
    <row r="36" spans="1:17" x14ac:dyDescent="0.45">
      <c r="B36" s="34" t="s">
        <v>279</v>
      </c>
      <c r="C36" s="24">
        <v>29627.95</v>
      </c>
      <c r="D36" s="24">
        <v>28976.552</v>
      </c>
      <c r="E36" s="24">
        <v>26222.760000000002</v>
      </c>
      <c r="F36" s="24">
        <v>25592.764999999999</v>
      </c>
      <c r="G36" s="24">
        <v>48997.812999999995</v>
      </c>
      <c r="H36" s="24">
        <v>45115.186999999998</v>
      </c>
      <c r="I36" s="24">
        <v>48376.264000000003</v>
      </c>
      <c r="J36" s="24">
        <v>24086.143</v>
      </c>
      <c r="K36" s="24">
        <v>24866.920000000002</v>
      </c>
      <c r="L36" s="24">
        <v>27204.142</v>
      </c>
    </row>
    <row r="37" spans="1:17" x14ac:dyDescent="0.45">
      <c r="B37" s="34" t="s">
        <v>280</v>
      </c>
      <c r="C37" s="24">
        <v>1983.8810000000001</v>
      </c>
      <c r="D37" s="24">
        <v>1461.652</v>
      </c>
      <c r="E37" s="24">
        <v>1248.328</v>
      </c>
      <c r="F37" s="24">
        <v>1739.876</v>
      </c>
      <c r="G37" s="24">
        <v>2686.105</v>
      </c>
      <c r="H37" s="24">
        <v>3901.9989999999998</v>
      </c>
      <c r="I37" s="24">
        <v>2709.8609999999999</v>
      </c>
      <c r="J37" s="24">
        <v>1775.682</v>
      </c>
      <c r="K37" s="24">
        <v>1404.7349999999999</v>
      </c>
      <c r="L37" s="24">
        <v>1446.2439999999999</v>
      </c>
    </row>
    <row r="38" spans="1:17" x14ac:dyDescent="0.45">
      <c r="B38" s="34" t="s">
        <v>281</v>
      </c>
      <c r="C38" s="24">
        <v>3941.98</v>
      </c>
      <c r="D38" s="24">
        <v>5122.8100000000004</v>
      </c>
      <c r="E38" s="24">
        <v>4272.9049999999997</v>
      </c>
      <c r="F38" s="24">
        <v>4326.87</v>
      </c>
      <c r="G38" s="24">
        <v>4834.0450000000001</v>
      </c>
      <c r="H38" s="24">
        <v>4784.8599999999997</v>
      </c>
      <c r="I38" s="24">
        <v>6212.6790000000001</v>
      </c>
      <c r="J38" s="24">
        <v>6378.9269999999997</v>
      </c>
      <c r="K38" s="24">
        <v>6970.6660000000002</v>
      </c>
      <c r="L38" s="24">
        <v>8170.7950000000001</v>
      </c>
    </row>
    <row r="39" spans="1:17" s="29" customFormat="1" x14ac:dyDescent="0.45">
      <c r="A39" s="24"/>
      <c r="B39" s="39" t="s">
        <v>287</v>
      </c>
      <c r="C39" s="36">
        <v>72524.291999999987</v>
      </c>
      <c r="D39" s="36">
        <v>69195.410999999993</v>
      </c>
      <c r="E39" s="36">
        <v>63464.347000000002</v>
      </c>
      <c r="F39" s="36">
        <v>64637.008000000002</v>
      </c>
      <c r="G39" s="36">
        <v>94051.442999999985</v>
      </c>
      <c r="H39" s="36">
        <v>89771.64499999999</v>
      </c>
      <c r="I39" s="36">
        <v>94181.969000000012</v>
      </c>
      <c r="J39" s="36">
        <v>67809.64</v>
      </c>
      <c r="K39" s="36">
        <v>67995.394</v>
      </c>
      <c r="L39" s="36">
        <v>71904.692999999999</v>
      </c>
      <c r="M39" s="36"/>
      <c r="N39" s="36"/>
      <c r="O39" s="36"/>
      <c r="P39" s="36"/>
      <c r="Q39" s="36"/>
    </row>
    <row r="41" spans="1:17" x14ac:dyDescent="0.45">
      <c r="A41" s="24" t="s">
        <v>14</v>
      </c>
      <c r="B41" s="32" t="s">
        <v>416</v>
      </c>
    </row>
    <row r="42" spans="1:17" x14ac:dyDescent="0.45">
      <c r="C42" s="25"/>
      <c r="D42" s="25"/>
      <c r="E42" s="25"/>
      <c r="F42" s="25"/>
      <c r="G42" s="25"/>
      <c r="H42" s="25"/>
      <c r="I42" s="25"/>
      <c r="J42" s="25"/>
      <c r="K42" s="25"/>
      <c r="L42" s="25"/>
      <c r="M42" s="25"/>
      <c r="N42" s="25"/>
      <c r="O42" s="25"/>
      <c r="P42" s="25"/>
      <c r="Q42" s="25"/>
    </row>
    <row r="43" spans="1:17" x14ac:dyDescent="0.45">
      <c r="B43" s="34" t="s">
        <v>298</v>
      </c>
      <c r="C43" s="24">
        <v>1774.9090000000001</v>
      </c>
      <c r="D43" s="24">
        <v>4835.8670000000002</v>
      </c>
      <c r="E43" s="24">
        <v>3179.9149999999995</v>
      </c>
      <c r="F43" s="24">
        <v>6448.5619999999999</v>
      </c>
      <c r="G43" s="24">
        <v>8165.7119999999995</v>
      </c>
      <c r="H43" s="24">
        <v>4158.7089999999998</v>
      </c>
      <c r="I43" s="24">
        <v>4287.4399999999996</v>
      </c>
      <c r="J43" s="24">
        <v>4455.5529999999999</v>
      </c>
      <c r="K43" s="24">
        <v>3241.607</v>
      </c>
      <c r="L43" s="24">
        <v>2840.491</v>
      </c>
    </row>
    <row r="44" spans="1:17" x14ac:dyDescent="0.45">
      <c r="B44" s="34" t="s">
        <v>296</v>
      </c>
      <c r="C44" s="24">
        <v>4233.7269999999999</v>
      </c>
      <c r="D44" s="24">
        <v>4211.62</v>
      </c>
      <c r="E44" s="24">
        <v>3971.2350000000001</v>
      </c>
      <c r="F44" s="24">
        <v>4057.4850000000001</v>
      </c>
      <c r="G44" s="24">
        <v>4890.6940000000004</v>
      </c>
      <c r="H44" s="24">
        <v>4862.9889999999996</v>
      </c>
      <c r="I44" s="24">
        <v>5399.482</v>
      </c>
      <c r="J44" s="24">
        <v>4358.5950000000003</v>
      </c>
      <c r="K44" s="24">
        <v>4283.3469999999998</v>
      </c>
      <c r="L44" s="24">
        <v>17437.156999999999</v>
      </c>
    </row>
    <row r="45" spans="1:17" x14ac:dyDescent="0.45">
      <c r="B45" s="34" t="s">
        <v>297</v>
      </c>
      <c r="C45" s="24">
        <v>5495.7039999999997</v>
      </c>
      <c r="D45" s="24">
        <v>6315.0869999999995</v>
      </c>
      <c r="E45" s="24">
        <v>15660.938999999998</v>
      </c>
      <c r="F45" s="24">
        <v>5817.3980000000001</v>
      </c>
      <c r="G45" s="24">
        <v>5646.0129999999999</v>
      </c>
      <c r="H45" s="24">
        <v>6028.2310000000007</v>
      </c>
      <c r="I45" s="24">
        <v>12703.963</v>
      </c>
      <c r="J45" s="24">
        <v>12437.668000000001</v>
      </c>
      <c r="K45" s="24">
        <v>12046.84</v>
      </c>
      <c r="L45" s="24">
        <v>5959.1059999999998</v>
      </c>
    </row>
    <row r="46" spans="1:17" x14ac:dyDescent="0.45">
      <c r="B46" s="34" t="s">
        <v>292</v>
      </c>
      <c r="C46" s="24">
        <v>25175.75</v>
      </c>
      <c r="D46" s="24">
        <v>21961.089</v>
      </c>
      <c r="E46" s="24">
        <v>20039.654000000002</v>
      </c>
      <c r="F46" s="24">
        <v>26043.595999999998</v>
      </c>
      <c r="G46" s="24">
        <v>31920.511999999999</v>
      </c>
      <c r="H46" s="24">
        <v>30219.284</v>
      </c>
      <c r="I46" s="24">
        <v>28201.132000000001</v>
      </c>
      <c r="J46" s="24">
        <v>22113.163</v>
      </c>
      <c r="K46" s="24">
        <v>20218.272000000001</v>
      </c>
      <c r="L46" s="24">
        <v>19953.574000000001</v>
      </c>
    </row>
    <row r="47" spans="1:17" x14ac:dyDescent="0.45">
      <c r="B47" s="34" t="s">
        <v>293</v>
      </c>
      <c r="C47" s="24">
        <v>2065.299</v>
      </c>
      <c r="D47" s="24">
        <v>2265.0920000000001</v>
      </c>
      <c r="E47" s="24">
        <v>1571.384</v>
      </c>
      <c r="F47" s="24">
        <v>1286.818</v>
      </c>
      <c r="G47" s="24">
        <v>4496.5110000000004</v>
      </c>
      <c r="H47" s="24">
        <v>4018.0770000000002</v>
      </c>
      <c r="I47" s="24">
        <v>4233.8609999999999</v>
      </c>
      <c r="J47" s="24">
        <v>325.82400000000001</v>
      </c>
      <c r="K47" s="24">
        <v>358.38600000000002</v>
      </c>
      <c r="L47" s="24">
        <v>461.92700000000002</v>
      </c>
    </row>
    <row r="48" spans="1:17" ht="28.5" x14ac:dyDescent="0.45">
      <c r="B48" s="2" t="s">
        <v>294</v>
      </c>
      <c r="C48" s="24">
        <v>21731.777000000002</v>
      </c>
      <c r="D48" s="24">
        <v>23794.010999999999</v>
      </c>
      <c r="E48" s="24">
        <v>15113.882000000001</v>
      </c>
      <c r="F48" s="24">
        <v>16895.610999999997</v>
      </c>
      <c r="G48" s="24">
        <v>17267.311999999998</v>
      </c>
      <c r="H48" s="24">
        <v>17259.870999999999</v>
      </c>
      <c r="I48" s="24">
        <v>13945.785</v>
      </c>
      <c r="J48" s="24">
        <v>12736.433999999999</v>
      </c>
      <c r="K48" s="24">
        <v>13102.407999999999</v>
      </c>
      <c r="L48" s="24">
        <v>9428.3989999999994</v>
      </c>
    </row>
    <row r="49" spans="1:17" x14ac:dyDescent="0.45">
      <c r="B49" s="34" t="s">
        <v>289</v>
      </c>
      <c r="C49" s="24">
        <v>6939.514000000001</v>
      </c>
      <c r="D49" s="24">
        <v>1316.4240000000004</v>
      </c>
      <c r="E49" s="24">
        <v>-76.541999999999916</v>
      </c>
      <c r="F49" s="24">
        <v>4208.875</v>
      </c>
      <c r="G49" s="24">
        <v>13460.03</v>
      </c>
      <c r="H49" s="24">
        <v>16281.023000000001</v>
      </c>
      <c r="I49" s="24">
        <v>17924.851000000002</v>
      </c>
      <c r="J49" s="24">
        <v>11948.368999999999</v>
      </c>
      <c r="K49" s="24">
        <v>15380.637000000001</v>
      </c>
      <c r="L49" s="24">
        <v>16531.440999999999</v>
      </c>
    </row>
    <row r="50" spans="1:17" x14ac:dyDescent="0.45">
      <c r="B50" s="34" t="s">
        <v>291</v>
      </c>
      <c r="C50" s="24">
        <v>5107.6120000000001</v>
      </c>
      <c r="D50" s="24">
        <v>4496.22</v>
      </c>
      <c r="E50" s="24">
        <v>4003.8789999999999</v>
      </c>
      <c r="F50" s="24">
        <v>-121.33499999999999</v>
      </c>
      <c r="G50" s="24">
        <v>8204.6579999999994</v>
      </c>
      <c r="H50" s="24">
        <v>6943.46</v>
      </c>
      <c r="I50" s="24">
        <v>7485.4560000000001</v>
      </c>
      <c r="J50" s="24">
        <v>-565.96299999999997</v>
      </c>
      <c r="K50" s="24">
        <v>-636.10599999999999</v>
      </c>
      <c r="L50" s="24">
        <v>-707.40200000000004</v>
      </c>
    </row>
    <row r="51" spans="1:17" x14ac:dyDescent="0.45">
      <c r="B51" s="34" t="s">
        <v>290</v>
      </c>
      <c r="C51" s="67">
        <v>0</v>
      </c>
      <c r="D51" s="67">
        <v>0</v>
      </c>
      <c r="E51" s="67">
        <v>0</v>
      </c>
      <c r="F51" s="67">
        <v>0</v>
      </c>
      <c r="G51" s="67">
        <v>0</v>
      </c>
      <c r="H51" s="67">
        <v>0</v>
      </c>
      <c r="I51" s="67">
        <v>0</v>
      </c>
      <c r="J51" s="67">
        <v>0</v>
      </c>
      <c r="K51" s="67">
        <v>0</v>
      </c>
      <c r="L51" s="67">
        <v>0</v>
      </c>
    </row>
    <row r="52" spans="1:17" s="29" customFormat="1" x14ac:dyDescent="0.45">
      <c r="A52" s="24"/>
      <c r="B52" s="39" t="s">
        <v>300</v>
      </c>
      <c r="C52" s="36">
        <v>72524.291999999987</v>
      </c>
      <c r="D52" s="36">
        <v>69195.409999999989</v>
      </c>
      <c r="E52" s="36">
        <v>63464.346000000005</v>
      </c>
      <c r="F52" s="36">
        <v>64637.009999999995</v>
      </c>
      <c r="G52" s="36">
        <v>94051.441999999981</v>
      </c>
      <c r="H52" s="36">
        <v>89771.644</v>
      </c>
      <c r="I52" s="36">
        <v>94181.97</v>
      </c>
      <c r="J52" s="36">
        <v>67809.642999999996</v>
      </c>
      <c r="K52" s="36">
        <v>67995.391000000003</v>
      </c>
      <c r="L52" s="36">
        <v>71904.692999999999</v>
      </c>
      <c r="M52" s="36"/>
      <c r="N52" s="36"/>
      <c r="O52" s="36"/>
      <c r="P52" s="36"/>
      <c r="Q52" s="36"/>
    </row>
    <row r="54" spans="1:17" x14ac:dyDescent="0.45">
      <c r="A54" s="24" t="s">
        <v>14</v>
      </c>
      <c r="B54" s="32" t="s">
        <v>302</v>
      </c>
    </row>
    <row r="55" spans="1:17" x14ac:dyDescent="0.45">
      <c r="C55" s="25"/>
      <c r="D55" s="25"/>
      <c r="E55" s="25"/>
      <c r="F55" s="25"/>
      <c r="G55" s="25"/>
      <c r="H55" s="25"/>
      <c r="I55" s="25"/>
      <c r="J55" s="25"/>
      <c r="K55" s="25"/>
      <c r="L55" s="25"/>
      <c r="M55" s="25"/>
      <c r="N55" s="25"/>
      <c r="O55" s="25"/>
      <c r="P55" s="25"/>
      <c r="Q55" s="25"/>
    </row>
    <row r="56" spans="1:17" x14ac:dyDescent="0.45">
      <c r="B56" s="34" t="s">
        <v>303</v>
      </c>
      <c r="C56" s="67">
        <v>15422.827999999998</v>
      </c>
      <c r="D56" s="67">
        <v>2962.6400000000003</v>
      </c>
      <c r="E56" s="67">
        <v>4047.8109999999997</v>
      </c>
      <c r="F56" s="67">
        <v>5718.9389999999994</v>
      </c>
      <c r="G56" s="67">
        <v>7293.1969999999992</v>
      </c>
      <c r="H56" s="67">
        <v>7464.585</v>
      </c>
      <c r="I56" s="67">
        <v>6069.5820000000003</v>
      </c>
      <c r="J56" s="67">
        <v>19262.299000000003</v>
      </c>
      <c r="K56" s="67">
        <v>7228.2420000000002</v>
      </c>
      <c r="L56" s="67">
        <v>4309.5789999999997</v>
      </c>
    </row>
    <row r="57" spans="1:17" ht="42.75" x14ac:dyDescent="0.45">
      <c r="B57" s="34" t="s">
        <v>417</v>
      </c>
      <c r="C57" s="67">
        <v>0</v>
      </c>
      <c r="D57" s="67">
        <v>0</v>
      </c>
      <c r="E57" s="67">
        <v>0</v>
      </c>
      <c r="F57" s="67">
        <v>0</v>
      </c>
      <c r="G57" s="67">
        <v>0</v>
      </c>
      <c r="H57" s="67">
        <v>0</v>
      </c>
      <c r="I57" s="67">
        <v>0</v>
      </c>
      <c r="J57" s="67">
        <v>0</v>
      </c>
      <c r="K57" s="67">
        <v>0</v>
      </c>
      <c r="L57" s="67">
        <v>0</v>
      </c>
    </row>
    <row r="58" spans="1:17" x14ac:dyDescent="0.45">
      <c r="B58" s="34" t="s">
        <v>305</v>
      </c>
      <c r="C58" s="67">
        <v>-14954.467999999999</v>
      </c>
      <c r="D58" s="67">
        <v>-541.11</v>
      </c>
      <c r="E58" s="67">
        <v>-396.10499999999996</v>
      </c>
      <c r="F58" s="67">
        <v>-341.39499999999998</v>
      </c>
      <c r="G58" s="67">
        <v>-705.82999999999993</v>
      </c>
      <c r="H58" s="67">
        <v>-1511.1460000000002</v>
      </c>
      <c r="I58" s="67">
        <v>1261.152</v>
      </c>
      <c r="J58" s="67">
        <v>644.03200000000004</v>
      </c>
      <c r="K58" s="67">
        <v>-9.1999999999999993</v>
      </c>
      <c r="L58" s="67">
        <v>-3.544</v>
      </c>
    </row>
    <row r="59" spans="1:17" x14ac:dyDescent="0.45">
      <c r="B59" s="34" t="s">
        <v>306</v>
      </c>
      <c r="C59" s="67">
        <v>4584.42</v>
      </c>
      <c r="D59" s="67">
        <v>6938.9430000000002</v>
      </c>
      <c r="E59" s="67">
        <v>7301.1269999999995</v>
      </c>
      <c r="F59" s="67">
        <v>6024.1600000000008</v>
      </c>
      <c r="G59" s="67">
        <v>4244.1019999999999</v>
      </c>
      <c r="H59" s="67">
        <v>3508.3780000000006</v>
      </c>
      <c r="I59" s="67">
        <v>2511.8310000000001</v>
      </c>
      <c r="J59" s="67">
        <v>-7911.384</v>
      </c>
      <c r="K59" s="67">
        <v>3109.3169999999996</v>
      </c>
      <c r="L59" s="67">
        <v>2235.12</v>
      </c>
    </row>
    <row r="60" spans="1:17" x14ac:dyDescent="0.45">
      <c r="B60" s="34" t="s">
        <v>304</v>
      </c>
      <c r="C60" s="67">
        <v>-2967.2</v>
      </c>
      <c r="D60" s="67">
        <v>-1073.6510000000001</v>
      </c>
      <c r="E60" s="67">
        <v>-1547.894</v>
      </c>
      <c r="F60" s="67">
        <v>-852.35799999999995</v>
      </c>
      <c r="G60" s="67">
        <v>-1086.682</v>
      </c>
      <c r="H60" s="67">
        <v>-75.388000000000005</v>
      </c>
      <c r="I60" s="67">
        <v>-96.563999999999993</v>
      </c>
      <c r="J60" s="67">
        <v>-829.38199999999995</v>
      </c>
      <c r="K60" s="67">
        <v>-869.32100000000003</v>
      </c>
      <c r="L60" s="67">
        <v>-621.39200000000005</v>
      </c>
    </row>
    <row r="61" spans="1:17" x14ac:dyDescent="0.45">
      <c r="B61" s="34" t="s">
        <v>310</v>
      </c>
      <c r="C61" s="67">
        <v>136.376</v>
      </c>
      <c r="D61" s="67">
        <v>85.695999999999998</v>
      </c>
      <c r="E61" s="67">
        <v>71.915000000000006</v>
      </c>
      <c r="F61" s="67">
        <v>83.653000000000006</v>
      </c>
      <c r="G61" s="67">
        <v>90.081999999999994</v>
      </c>
      <c r="H61" s="67">
        <v>29.254999999999999</v>
      </c>
      <c r="I61" s="67">
        <v>15.125</v>
      </c>
      <c r="J61" s="67">
        <v>72.731999999999999</v>
      </c>
      <c r="K61" s="67">
        <v>124.18899999999999</v>
      </c>
      <c r="L61" s="67">
        <v>144.125</v>
      </c>
    </row>
    <row r="62" spans="1:17" x14ac:dyDescent="0.45">
      <c r="B62" s="34" t="s">
        <v>311</v>
      </c>
      <c r="C62" s="67">
        <v>0</v>
      </c>
      <c r="D62" s="67">
        <v>0</v>
      </c>
      <c r="E62" s="67">
        <v>0</v>
      </c>
      <c r="F62" s="67">
        <v>0</v>
      </c>
      <c r="G62" s="67">
        <v>0</v>
      </c>
      <c r="H62" s="67">
        <v>0</v>
      </c>
      <c r="I62" s="67">
        <v>0</v>
      </c>
      <c r="J62" s="67">
        <v>0</v>
      </c>
      <c r="K62" s="67">
        <v>0</v>
      </c>
      <c r="L62" s="67">
        <v>0</v>
      </c>
    </row>
    <row r="63" spans="1:17" ht="28.5" x14ac:dyDescent="0.45">
      <c r="B63" s="34" t="s">
        <v>308</v>
      </c>
      <c r="C63" s="67">
        <v>2307.3630000000003</v>
      </c>
      <c r="D63" s="67">
        <v>439.49799999999999</v>
      </c>
      <c r="E63" s="67">
        <v>-756.82400000000007</v>
      </c>
      <c r="F63" s="67">
        <v>-258.87199999999996</v>
      </c>
      <c r="G63" s="67">
        <v>310.154</v>
      </c>
      <c r="H63" s="67">
        <v>1031.81</v>
      </c>
      <c r="I63" s="67">
        <v>376.94899999999996</v>
      </c>
      <c r="J63" s="67">
        <v>-1593.07</v>
      </c>
      <c r="K63" s="67">
        <v>-984.31100000000015</v>
      </c>
      <c r="L63" s="67">
        <v>2469.029</v>
      </c>
    </row>
    <row r="64" spans="1:17" ht="28.5" x14ac:dyDescent="0.45">
      <c r="B64" s="34" t="s">
        <v>312</v>
      </c>
      <c r="C64" s="67">
        <v>8316.15</v>
      </c>
      <c r="D64" s="67">
        <v>-1553.5500000000002</v>
      </c>
      <c r="E64" s="67">
        <v>-1647.2050000000002</v>
      </c>
      <c r="F64" s="67">
        <v>-1755.587</v>
      </c>
      <c r="G64" s="67">
        <v>-6105.0320000000002</v>
      </c>
      <c r="H64" s="67">
        <v>2431.5609999999997</v>
      </c>
      <c r="I64" s="67">
        <v>-2067.404</v>
      </c>
      <c r="J64" s="67">
        <v>-10290.431</v>
      </c>
      <c r="K64" s="67">
        <v>-1834.0820000000003</v>
      </c>
      <c r="L64" s="67">
        <v>-1451.8850000000002</v>
      </c>
    </row>
    <row r="65" spans="2:17" x14ac:dyDescent="0.45">
      <c r="B65" s="39" t="s">
        <v>111</v>
      </c>
      <c r="C65" s="36">
        <v>12845.468999999999</v>
      </c>
      <c r="D65" s="36">
        <v>7258.4659999999994</v>
      </c>
      <c r="E65" s="36">
        <v>7072.8249999999989</v>
      </c>
      <c r="F65" s="36">
        <v>8618.5400000000027</v>
      </c>
      <c r="G65" s="36">
        <v>4039.9909999999991</v>
      </c>
      <c r="H65" s="36">
        <v>12879.054999999998</v>
      </c>
      <c r="I65" s="36">
        <v>8070.6710000000003</v>
      </c>
      <c r="J65" s="36">
        <v>-645.2039999999979</v>
      </c>
      <c r="K65" s="36">
        <v>6764.8340000000007</v>
      </c>
      <c r="L65" s="36">
        <v>7081.0319999999992</v>
      </c>
      <c r="M65" s="32"/>
      <c r="N65" s="32"/>
      <c r="O65" s="32"/>
      <c r="P65" s="32"/>
      <c r="Q65" s="32"/>
    </row>
    <row r="66" spans="2:17" x14ac:dyDescent="0.45">
      <c r="C66" s="25"/>
      <c r="D66" s="25"/>
      <c r="E66" s="25"/>
      <c r="F66" s="25"/>
      <c r="G66" s="25"/>
      <c r="H66" s="25"/>
      <c r="I66" s="25"/>
      <c r="J66" s="25"/>
      <c r="K66" s="25"/>
      <c r="L66" s="25"/>
      <c r="M66" s="25"/>
      <c r="N66" s="25"/>
      <c r="O66" s="25"/>
      <c r="P66" s="25"/>
      <c r="Q66" s="25"/>
    </row>
    <row r="67" spans="2:17" x14ac:dyDescent="0.45">
      <c r="B67" s="34" t="s">
        <v>315</v>
      </c>
      <c r="C67" s="67">
        <v>-4412.2290000000003</v>
      </c>
      <c r="D67" s="67">
        <v>-1906.1279999999999</v>
      </c>
      <c r="E67" s="67">
        <v>-2813.8340000000003</v>
      </c>
      <c r="F67" s="67">
        <v>-2866.8180000000011</v>
      </c>
      <c r="G67" s="67">
        <v>2351.2460000000005</v>
      </c>
      <c r="H67" s="67">
        <v>-6958.2450000000008</v>
      </c>
      <c r="I67" s="67">
        <v>-4201.1239999999998</v>
      </c>
      <c r="J67" s="67">
        <v>5003.2709999999997</v>
      </c>
      <c r="K67" s="67">
        <v>-3914.2419999999997</v>
      </c>
      <c r="L67" s="67">
        <v>-2719.4769999999999</v>
      </c>
    </row>
    <row r="68" spans="2:17" x14ac:dyDescent="0.45">
      <c r="B68" s="34" t="s">
        <v>314</v>
      </c>
      <c r="C68" s="67">
        <v>-990.44399999999996</v>
      </c>
      <c r="D68" s="67">
        <v>-858.18600000000004</v>
      </c>
      <c r="E68" s="67">
        <v>-823.03200000000004</v>
      </c>
      <c r="F68" s="67">
        <v>-854.61900000000003</v>
      </c>
      <c r="G68" s="67">
        <v>-1000.021</v>
      </c>
      <c r="H68" s="67">
        <v>-949.67</v>
      </c>
      <c r="I68" s="67">
        <v>-886.529</v>
      </c>
      <c r="J68" s="67">
        <v>-960.76900000000001</v>
      </c>
      <c r="K68" s="67">
        <v>-816.42600000000004</v>
      </c>
      <c r="L68" s="67">
        <v>-790.32600000000002</v>
      </c>
    </row>
    <row r="69" spans="2:17" x14ac:dyDescent="0.45">
      <c r="B69" s="34" t="s">
        <v>317</v>
      </c>
      <c r="C69" s="67">
        <v>0</v>
      </c>
      <c r="D69" s="67">
        <v>-1186.28</v>
      </c>
      <c r="E69" s="67">
        <v>0</v>
      </c>
      <c r="F69" s="67">
        <v>0</v>
      </c>
      <c r="G69" s="67">
        <v>0</v>
      </c>
      <c r="H69" s="67">
        <v>0</v>
      </c>
      <c r="I69" s="67">
        <v>0</v>
      </c>
      <c r="J69" s="67">
        <v>0</v>
      </c>
      <c r="K69" s="67">
        <v>0</v>
      </c>
      <c r="L69" s="67">
        <v>0</v>
      </c>
    </row>
    <row r="70" spans="2:17" x14ac:dyDescent="0.45">
      <c r="B70" s="34" t="s">
        <v>418</v>
      </c>
      <c r="C70" s="67">
        <v>-5372.3679999999995</v>
      </c>
      <c r="D70" s="67">
        <v>-4732.8780000000006</v>
      </c>
      <c r="E70" s="67">
        <v>-4469.0290000000005</v>
      </c>
      <c r="F70" s="67">
        <v>-4355.6179999999995</v>
      </c>
      <c r="G70" s="67">
        <v>-4449.3519999999999</v>
      </c>
      <c r="H70" s="67">
        <v>-4442.2950000000001</v>
      </c>
      <c r="I70" s="67">
        <v>-4628.1010000000006</v>
      </c>
      <c r="J70" s="67">
        <v>-4037.81</v>
      </c>
      <c r="K70" s="67">
        <v>-2572.3160000000003</v>
      </c>
      <c r="L70" s="67">
        <v>-2863.6019999999999</v>
      </c>
    </row>
    <row r="71" spans="2:17" x14ac:dyDescent="0.45">
      <c r="B71" s="31" t="s">
        <v>319</v>
      </c>
      <c r="C71" s="67">
        <v>-61.988999999999997</v>
      </c>
      <c r="D71" s="67">
        <v>346.45699999999999</v>
      </c>
      <c r="E71" s="67">
        <v>-114.151</v>
      </c>
      <c r="F71" s="67">
        <v>9.0440000000000005</v>
      </c>
      <c r="G71" s="67">
        <v>-93.503</v>
      </c>
      <c r="H71" s="67">
        <v>-43.883000000000003</v>
      </c>
      <c r="I71" s="67">
        <v>-33.738999999999997</v>
      </c>
      <c r="J71" s="67">
        <v>178.31100000000001</v>
      </c>
      <c r="K71" s="67">
        <v>-113.84</v>
      </c>
      <c r="L71" s="67">
        <v>-63.792999999999999</v>
      </c>
    </row>
    <row r="72" spans="2:17" x14ac:dyDescent="0.45">
      <c r="B72" s="39" t="s">
        <v>419</v>
      </c>
      <c r="C72" s="36">
        <v>2008.4389999999989</v>
      </c>
      <c r="D72" s="36">
        <v>-1078.5490000000004</v>
      </c>
      <c r="E72" s="36">
        <v>-1147.2210000000025</v>
      </c>
      <c r="F72" s="36">
        <v>550.52900000000238</v>
      </c>
      <c r="G72" s="36">
        <v>848.36099999999954</v>
      </c>
      <c r="H72" s="36">
        <v>484.96199999999754</v>
      </c>
      <c r="I72" s="36">
        <v>-1678.8220000000001</v>
      </c>
      <c r="J72" s="36">
        <v>-462.20099999999832</v>
      </c>
      <c r="K72" s="36">
        <v>-651.98999999999921</v>
      </c>
      <c r="L72" s="36">
        <v>643.83399999999949</v>
      </c>
    </row>
    <row r="73" spans="2:17" x14ac:dyDescent="0.45">
      <c r="M73" s="32"/>
      <c r="N73" s="32"/>
      <c r="O73" s="32"/>
      <c r="P73" s="32"/>
      <c r="Q73" s="32"/>
    </row>
    <row r="74" spans="2:17" x14ac:dyDescent="0.45">
      <c r="B74" s="38"/>
      <c r="C74" s="38"/>
      <c r="D74" s="38"/>
      <c r="E74" s="38"/>
      <c r="F74" s="38"/>
      <c r="G74" s="38"/>
      <c r="H74" s="38"/>
      <c r="I74" s="38"/>
      <c r="J74" s="38"/>
      <c r="K74" s="38"/>
    </row>
  </sheetData>
  <dataValidations count="4">
    <dataValidation type="list" allowBlank="1" showInputMessage="1" showErrorMessage="1" sqref="B13" xr:uid="{504A8098-3714-4941-BECA-AC5C9D6A3EFB}">
      <formula1>B$243:B$260</formula1>
    </dataValidation>
    <dataValidation type="list" allowBlank="1" showInputMessage="1" showErrorMessage="1" sqref="B10" xr:uid="{3537D425-872C-5641-9EB9-BC5AF8F4D9D0}">
      <formula1>B$246:B$263</formula1>
    </dataValidation>
    <dataValidation type="list" allowBlank="1" showInputMessage="1" showErrorMessage="1" sqref="B5" xr:uid="{7F164C99-69E1-944D-B392-569D147E3E53}">
      <formula1>B$249:B$266</formula1>
    </dataValidation>
    <dataValidation type="list" allowBlank="1" showInputMessage="1" showErrorMessage="1" sqref="B48" xr:uid="{85E14EEF-76A4-5C44-9BD4-28B61E955668}">
      <formula1>$B$251:$B$274</formula1>
    </dataValidation>
  </dataValidations>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DAD9E-BFA9-467F-90D8-96C746C1D77A}">
  <dimension ref="A2:S73"/>
  <sheetViews>
    <sheetView showGridLines="0" topLeftCell="A8" workbookViewId="0"/>
  </sheetViews>
  <sheetFormatPr defaultColWidth="9.1328125" defaultRowHeight="14.25" x14ac:dyDescent="0.45"/>
  <cols>
    <col min="1" max="1" width="3.33203125" style="73" customWidth="1"/>
    <col min="2" max="2" width="36.33203125" style="73" customWidth="1"/>
    <col min="3" max="17" width="13.1328125" style="73" customWidth="1"/>
    <col min="18" max="16384" width="9.1328125" style="73"/>
  </cols>
  <sheetData>
    <row r="2" spans="1:19" x14ac:dyDescent="0.45">
      <c r="C2" s="74">
        <v>2015</v>
      </c>
      <c r="D2" s="74">
        <v>2016</v>
      </c>
      <c r="E2" s="74">
        <v>2017</v>
      </c>
      <c r="F2" s="74">
        <v>2018</v>
      </c>
      <c r="G2" s="74">
        <v>2019</v>
      </c>
      <c r="H2" s="74">
        <v>2020</v>
      </c>
      <c r="I2" s="74">
        <v>2021</v>
      </c>
      <c r="J2" s="74">
        <v>2022</v>
      </c>
      <c r="K2" s="74">
        <v>2023</v>
      </c>
      <c r="L2" s="74">
        <v>2024</v>
      </c>
      <c r="M2" s="75">
        <v>2025</v>
      </c>
      <c r="N2" s="75">
        <v>2026</v>
      </c>
      <c r="O2" s="75">
        <v>2027</v>
      </c>
      <c r="P2" s="75">
        <v>2028</v>
      </c>
      <c r="Q2" s="75">
        <v>2029</v>
      </c>
    </row>
    <row r="3" spans="1:19" x14ac:dyDescent="0.45">
      <c r="A3" s="73" t="s">
        <v>14</v>
      </c>
      <c r="B3" s="76" t="s">
        <v>252</v>
      </c>
      <c r="C3" s="77"/>
      <c r="D3" s="77"/>
      <c r="E3" s="77"/>
      <c r="F3" s="77"/>
      <c r="G3" s="77"/>
      <c r="H3" s="77"/>
      <c r="I3" s="77"/>
      <c r="J3" s="77"/>
      <c r="K3" s="77"/>
      <c r="L3" s="77"/>
      <c r="M3" s="77"/>
      <c r="N3" s="77"/>
      <c r="O3" s="77"/>
      <c r="P3" s="77"/>
      <c r="Q3" s="77"/>
    </row>
    <row r="4" spans="1:19" x14ac:dyDescent="0.45">
      <c r="C4" s="78"/>
      <c r="D4" s="78"/>
      <c r="E4" s="78"/>
      <c r="F4" s="78"/>
      <c r="G4" s="78"/>
      <c r="H4" s="78"/>
      <c r="I4" s="78"/>
      <c r="J4" s="78"/>
      <c r="K4" s="78"/>
      <c r="L4" s="78"/>
      <c r="M4" s="78"/>
      <c r="N4" s="78"/>
      <c r="O4" s="78"/>
      <c r="P4" s="78"/>
      <c r="Q4" s="78"/>
      <c r="S4" s="73" t="s">
        <v>405</v>
      </c>
    </row>
    <row r="5" spans="1:19" x14ac:dyDescent="0.45">
      <c r="B5" s="79" t="s">
        <v>406</v>
      </c>
      <c r="C5" s="73">
        <v>13639.87</v>
      </c>
      <c r="D5" s="73">
        <v>14415.663</v>
      </c>
      <c r="E5" s="73">
        <v>14123.2</v>
      </c>
      <c r="F5" s="73">
        <v>13667.179</v>
      </c>
      <c r="G5" s="73">
        <v>26529.163</v>
      </c>
      <c r="H5" s="73">
        <v>26275.955000000002</v>
      </c>
      <c r="I5" s="73">
        <v>26697.043000000001</v>
      </c>
      <c r="J5" s="73">
        <v>28619.871999999999</v>
      </c>
      <c r="K5" s="73">
        <v>27494.555</v>
      </c>
      <c r="L5" s="73">
        <v>27970.201000000001</v>
      </c>
    </row>
    <row r="6" spans="1:19" x14ac:dyDescent="0.45">
      <c r="B6" s="79" t="s">
        <v>267</v>
      </c>
      <c r="C6" s="73">
        <v>-4000.2950000000001</v>
      </c>
      <c r="D6" s="73">
        <v>-4643.4989999999998</v>
      </c>
      <c r="E6" s="73">
        <v>-4155.6989999999996</v>
      </c>
      <c r="F6" s="73">
        <v>-3591.2860000000001</v>
      </c>
      <c r="G6" s="73">
        <v>-7400.0429999999997</v>
      </c>
      <c r="H6" s="73">
        <v>-9466.2890000000007</v>
      </c>
      <c r="I6" s="73">
        <v>-8258.4969999999994</v>
      </c>
      <c r="J6" s="73">
        <v>-9212.4519999999993</v>
      </c>
      <c r="K6" s="73">
        <v>-8863.9449999999997</v>
      </c>
      <c r="L6" s="73">
        <v>-9684.5660000000007</v>
      </c>
    </row>
    <row r="7" spans="1:19" x14ac:dyDescent="0.45">
      <c r="B7" s="79" t="s">
        <v>274</v>
      </c>
      <c r="C7" s="73">
        <v>-1065.1279999999999</v>
      </c>
      <c r="D7" s="73">
        <v>-1065.338</v>
      </c>
      <c r="E7" s="73">
        <v>-999.58500000000004</v>
      </c>
      <c r="F7" s="73">
        <v>-732.59699999999998</v>
      </c>
      <c r="G7" s="73">
        <v>-3343.93</v>
      </c>
      <c r="H7" s="73">
        <v>-3301.4140000000002</v>
      </c>
      <c r="I7" s="73">
        <v>-3268.1320000000001</v>
      </c>
      <c r="J7" s="73">
        <v>-3354.9639999999999</v>
      </c>
      <c r="K7" s="73">
        <v>-3334.096</v>
      </c>
      <c r="L7" s="73">
        <v>-3331.9749999999999</v>
      </c>
    </row>
    <row r="8" spans="1:19" x14ac:dyDescent="0.45">
      <c r="B8" s="79" t="s">
        <v>268</v>
      </c>
      <c r="C8" s="73">
        <v>-4842.63</v>
      </c>
      <c r="D8" s="73">
        <v>-5117.9660000000003</v>
      </c>
      <c r="E8" s="73">
        <v>-5004.9070000000002</v>
      </c>
      <c r="F8" s="73">
        <v>-4669.1809999999996</v>
      </c>
      <c r="G8" s="73">
        <v>-7913.84</v>
      </c>
      <c r="H8" s="73">
        <v>-7354.6130000000003</v>
      </c>
      <c r="I8" s="73">
        <v>-6910.5240000000003</v>
      </c>
      <c r="J8" s="73">
        <v>-7008.0829999999996</v>
      </c>
      <c r="K8" s="73">
        <v>-6748.6239999999998</v>
      </c>
      <c r="L8" s="73">
        <v>-6683.3389999999999</v>
      </c>
    </row>
    <row r="9" spans="1:19" x14ac:dyDescent="0.45">
      <c r="B9" s="79" t="s">
        <v>269</v>
      </c>
      <c r="C9" s="73">
        <v>-2881.0349999999999</v>
      </c>
      <c r="D9" s="73">
        <v>-2601.11</v>
      </c>
      <c r="E9" s="73">
        <v>-2566.2649999999999</v>
      </c>
      <c r="F9" s="73">
        <v>-2437.8319999999999</v>
      </c>
      <c r="G9" s="73">
        <v>-3981.2719999999999</v>
      </c>
      <c r="H9" s="73">
        <v>-3997.029</v>
      </c>
      <c r="I9" s="73">
        <v>-3818.011</v>
      </c>
      <c r="J9" s="73">
        <v>-4469.4139999999998</v>
      </c>
      <c r="K9" s="73">
        <v>-4583.55</v>
      </c>
      <c r="L9" s="73">
        <v>-4329.3999999999996</v>
      </c>
    </row>
    <row r="10" spans="1:19" ht="28.5" x14ac:dyDescent="0.45">
      <c r="B10" s="80" t="s">
        <v>270</v>
      </c>
      <c r="C10" s="73">
        <v>-55.353999999999999</v>
      </c>
      <c r="D10" s="73">
        <v>768.31100000000004</v>
      </c>
      <c r="E10" s="73">
        <v>102.48099999999999</v>
      </c>
      <c r="F10" s="73">
        <v>-318.31700000000001</v>
      </c>
      <c r="G10" s="73">
        <v>-219.23599999999999</v>
      </c>
      <c r="H10" s="73">
        <v>-171.64699999999999</v>
      </c>
      <c r="I10" s="73">
        <v>-7.6260000000000003</v>
      </c>
      <c r="J10" s="73">
        <v>-505.52199999999999</v>
      </c>
      <c r="K10" s="73">
        <v>-793.98900000000003</v>
      </c>
      <c r="L10" s="73">
        <v>-338.762</v>
      </c>
    </row>
    <row r="11" spans="1:19" x14ac:dyDescent="0.45">
      <c r="B11" s="79" t="s">
        <v>407</v>
      </c>
      <c r="C11" s="73">
        <v>59.048000000000002</v>
      </c>
      <c r="D11" s="73">
        <v>69.13</v>
      </c>
      <c r="E11" s="73">
        <v>51.082000000000001</v>
      </c>
      <c r="F11" s="73">
        <v>78.888999999999996</v>
      </c>
      <c r="G11" s="73">
        <v>264.84899999999999</v>
      </c>
      <c r="H11" s="73">
        <v>313.40699999999998</v>
      </c>
      <c r="I11" s="73">
        <v>0</v>
      </c>
      <c r="J11" s="73">
        <v>122.93600000000001</v>
      </c>
      <c r="K11" s="73">
        <v>0</v>
      </c>
      <c r="L11" s="73">
        <v>0</v>
      </c>
    </row>
    <row r="12" spans="1:19" x14ac:dyDescent="0.45">
      <c r="B12" s="79" t="s">
        <v>408</v>
      </c>
      <c r="C12" s="73">
        <v>-64.463999999999999</v>
      </c>
      <c r="D12" s="73">
        <v>-23.69</v>
      </c>
      <c r="E12" s="73">
        <v>-197.09399999999999</v>
      </c>
      <c r="F12" s="73">
        <v>-82.058000000000007</v>
      </c>
      <c r="G12" s="73">
        <v>-1087.617</v>
      </c>
      <c r="H12" s="73">
        <v>-1761.269</v>
      </c>
      <c r="I12" s="73">
        <v>-877.2</v>
      </c>
      <c r="J12" s="73">
        <v>-766.59500000000003</v>
      </c>
      <c r="K12" s="73">
        <v>-1095.5419999999999</v>
      </c>
      <c r="L12" s="73">
        <v>-548.15</v>
      </c>
    </row>
    <row r="13" spans="1:19" x14ac:dyDescent="0.45">
      <c r="B13" s="80" t="s">
        <v>255</v>
      </c>
      <c r="C13" s="73">
        <v>57.312999999999995</v>
      </c>
      <c r="D13" s="73">
        <v>99.161000000000001</v>
      </c>
      <c r="E13" s="73">
        <v>-135.476</v>
      </c>
      <c r="F13" s="73">
        <v>-269.71799999999996</v>
      </c>
      <c r="G13" s="73">
        <v>-103.34800000000001</v>
      </c>
      <c r="H13" s="73">
        <v>-156.52699999999999</v>
      </c>
      <c r="I13" s="73">
        <v>21.829000000000001</v>
      </c>
      <c r="J13" s="73">
        <v>-34.557000000000002</v>
      </c>
      <c r="K13" s="73">
        <v>129.59</v>
      </c>
      <c r="L13" s="73">
        <v>-115.185</v>
      </c>
    </row>
    <row r="14" spans="1:19" x14ac:dyDescent="0.45">
      <c r="B14" s="79" t="s">
        <v>409</v>
      </c>
      <c r="C14" s="73">
        <v>-2176.2069999999999</v>
      </c>
      <c r="D14" s="73">
        <v>-444.48700000000002</v>
      </c>
      <c r="E14" s="73">
        <v>541.30700000000002</v>
      </c>
      <c r="F14" s="73">
        <v>-588.42600000000004</v>
      </c>
      <c r="G14" s="73">
        <v>-2947.6610000000001</v>
      </c>
      <c r="H14" s="73">
        <v>593.46900000000005</v>
      </c>
      <c r="I14" s="73">
        <v>176.08899999999994</v>
      </c>
      <c r="J14" s="73">
        <v>-1409.556</v>
      </c>
      <c r="K14" s="73">
        <v>-1226.846</v>
      </c>
      <c r="L14" s="73">
        <v>-1504.2140000000002</v>
      </c>
    </row>
    <row r="15" spans="1:19" x14ac:dyDescent="0.45">
      <c r="B15" s="79" t="s">
        <v>410</v>
      </c>
      <c r="C15" s="73">
        <v>516.83500000000004</v>
      </c>
      <c r="D15" s="73">
        <v>-329.983</v>
      </c>
      <c r="E15" s="73">
        <v>-270.89800000000002</v>
      </c>
      <c r="F15" s="73">
        <v>-209.65299999999999</v>
      </c>
      <c r="G15" s="73">
        <v>313.21600000000001</v>
      </c>
      <c r="H15" s="73">
        <v>509.16800000000001</v>
      </c>
      <c r="I15" s="73">
        <v>-375.97</v>
      </c>
      <c r="J15" s="73">
        <v>10.15</v>
      </c>
      <c r="K15" s="73">
        <v>198.501</v>
      </c>
      <c r="L15" s="73">
        <v>-162.56700000000001</v>
      </c>
    </row>
    <row r="16" spans="1:19" x14ac:dyDescent="0.45">
      <c r="B16" s="79" t="s">
        <v>411</v>
      </c>
      <c r="C16" s="73">
        <v>-21.303999999999998</v>
      </c>
      <c r="D16" s="73">
        <v>-24.632000000000001</v>
      </c>
      <c r="E16" s="73">
        <v>15.872999999999999</v>
      </c>
      <c r="F16" s="73">
        <v>0.315</v>
      </c>
      <c r="G16" s="73">
        <v>-1.4750000000000001</v>
      </c>
      <c r="H16" s="73">
        <v>0.34499999999999997</v>
      </c>
      <c r="I16" s="73">
        <v>-1.3089999999999999</v>
      </c>
      <c r="J16" s="73">
        <v>-1.4999999999999999E-2</v>
      </c>
      <c r="K16" s="73">
        <v>-0.71199999999999997</v>
      </c>
      <c r="L16" s="73">
        <v>-1.1120000000000001</v>
      </c>
    </row>
    <row r="17" spans="1:17" x14ac:dyDescent="0.45">
      <c r="B17" s="79" t="s">
        <v>263</v>
      </c>
      <c r="C17" s="73">
        <v>0</v>
      </c>
      <c r="D17" s="73">
        <v>0</v>
      </c>
      <c r="E17" s="73">
        <v>0</v>
      </c>
      <c r="F17" s="73">
        <v>0</v>
      </c>
      <c r="G17" s="73">
        <v>0</v>
      </c>
      <c r="H17" s="73">
        <v>0</v>
      </c>
      <c r="I17" s="73">
        <v>0</v>
      </c>
      <c r="J17" s="73">
        <v>0</v>
      </c>
      <c r="K17" s="73">
        <v>0</v>
      </c>
      <c r="L17" s="73">
        <v>0</v>
      </c>
    </row>
    <row r="18" spans="1:17" s="81" customFormat="1" x14ac:dyDescent="0.45">
      <c r="B18" s="82" t="s">
        <v>412</v>
      </c>
      <c r="C18" s="83">
        <v>-833.35099999999954</v>
      </c>
      <c r="D18" s="83">
        <v>1101.5600000000006</v>
      </c>
      <c r="E18" s="83">
        <v>1504.0190000000011</v>
      </c>
      <c r="F18" s="83">
        <v>847.31500000000074</v>
      </c>
      <c r="G18" s="83">
        <v>108.80600000000234</v>
      </c>
      <c r="H18" s="83">
        <v>1483.5560000000003</v>
      </c>
      <c r="I18" s="83">
        <v>3377.6920000000027</v>
      </c>
      <c r="J18" s="83">
        <v>1991.7999999999995</v>
      </c>
      <c r="K18" s="83">
        <v>1175.3420000000012</v>
      </c>
      <c r="L18" s="83">
        <v>1270.9310000000016</v>
      </c>
      <c r="M18" s="76"/>
      <c r="N18" s="76"/>
      <c r="O18" s="76"/>
      <c r="P18" s="76"/>
      <c r="Q18" s="76"/>
    </row>
    <row r="20" spans="1:17" x14ac:dyDescent="0.45">
      <c r="A20" s="73" t="s">
        <v>14</v>
      </c>
      <c r="B20" s="76" t="s">
        <v>413</v>
      </c>
    </row>
    <row r="21" spans="1:17" x14ac:dyDescent="0.45">
      <c r="B21" s="76"/>
      <c r="C21" s="78"/>
      <c r="D21" s="78"/>
      <c r="E21" s="78"/>
      <c r="F21" s="78"/>
      <c r="G21" s="78"/>
      <c r="H21" s="78"/>
      <c r="I21" s="78"/>
      <c r="J21" s="78"/>
      <c r="K21" s="78"/>
      <c r="L21" s="78"/>
      <c r="M21" s="78"/>
      <c r="N21" s="78"/>
      <c r="O21" s="78"/>
      <c r="P21" s="78"/>
      <c r="Q21" s="78"/>
    </row>
    <row r="22" spans="1:17" x14ac:dyDescent="0.45">
      <c r="B22" s="79" t="s">
        <v>263</v>
      </c>
    </row>
    <row r="23" spans="1:17" x14ac:dyDescent="0.45">
      <c r="B23" s="79" t="s">
        <v>272</v>
      </c>
    </row>
    <row r="24" spans="1:17" x14ac:dyDescent="0.45">
      <c r="B24" s="79" t="s">
        <v>273</v>
      </c>
    </row>
    <row r="25" spans="1:17" x14ac:dyDescent="0.45">
      <c r="B25" s="79" t="s">
        <v>274</v>
      </c>
    </row>
    <row r="26" spans="1:17" ht="42.75" x14ac:dyDescent="0.45">
      <c r="B26" s="79" t="s">
        <v>414</v>
      </c>
      <c r="C26" s="73">
        <v>1682.8820000000001</v>
      </c>
      <c r="D26" s="73">
        <v>466.61</v>
      </c>
      <c r="E26" s="73">
        <v>1267.77</v>
      </c>
      <c r="F26" s="73">
        <v>399.78399999999999</v>
      </c>
      <c r="G26" s="73">
        <v>1208.489</v>
      </c>
      <c r="H26" s="73">
        <v>1039.075</v>
      </c>
      <c r="I26" s="73">
        <v>906</v>
      </c>
      <c r="J26" s="73">
        <v>1191.509</v>
      </c>
      <c r="K26" s="73">
        <v>342.00599999999997</v>
      </c>
      <c r="L26" s="73">
        <v>1652.598</v>
      </c>
    </row>
    <row r="27" spans="1:17" ht="28.5" x14ac:dyDescent="0.45">
      <c r="B27" s="79" t="s">
        <v>275</v>
      </c>
    </row>
    <row r="29" spans="1:17" x14ac:dyDescent="0.45">
      <c r="A29" s="73" t="s">
        <v>14</v>
      </c>
      <c r="B29" s="76" t="s">
        <v>415</v>
      </c>
    </row>
    <row r="30" spans="1:17" x14ac:dyDescent="0.45">
      <c r="C30" s="78"/>
      <c r="D30" s="78"/>
      <c r="E30" s="78"/>
      <c r="F30" s="78"/>
      <c r="G30" s="78"/>
      <c r="H30" s="78"/>
      <c r="I30" s="78"/>
      <c r="J30" s="78"/>
      <c r="K30" s="78"/>
      <c r="L30" s="78"/>
      <c r="M30" s="78"/>
      <c r="N30" s="78"/>
      <c r="O30" s="78"/>
      <c r="P30" s="78"/>
      <c r="Q30" s="78"/>
    </row>
    <row r="31" spans="1:17" x14ac:dyDescent="0.45">
      <c r="B31" s="79" t="s">
        <v>285</v>
      </c>
      <c r="C31" s="73">
        <v>4293.3140000000003</v>
      </c>
      <c r="D31" s="73">
        <v>4545.4650000000001</v>
      </c>
      <c r="E31" s="73">
        <v>3449.0569999999998</v>
      </c>
      <c r="F31" s="73">
        <v>2470.0619999999999</v>
      </c>
      <c r="G31" s="73">
        <v>4824.79</v>
      </c>
      <c r="H31" s="73">
        <v>4892.2709999999997</v>
      </c>
      <c r="I31" s="73">
        <v>5531.7359999999999</v>
      </c>
      <c r="J31" s="73">
        <v>4861.393</v>
      </c>
      <c r="K31" s="73">
        <v>1850.7</v>
      </c>
      <c r="L31" s="73">
        <v>3035.723</v>
      </c>
    </row>
    <row r="32" spans="1:17" x14ac:dyDescent="0.45">
      <c r="B32" s="79" t="s">
        <v>283</v>
      </c>
      <c r="C32" s="73">
        <v>3703.4110000000001</v>
      </c>
      <c r="D32" s="73">
        <v>3985.6529999999998</v>
      </c>
      <c r="E32" s="73">
        <v>3783.2049999999999</v>
      </c>
      <c r="F32" s="73">
        <v>4055.9540000000002</v>
      </c>
      <c r="G32" s="73">
        <v>6729.4340000000002</v>
      </c>
      <c r="H32" s="73">
        <v>6269.2929999999997</v>
      </c>
      <c r="I32" s="73">
        <v>5464.3329999999996</v>
      </c>
      <c r="J32" s="73">
        <v>5018.7489999999998</v>
      </c>
      <c r="K32" s="73">
        <v>4596.7939999999999</v>
      </c>
      <c r="L32" s="73">
        <v>4370.6819999999998</v>
      </c>
    </row>
    <row r="33" spans="1:17" x14ac:dyDescent="0.45">
      <c r="B33" s="79" t="s">
        <v>136</v>
      </c>
      <c r="C33" s="73">
        <v>2056.8420000000001</v>
      </c>
      <c r="D33" s="73">
        <v>1812.037</v>
      </c>
      <c r="E33" s="73">
        <v>1664.35</v>
      </c>
      <c r="F33" s="73">
        <v>1778.3879999999999</v>
      </c>
      <c r="G33" s="73">
        <v>6570.6170000000002</v>
      </c>
      <c r="H33" s="73">
        <v>5856.3879999999999</v>
      </c>
      <c r="I33" s="73">
        <v>6196.0190000000002</v>
      </c>
      <c r="J33" s="73">
        <v>6579.5240000000003</v>
      </c>
      <c r="K33" s="73">
        <v>7506.7979999999998</v>
      </c>
      <c r="L33" s="73">
        <v>7657.5739999999996</v>
      </c>
    </row>
    <row r="34" spans="1:17" x14ac:dyDescent="0.45">
      <c r="B34" s="79" t="s">
        <v>284</v>
      </c>
      <c r="C34" s="73">
        <v>1807.3420000000001</v>
      </c>
      <c r="D34" s="73">
        <v>3120.596</v>
      </c>
      <c r="E34" s="73">
        <v>463.76800000000003</v>
      </c>
      <c r="F34" s="73">
        <v>12951.037</v>
      </c>
      <c r="G34" s="73">
        <v>2540.6319999999996</v>
      </c>
      <c r="H34" s="73">
        <v>3708.0540000000001</v>
      </c>
      <c r="I34" s="73">
        <v>1731.3890000000001</v>
      </c>
      <c r="J34" s="73">
        <v>1959.7739999999999</v>
      </c>
      <c r="K34" s="73">
        <v>1634.04</v>
      </c>
      <c r="L34" s="73">
        <v>1857.3149999999998</v>
      </c>
    </row>
    <row r="35" spans="1:17" x14ac:dyDescent="0.45">
      <c r="B35" s="79" t="s">
        <v>278</v>
      </c>
      <c r="C35" s="73">
        <v>3954.7640000000001</v>
      </c>
      <c r="D35" s="73">
        <v>4254.0320000000002</v>
      </c>
      <c r="E35" s="73">
        <v>4438.1990000000005</v>
      </c>
      <c r="F35" s="73">
        <v>5500.9670000000006</v>
      </c>
      <c r="G35" s="73">
        <v>12759.153</v>
      </c>
      <c r="H35" s="73">
        <v>13714.605</v>
      </c>
      <c r="I35" s="73">
        <v>13773.465</v>
      </c>
      <c r="J35" s="73">
        <v>14178.396000000001</v>
      </c>
      <c r="K35" s="73">
        <v>13900.239</v>
      </c>
      <c r="L35" s="73">
        <v>15294.242</v>
      </c>
    </row>
    <row r="36" spans="1:17" x14ac:dyDescent="0.45">
      <c r="B36" s="79" t="s">
        <v>279</v>
      </c>
      <c r="C36" s="73">
        <v>12376.487000000001</v>
      </c>
      <c r="D36" s="73">
        <v>11886.276</v>
      </c>
      <c r="E36" s="73">
        <v>15909.263999999999</v>
      </c>
      <c r="F36" s="73">
        <v>16508.123</v>
      </c>
      <c r="G36" s="73">
        <v>68978.881999999998</v>
      </c>
      <c r="H36" s="73">
        <v>60053.080999999998</v>
      </c>
      <c r="I36" s="73">
        <v>60788.896000000001</v>
      </c>
      <c r="J36" s="73">
        <v>60004.245000000003</v>
      </c>
      <c r="K36" s="73">
        <v>59099.311000000002</v>
      </c>
      <c r="L36" s="73">
        <v>58205.587</v>
      </c>
    </row>
    <row r="37" spans="1:17" x14ac:dyDescent="0.45">
      <c r="B37" s="79" t="s">
        <v>280</v>
      </c>
      <c r="C37" s="73">
        <v>2662.136</v>
      </c>
      <c r="D37" s="73">
        <v>2803.9470000000001</v>
      </c>
      <c r="E37" s="73">
        <v>2313.518</v>
      </c>
      <c r="F37" s="73">
        <v>2251.703</v>
      </c>
      <c r="G37" s="73">
        <v>3234.9760000000001</v>
      </c>
      <c r="H37" s="73">
        <v>826.40300000000002</v>
      </c>
      <c r="I37" s="73">
        <v>798.11199999999997</v>
      </c>
      <c r="J37" s="73">
        <v>669.99599999999998</v>
      </c>
      <c r="K37" s="73">
        <v>663.06100000000004</v>
      </c>
      <c r="L37" s="73">
        <v>77.968999999999994</v>
      </c>
    </row>
    <row r="38" spans="1:17" x14ac:dyDescent="0.45">
      <c r="B38" s="79" t="s">
        <v>281</v>
      </c>
      <c r="C38" s="73">
        <v>1213.451</v>
      </c>
      <c r="D38" s="73">
        <v>1262.606</v>
      </c>
      <c r="E38" s="73">
        <v>589.39599999999996</v>
      </c>
      <c r="F38" s="73">
        <v>394.46499999999997</v>
      </c>
      <c r="G38" s="73">
        <v>1213.604</v>
      </c>
      <c r="H38" s="73">
        <v>1998.0820000000001</v>
      </c>
      <c r="I38" s="73">
        <v>2693.6570000000002</v>
      </c>
      <c r="J38" s="73">
        <v>2550.06</v>
      </c>
      <c r="K38" s="73">
        <v>2032.5229999999999</v>
      </c>
      <c r="L38" s="73">
        <v>2311.623</v>
      </c>
    </row>
    <row r="39" spans="1:17" s="85" customFormat="1" x14ac:dyDescent="0.45">
      <c r="A39" s="73"/>
      <c r="B39" s="84" t="s">
        <v>287</v>
      </c>
      <c r="C39" s="83">
        <v>32067.747000000003</v>
      </c>
      <c r="D39" s="83">
        <v>33670.612000000001</v>
      </c>
      <c r="E39" s="83">
        <v>32610.757000000001</v>
      </c>
      <c r="F39" s="83">
        <v>45910.699000000001</v>
      </c>
      <c r="G39" s="83">
        <v>106852.088</v>
      </c>
      <c r="H39" s="83">
        <v>97318.176999999996</v>
      </c>
      <c r="I39" s="83">
        <v>96977.607000000004</v>
      </c>
      <c r="J39" s="83">
        <v>95822.137000000002</v>
      </c>
      <c r="K39" s="83">
        <v>91283.466</v>
      </c>
      <c r="L39" s="83">
        <v>92810.714999999997</v>
      </c>
      <c r="M39" s="83"/>
      <c r="N39" s="83"/>
      <c r="O39" s="83"/>
      <c r="P39" s="83"/>
      <c r="Q39" s="83"/>
    </row>
    <row r="41" spans="1:17" x14ac:dyDescent="0.45">
      <c r="A41" s="73" t="s">
        <v>14</v>
      </c>
      <c r="B41" s="76" t="s">
        <v>416</v>
      </c>
    </row>
    <row r="42" spans="1:17" x14ac:dyDescent="0.45">
      <c r="C42" s="78"/>
      <c r="D42" s="78"/>
      <c r="E42" s="78"/>
      <c r="F42" s="78"/>
      <c r="G42" s="78"/>
      <c r="H42" s="78"/>
      <c r="I42" s="78"/>
      <c r="J42" s="78"/>
      <c r="K42" s="78"/>
      <c r="L42" s="78"/>
      <c r="M42" s="78"/>
      <c r="N42" s="78"/>
      <c r="O42" s="78"/>
      <c r="P42" s="78"/>
      <c r="Q42" s="78"/>
    </row>
    <row r="43" spans="1:17" x14ac:dyDescent="0.45">
      <c r="B43" s="79" t="s">
        <v>298</v>
      </c>
      <c r="C43" s="73">
        <v>765.33900000000006</v>
      </c>
      <c r="D43" s="73">
        <v>1917.1780000000001</v>
      </c>
      <c r="E43" s="73">
        <v>1035.1310000000001</v>
      </c>
      <c r="F43" s="73">
        <v>961.19</v>
      </c>
      <c r="G43" s="73">
        <v>5015.6589999999997</v>
      </c>
      <c r="H43" s="73">
        <v>2253.3110000000001</v>
      </c>
      <c r="I43" s="73">
        <v>938.85299999999995</v>
      </c>
      <c r="J43" s="73">
        <v>2639.6469999999999</v>
      </c>
      <c r="K43" s="73">
        <v>2376.5500000000002</v>
      </c>
      <c r="L43" s="73">
        <v>832.25800000000004</v>
      </c>
    </row>
    <row r="44" spans="1:17" x14ac:dyDescent="0.45">
      <c r="B44" s="79" t="s">
        <v>296</v>
      </c>
      <c r="C44" s="73">
        <v>1304.33</v>
      </c>
      <c r="D44" s="73">
        <v>1884.5640000000001</v>
      </c>
      <c r="E44" s="73">
        <v>1652.1579999999999</v>
      </c>
      <c r="F44" s="73">
        <v>1979.1389999999999</v>
      </c>
      <c r="G44" s="73">
        <v>2458.973</v>
      </c>
      <c r="H44" s="73">
        <v>2589.9839999999999</v>
      </c>
      <c r="I44" s="73">
        <v>2681.973</v>
      </c>
      <c r="J44" s="73">
        <v>2704.145</v>
      </c>
      <c r="K44" s="73">
        <v>3104.1889999999999</v>
      </c>
      <c r="L44" s="73">
        <v>2827.1770000000001</v>
      </c>
    </row>
    <row r="45" spans="1:17" x14ac:dyDescent="0.45">
      <c r="B45" s="79" t="s">
        <v>297</v>
      </c>
      <c r="C45" s="73">
        <v>0</v>
      </c>
      <c r="D45" s="73">
        <v>0</v>
      </c>
      <c r="E45" s="73">
        <v>0</v>
      </c>
      <c r="F45" s="73">
        <v>0</v>
      </c>
      <c r="G45" s="73">
        <v>0</v>
      </c>
      <c r="H45" s="73">
        <v>0</v>
      </c>
      <c r="I45" s="73">
        <v>0</v>
      </c>
      <c r="J45" s="73">
        <v>0</v>
      </c>
      <c r="K45" s="73">
        <v>0</v>
      </c>
      <c r="L45" s="73">
        <v>0</v>
      </c>
    </row>
    <row r="46" spans="1:17" x14ac:dyDescent="0.45">
      <c r="B46" s="79" t="s">
        <v>292</v>
      </c>
      <c r="C46" s="73">
        <v>5457.2530000000006</v>
      </c>
      <c r="D46" s="73">
        <v>6675.5819999999994</v>
      </c>
      <c r="E46" s="73">
        <v>8037.6379999999999</v>
      </c>
      <c r="F46" s="73">
        <v>21051.11</v>
      </c>
      <c r="G46" s="73">
        <v>42459.060999999994</v>
      </c>
      <c r="H46" s="73">
        <v>40651.841999999997</v>
      </c>
      <c r="I46" s="73">
        <v>33615.762999999999</v>
      </c>
      <c r="J46" s="73">
        <v>32293.120000000003</v>
      </c>
      <c r="K46" s="73">
        <v>31929.392</v>
      </c>
      <c r="L46" s="73">
        <v>33410.845000000001</v>
      </c>
    </row>
    <row r="47" spans="1:17" ht="28.5" x14ac:dyDescent="0.45">
      <c r="B47" s="80" t="s">
        <v>294</v>
      </c>
      <c r="C47" s="73">
        <v>7001.9380000000001</v>
      </c>
      <c r="D47" s="73">
        <v>5639.1419999999998</v>
      </c>
      <c r="E47" s="73">
        <v>5245.7640000000001</v>
      </c>
      <c r="F47" s="73">
        <v>4817.7539999999999</v>
      </c>
      <c r="G47" s="73">
        <v>11247.708999999999</v>
      </c>
      <c r="H47" s="73">
        <v>10512.036</v>
      </c>
      <c r="I47" s="73">
        <v>14756.261</v>
      </c>
      <c r="J47" s="73">
        <v>11602.238000000001</v>
      </c>
      <c r="K47" s="73">
        <v>9745.1730000000007</v>
      </c>
      <c r="L47" s="73">
        <v>9928.3119999999999</v>
      </c>
    </row>
    <row r="48" spans="1:17" x14ac:dyDescent="0.45">
      <c r="B48" s="79" t="s">
        <v>293</v>
      </c>
      <c r="C48" s="73">
        <v>988.91700000000003</v>
      </c>
      <c r="D48" s="73">
        <v>935.12900000000002</v>
      </c>
      <c r="E48" s="73">
        <v>861.096</v>
      </c>
      <c r="F48" s="73">
        <v>841.31100000000004</v>
      </c>
      <c r="G48" s="73">
        <v>5687.9960000000001</v>
      </c>
      <c r="H48" s="73">
        <v>4562.2120000000004</v>
      </c>
      <c r="I48" s="73">
        <v>4266.0379999999996</v>
      </c>
      <c r="J48" s="73">
        <v>2757.8719999999998</v>
      </c>
      <c r="K48" s="73">
        <v>853.83100000000002</v>
      </c>
      <c r="L48" s="73">
        <v>231.43</v>
      </c>
    </row>
    <row r="49" spans="1:17" x14ac:dyDescent="0.45">
      <c r="B49" s="79" t="s">
        <v>289</v>
      </c>
      <c r="C49" s="73">
        <v>16063.895</v>
      </c>
      <c r="D49" s="73">
        <v>16108.288</v>
      </c>
      <c r="E49" s="73">
        <v>15629.631000000001</v>
      </c>
      <c r="F49" s="73">
        <v>16229.185000000001</v>
      </c>
      <c r="G49" s="73">
        <v>39948.686000000002</v>
      </c>
      <c r="H49" s="73">
        <v>36716.51200000001</v>
      </c>
      <c r="I49" s="73">
        <v>40714.955000000002</v>
      </c>
      <c r="J49" s="73">
        <v>43821.423999999999</v>
      </c>
      <c r="K49" s="73">
        <v>43270.013999999996</v>
      </c>
      <c r="L49" s="73">
        <v>45575.059000000001</v>
      </c>
    </row>
    <row r="50" spans="1:17" x14ac:dyDescent="0.45">
      <c r="B50" s="79" t="s">
        <v>291</v>
      </c>
      <c r="C50" s="73">
        <v>486.07400000000001</v>
      </c>
      <c r="D50" s="73">
        <v>510.72899999999998</v>
      </c>
      <c r="E50" s="73">
        <v>149.34</v>
      </c>
      <c r="F50" s="73">
        <v>31.015000000000001</v>
      </c>
      <c r="G50" s="73">
        <v>34.003</v>
      </c>
      <c r="H50" s="73">
        <v>32.277999999999999</v>
      </c>
      <c r="I50" s="73">
        <v>3.7650000000000001</v>
      </c>
      <c r="J50" s="73">
        <v>3.69</v>
      </c>
      <c r="K50" s="73">
        <v>4.319</v>
      </c>
      <c r="L50" s="73">
        <v>5.6340000000000003</v>
      </c>
    </row>
    <row r="51" spans="1:17" x14ac:dyDescent="0.45">
      <c r="B51" s="79" t="s">
        <v>290</v>
      </c>
      <c r="C51" s="73">
        <v>0</v>
      </c>
      <c r="D51" s="73">
        <v>0</v>
      </c>
      <c r="E51" s="73">
        <v>0</v>
      </c>
      <c r="F51" s="73">
        <v>0</v>
      </c>
      <c r="G51" s="73">
        <v>0</v>
      </c>
      <c r="H51" s="73">
        <v>0</v>
      </c>
      <c r="I51" s="73">
        <v>0</v>
      </c>
      <c r="J51" s="73">
        <v>0</v>
      </c>
      <c r="K51" s="73">
        <v>0</v>
      </c>
      <c r="L51" s="73">
        <v>0</v>
      </c>
    </row>
    <row r="52" spans="1:17" s="85" customFormat="1" x14ac:dyDescent="0.45">
      <c r="A52" s="73"/>
      <c r="B52" s="84" t="s">
        <v>300</v>
      </c>
      <c r="C52" s="83">
        <v>32067.745999999999</v>
      </c>
      <c r="D52" s="83">
        <v>33670.612000000001</v>
      </c>
      <c r="E52" s="83">
        <v>32610.758000000002</v>
      </c>
      <c r="F52" s="83">
        <v>45910.703999999998</v>
      </c>
      <c r="G52" s="83">
        <v>106852.08699999998</v>
      </c>
      <c r="H52" s="83">
        <v>97318.175000000003</v>
      </c>
      <c r="I52" s="83">
        <v>96977.607999999993</v>
      </c>
      <c r="J52" s="83">
        <v>95822.136000000013</v>
      </c>
      <c r="K52" s="83">
        <v>91283.468000000008</v>
      </c>
      <c r="L52" s="83">
        <v>92810.715000000011</v>
      </c>
      <c r="M52" s="83"/>
      <c r="N52" s="83"/>
      <c r="O52" s="83"/>
      <c r="P52" s="83"/>
      <c r="Q52" s="83"/>
    </row>
    <row r="54" spans="1:17" x14ac:dyDescent="0.45">
      <c r="A54" s="73" t="s">
        <v>14</v>
      </c>
      <c r="B54" s="76" t="s">
        <v>302</v>
      </c>
    </row>
    <row r="55" spans="1:17" x14ac:dyDescent="0.45">
      <c r="C55" s="78"/>
      <c r="D55" s="78"/>
      <c r="E55" s="78"/>
      <c r="F55" s="78"/>
      <c r="G55" s="78"/>
      <c r="H55" s="78"/>
      <c r="I55" s="78"/>
      <c r="J55" s="78"/>
      <c r="K55" s="78"/>
      <c r="L55" s="78"/>
      <c r="M55" s="78"/>
      <c r="N55" s="78"/>
      <c r="O55" s="78"/>
      <c r="P55" s="78"/>
      <c r="Q55" s="78"/>
    </row>
    <row r="56" spans="1:17" x14ac:dyDescent="0.45">
      <c r="B56" s="79" t="s">
        <v>303</v>
      </c>
      <c r="C56" s="73">
        <v>-1323.4739999999999</v>
      </c>
      <c r="D56" s="73">
        <v>1383.1380000000001</v>
      </c>
      <c r="E56" s="73">
        <v>1902.2489999999998</v>
      </c>
      <c r="F56" s="73">
        <v>1060.1369999999999</v>
      </c>
      <c r="G56" s="73">
        <v>618.35900000000004</v>
      </c>
      <c r="H56" s="73">
        <v>2422.2499999999995</v>
      </c>
      <c r="I56" s="73">
        <v>4630.8630000000003</v>
      </c>
      <c r="J56" s="73">
        <v>2625.3069999999998</v>
      </c>
      <c r="K56" s="73">
        <v>2072.3809999999994</v>
      </c>
      <c r="L56" s="73">
        <v>1981.6480000000001</v>
      </c>
    </row>
    <row r="57" spans="1:17" ht="42.75" x14ac:dyDescent="0.45">
      <c r="B57" s="79" t="s">
        <v>417</v>
      </c>
      <c r="C57" s="73">
        <v>0</v>
      </c>
      <c r="D57" s="73">
        <v>0</v>
      </c>
      <c r="E57" s="73">
        <v>0</v>
      </c>
      <c r="F57" s="73">
        <v>0</v>
      </c>
      <c r="G57" s="73">
        <v>0</v>
      </c>
      <c r="H57" s="73">
        <v>0</v>
      </c>
      <c r="I57" s="73">
        <v>0</v>
      </c>
      <c r="J57" s="73">
        <v>0</v>
      </c>
      <c r="K57" s="73">
        <v>0</v>
      </c>
      <c r="L57" s="73">
        <v>0</v>
      </c>
    </row>
    <row r="58" spans="1:17" x14ac:dyDescent="0.45">
      <c r="B58" s="79" t="s">
        <v>305</v>
      </c>
      <c r="C58" s="73">
        <v>-95.317999999999998</v>
      </c>
      <c r="D58" s="73">
        <v>-88.179000000000002</v>
      </c>
      <c r="E58" s="73">
        <v>-1699.2069999999999</v>
      </c>
      <c r="F58" s="73">
        <v>264.90599999999995</v>
      </c>
      <c r="G58" s="73">
        <v>-629.52199999999993</v>
      </c>
      <c r="H58" s="73">
        <v>-339.62400000000002</v>
      </c>
      <c r="I58" s="73">
        <v>-1181.258</v>
      </c>
      <c r="J58" s="73">
        <v>62.388999999999996</v>
      </c>
      <c r="K58" s="73">
        <v>73.052000000000007</v>
      </c>
      <c r="L58" s="73">
        <v>18.629999999999995</v>
      </c>
    </row>
    <row r="59" spans="1:17" x14ac:dyDescent="0.45">
      <c r="B59" s="79" t="s">
        <v>306</v>
      </c>
      <c r="C59" s="73">
        <v>1375.796</v>
      </c>
      <c r="D59" s="73">
        <v>1883.9880000000001</v>
      </c>
      <c r="E59" s="73">
        <v>2281.473</v>
      </c>
      <c r="F59" s="73">
        <v>1313.1100000000004</v>
      </c>
      <c r="G59" s="73">
        <v>4503.9780000000001</v>
      </c>
      <c r="H59" s="73">
        <v>4365.9329999999991</v>
      </c>
      <c r="I59" s="73">
        <v>5098.1629999999996</v>
      </c>
      <c r="J59" s="73">
        <v>5556.9090000000006</v>
      </c>
      <c r="K59" s="73">
        <v>4709.6980000000012</v>
      </c>
      <c r="L59" s="73">
        <v>5530.2740000000003</v>
      </c>
    </row>
    <row r="60" spans="1:17" x14ac:dyDescent="0.45">
      <c r="B60" s="79" t="s">
        <v>304</v>
      </c>
      <c r="C60" s="73">
        <v>516.83500000000004</v>
      </c>
      <c r="D60" s="73">
        <v>-329.983</v>
      </c>
      <c r="E60" s="73">
        <v>-270.89800000000002</v>
      </c>
      <c r="F60" s="73">
        <v>-209.65299999999999</v>
      </c>
      <c r="G60" s="73">
        <v>313.21600000000001</v>
      </c>
      <c r="H60" s="73">
        <v>509.16800000000001</v>
      </c>
      <c r="I60" s="73">
        <v>-375.97</v>
      </c>
      <c r="J60" s="73">
        <v>10.15</v>
      </c>
      <c r="K60" s="73">
        <v>198.501</v>
      </c>
      <c r="L60" s="73">
        <v>-162.56700000000001</v>
      </c>
    </row>
    <row r="61" spans="1:17" x14ac:dyDescent="0.45">
      <c r="B61" s="79" t="s">
        <v>310</v>
      </c>
      <c r="C61" s="73">
        <v>59.048000000000002</v>
      </c>
      <c r="D61" s="73">
        <v>69.13</v>
      </c>
      <c r="E61" s="73">
        <v>51.082000000000001</v>
      </c>
      <c r="F61" s="73">
        <v>78.888999999999996</v>
      </c>
      <c r="G61" s="73">
        <v>264.84899999999999</v>
      </c>
      <c r="H61" s="73">
        <v>313.40699999999998</v>
      </c>
      <c r="I61" s="73">
        <v>0</v>
      </c>
      <c r="J61" s="73">
        <v>122.93600000000001</v>
      </c>
      <c r="K61" s="73">
        <v>0</v>
      </c>
      <c r="L61" s="73">
        <v>0</v>
      </c>
    </row>
    <row r="62" spans="1:17" x14ac:dyDescent="0.45">
      <c r="B62" s="79" t="s">
        <v>311</v>
      </c>
      <c r="C62" s="73">
        <v>0</v>
      </c>
      <c r="D62" s="73">
        <v>0</v>
      </c>
      <c r="E62" s="73">
        <v>0</v>
      </c>
      <c r="F62" s="73">
        <v>0</v>
      </c>
      <c r="G62" s="73">
        <v>0</v>
      </c>
      <c r="H62" s="73">
        <v>0</v>
      </c>
      <c r="I62" s="73">
        <v>0</v>
      </c>
      <c r="J62" s="73">
        <v>0</v>
      </c>
      <c r="K62" s="73">
        <v>0</v>
      </c>
      <c r="L62" s="73">
        <v>0</v>
      </c>
    </row>
    <row r="63" spans="1:17" ht="28.5" x14ac:dyDescent="0.45">
      <c r="B63" s="79" t="s">
        <v>308</v>
      </c>
      <c r="C63" s="73">
        <v>1047.847</v>
      </c>
      <c r="D63" s="73">
        <v>-2962.5340000000001</v>
      </c>
      <c r="E63" s="73">
        <v>910.55600000000004</v>
      </c>
      <c r="F63" s="73">
        <v>158.82</v>
      </c>
      <c r="G63" s="73">
        <v>949.29600000000016</v>
      </c>
      <c r="H63" s="73">
        <v>1022.968</v>
      </c>
      <c r="I63" s="73">
        <v>1551.6589999999999</v>
      </c>
      <c r="J63" s="73">
        <v>72.75</v>
      </c>
      <c r="K63" s="73">
        <v>-1134.241</v>
      </c>
      <c r="L63" s="73">
        <v>-17.525000000000006</v>
      </c>
    </row>
    <row r="64" spans="1:17" ht="28.5" x14ac:dyDescent="0.45">
      <c r="B64" s="79" t="s">
        <v>312</v>
      </c>
      <c r="C64" s="73">
        <v>-829.52300000000002</v>
      </c>
      <c r="D64" s="73">
        <v>-99.786999999999921</v>
      </c>
      <c r="E64" s="73">
        <v>-4756.8900000000003</v>
      </c>
      <c r="F64" s="73">
        <v>-13211.190999999999</v>
      </c>
      <c r="G64" s="73">
        <v>-7915.9630000000052</v>
      </c>
      <c r="H64" s="73">
        <v>1120.6399999999999</v>
      </c>
      <c r="I64" s="73">
        <v>930.81000000000017</v>
      </c>
      <c r="J64" s="73">
        <v>-1409.3529999999998</v>
      </c>
      <c r="K64" s="73">
        <v>-5545.473</v>
      </c>
      <c r="L64" s="73">
        <v>-2497.4720000000002</v>
      </c>
    </row>
    <row r="65" spans="2:17" x14ac:dyDescent="0.45">
      <c r="B65" s="84" t="s">
        <v>111</v>
      </c>
      <c r="C65" s="83">
        <v>751.21100000000013</v>
      </c>
      <c r="D65" s="83">
        <v>-144.22699999999998</v>
      </c>
      <c r="E65" s="83">
        <v>-1581.6350000000007</v>
      </c>
      <c r="F65" s="83">
        <v>-10544.981999999998</v>
      </c>
      <c r="G65" s="83">
        <v>-1895.7870000000039</v>
      </c>
      <c r="H65" s="83">
        <v>9414.7419999999984</v>
      </c>
      <c r="I65" s="83">
        <v>10654.267</v>
      </c>
      <c r="J65" s="83">
        <v>7041.0879999999988</v>
      </c>
      <c r="K65" s="83">
        <v>373.91800000000148</v>
      </c>
      <c r="L65" s="83">
        <v>4852.9880000000012</v>
      </c>
      <c r="M65" s="76"/>
      <c r="N65" s="76"/>
      <c r="O65" s="76"/>
      <c r="P65" s="76"/>
      <c r="Q65" s="76"/>
    </row>
    <row r="66" spans="2:17" x14ac:dyDescent="0.45">
      <c r="C66" s="78"/>
      <c r="D66" s="78"/>
      <c r="E66" s="78"/>
      <c r="F66" s="78"/>
      <c r="G66" s="78"/>
      <c r="H66" s="78"/>
      <c r="I66" s="78"/>
      <c r="J66" s="78"/>
      <c r="K66" s="78"/>
      <c r="L66" s="78"/>
      <c r="M66" s="78"/>
      <c r="N66" s="78"/>
      <c r="O66" s="78"/>
      <c r="P66" s="78"/>
      <c r="Q66" s="78"/>
    </row>
    <row r="67" spans="2:17" x14ac:dyDescent="0.45">
      <c r="B67" s="79" t="s">
        <v>315</v>
      </c>
      <c r="C67" s="73">
        <v>-960.9079999999999</v>
      </c>
      <c r="D67" s="73">
        <v>1953.1849999999997</v>
      </c>
      <c r="E67" s="73">
        <v>2989.3590000000004</v>
      </c>
      <c r="F67" s="73">
        <v>10785.721</v>
      </c>
      <c r="G67" s="73">
        <v>7853.4240000000009</v>
      </c>
      <c r="H67" s="73">
        <v>-4739.5010000000011</v>
      </c>
      <c r="I67" s="73">
        <v>-6641.88</v>
      </c>
      <c r="J67" s="73">
        <v>-4460.5540000000001</v>
      </c>
      <c r="K67" s="73">
        <v>-79.045999999999765</v>
      </c>
      <c r="L67" s="73">
        <v>-1246.6389999999999</v>
      </c>
    </row>
    <row r="68" spans="2:17" x14ac:dyDescent="0.45">
      <c r="B68" s="79" t="s">
        <v>314</v>
      </c>
      <c r="C68" s="73">
        <v>-64.463999999999999</v>
      </c>
      <c r="D68" s="73">
        <v>-23.69</v>
      </c>
      <c r="E68" s="73">
        <v>-197.09399999999999</v>
      </c>
      <c r="F68" s="73">
        <v>-82.058000000000007</v>
      </c>
      <c r="G68" s="73">
        <v>-1087.617</v>
      </c>
      <c r="H68" s="73">
        <v>-1761.269</v>
      </c>
      <c r="I68" s="73">
        <v>-877.2</v>
      </c>
      <c r="J68" s="73">
        <v>-766.59500000000003</v>
      </c>
      <c r="K68" s="73">
        <v>-1095.5419999999999</v>
      </c>
      <c r="L68" s="73">
        <v>-548.15</v>
      </c>
    </row>
    <row r="69" spans="2:17" x14ac:dyDescent="0.45">
      <c r="B69" s="79" t="s">
        <v>317</v>
      </c>
      <c r="C69" s="73">
        <v>-1067.75</v>
      </c>
      <c r="D69" s="73">
        <v>-1181.6569999999999</v>
      </c>
      <c r="E69" s="73">
        <v>0</v>
      </c>
      <c r="F69" s="73">
        <v>-1092.0609999999999</v>
      </c>
      <c r="G69" s="73">
        <v>-2306.819</v>
      </c>
      <c r="H69" s="73">
        <v>-2324.3560000000002</v>
      </c>
      <c r="I69" s="73">
        <v>-2169.83</v>
      </c>
      <c r="J69" s="73">
        <v>-2028.896</v>
      </c>
      <c r="K69" s="73">
        <v>-1902.51</v>
      </c>
      <c r="L69" s="73">
        <v>-1844.021</v>
      </c>
    </row>
    <row r="70" spans="2:17" x14ac:dyDescent="0.45">
      <c r="B70" s="79" t="s">
        <v>418</v>
      </c>
      <c r="C70" s="73">
        <v>-166.53</v>
      </c>
      <c r="D70" s="73">
        <v>-192.61500000000001</v>
      </c>
      <c r="E70" s="73">
        <v>-148.32</v>
      </c>
      <c r="F70" s="73">
        <v>-9.0250000000000004</v>
      </c>
      <c r="G70" s="73">
        <v>-30.597000000000001</v>
      </c>
      <c r="H70" s="73">
        <v>-17.658000000000001</v>
      </c>
      <c r="I70" s="73">
        <v>-404.70100000000002</v>
      </c>
      <c r="J70" s="73">
        <v>-376.71699999999998</v>
      </c>
      <c r="K70" s="73">
        <v>-15.34</v>
      </c>
      <c r="L70" s="73">
        <v>-11.496</v>
      </c>
    </row>
    <row r="71" spans="2:17" x14ac:dyDescent="0.45">
      <c r="B71" s="86" t="s">
        <v>319</v>
      </c>
      <c r="C71" s="73">
        <v>-134.48500000000001</v>
      </c>
      <c r="D71" s="73">
        <v>-425.86199999999997</v>
      </c>
      <c r="E71" s="73">
        <v>188.267</v>
      </c>
      <c r="F71" s="73">
        <v>13.591000000000008</v>
      </c>
      <c r="G71" s="73">
        <v>-317.71600000000001</v>
      </c>
      <c r="H71" s="73">
        <v>-160.84700000000001</v>
      </c>
      <c r="I71" s="73">
        <v>260.709</v>
      </c>
      <c r="J71" s="73">
        <v>307.26799999999997</v>
      </c>
      <c r="K71" s="73">
        <v>101.773</v>
      </c>
      <c r="L71" s="73">
        <v>54.210999999999999</v>
      </c>
    </row>
    <row r="72" spans="2:17" x14ac:dyDescent="0.45">
      <c r="B72" s="84" t="s">
        <v>419</v>
      </c>
      <c r="C72" s="83">
        <v>-1642.9259999999999</v>
      </c>
      <c r="D72" s="83">
        <v>-14.866000000000327</v>
      </c>
      <c r="E72" s="83">
        <v>1250.5769999999998</v>
      </c>
      <c r="F72" s="83">
        <v>-928.81399999999849</v>
      </c>
      <c r="G72" s="83">
        <v>2214.8879999999967</v>
      </c>
      <c r="H72" s="83">
        <v>411.11099999999681</v>
      </c>
      <c r="I72" s="83">
        <v>821.36500000000001</v>
      </c>
      <c r="J72" s="83">
        <v>-284.40600000000126</v>
      </c>
      <c r="K72" s="83">
        <v>-2616.7469999999985</v>
      </c>
      <c r="L72" s="83">
        <v>1256.8930000000009</v>
      </c>
      <c r="M72" s="76"/>
      <c r="N72" s="76"/>
      <c r="O72" s="76"/>
      <c r="P72" s="76"/>
      <c r="Q72" s="76"/>
    </row>
    <row r="73" spans="2:17" x14ac:dyDescent="0.45">
      <c r="B73" s="87"/>
      <c r="C73" s="87"/>
      <c r="D73" s="87"/>
      <c r="E73" s="87"/>
      <c r="F73" s="87"/>
      <c r="G73" s="87"/>
      <c r="H73" s="87"/>
      <c r="I73" s="87"/>
      <c r="J73" s="87"/>
      <c r="K73" s="87"/>
    </row>
  </sheetData>
  <dataValidations count="5">
    <dataValidation type="list" allowBlank="1" showInputMessage="1" showErrorMessage="1" sqref="B13" xr:uid="{5935DF8C-4F11-433D-B63F-0E639241D2D2}">
      <formula1>B$242:B$259</formula1>
    </dataValidation>
    <dataValidation type="list" allowBlank="1" showInputMessage="1" showErrorMessage="1" sqref="B10" xr:uid="{1416E3F4-2907-4C2D-BE17-18B0FD8264E5}">
      <formula1>B$245:B$262</formula1>
    </dataValidation>
    <dataValidation type="list" allowBlank="1" showInputMessage="1" showErrorMessage="1" sqref="B5" xr:uid="{D7C63786-CF41-4893-88EA-F79E7423590F}">
      <formula1>B$248:B$265</formula1>
    </dataValidation>
    <dataValidation type="list" allowBlank="1" showInputMessage="1" showErrorMessage="1" sqref="D27:F27" xr:uid="{88C8F359-530A-4924-BE27-23F11559551A}">
      <formula1>D$225:D$241</formula1>
    </dataValidation>
    <dataValidation type="list" allowBlank="1" showInputMessage="1" showErrorMessage="1" sqref="B47" xr:uid="{C46E1C95-F86F-4144-BEF4-B584BACCB1AB}">
      <formula1>$B$250:$B$273</formula1>
    </dataValidation>
  </dataValidations>
  <pageMargins left="0.7" right="0.7" top="0.75" bottom="0.75" header="0.3" footer="0.3"/>
  <pageSetup paperSize="9"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87CCF-447C-4467-ACF7-E77C83872792}">
  <sheetPr>
    <tabColor theme="3" tint="0.59999389629810485"/>
  </sheetPr>
  <dimension ref="A1"/>
  <sheetViews>
    <sheetView workbookViewId="0"/>
  </sheetViews>
  <sheetFormatPr defaultColWidth="8.6640625" defaultRowHeight="12.75" x14ac:dyDescent="0.3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3F333-AE00-4453-829C-12D3D6DF0A2C}">
  <dimension ref="A2:S303"/>
  <sheetViews>
    <sheetView showGridLines="0" topLeftCell="A156" workbookViewId="0">
      <selection activeCell="B125" sqref="B125:D137"/>
    </sheetView>
  </sheetViews>
  <sheetFormatPr defaultColWidth="9.1328125" defaultRowHeight="15" customHeight="1" x14ac:dyDescent="0.45"/>
  <cols>
    <col min="1" max="1" width="3.46484375" style="1" customWidth="1"/>
    <col min="2" max="2" width="34.46484375" style="1" customWidth="1"/>
    <col min="3" max="3" width="3.46484375" style="1" customWidth="1"/>
    <col min="4" max="4" width="42" style="467" customWidth="1"/>
    <col min="5" max="11" width="10.6640625" style="24" bestFit="1" customWidth="1"/>
    <col min="12" max="13" width="10.6640625" style="24" customWidth="1"/>
    <col min="14" max="17" width="10.6640625" style="24" bestFit="1" customWidth="1"/>
    <col min="18" max="19" width="10.1328125" style="24" bestFit="1" customWidth="1"/>
    <col min="20" max="16384" width="9.1328125" style="24"/>
  </cols>
  <sheetData>
    <row r="2" spans="1:19" ht="15" customHeight="1" x14ac:dyDescent="0.45">
      <c r="B2" s="495" t="s">
        <v>420</v>
      </c>
      <c r="C2" s="494"/>
      <c r="D2" s="493">
        <f>SUM(F117:M117)</f>
        <v>0</v>
      </c>
    </row>
    <row r="3" spans="1:19" s="1" customFormat="1" ht="15" customHeight="1" x14ac:dyDescent="0.45">
      <c r="D3" s="467"/>
    </row>
    <row r="4" spans="1:19" s="1" customFormat="1" ht="15" customHeight="1" x14ac:dyDescent="0.45">
      <c r="B4" s="1" t="s">
        <v>421</v>
      </c>
      <c r="D4" s="467" t="s">
        <v>422</v>
      </c>
    </row>
    <row r="5" spans="1:19" s="1" customFormat="1" ht="15" customHeight="1" x14ac:dyDescent="0.45">
      <c r="B5" s="1" t="s">
        <v>423</v>
      </c>
      <c r="D5" s="492">
        <v>1000</v>
      </c>
    </row>
    <row r="6" spans="1:19" s="1" customFormat="1" ht="15" customHeight="1" x14ac:dyDescent="0.45">
      <c r="D6" s="467"/>
      <c r="E6" s="21">
        <v>2015</v>
      </c>
      <c r="F6" s="21">
        <f t="shared" ref="F6:S6" si="0">E6+1</f>
        <v>2016</v>
      </c>
      <c r="G6" s="21">
        <f t="shared" si="0"/>
        <v>2017</v>
      </c>
      <c r="H6" s="21">
        <f t="shared" si="0"/>
        <v>2018</v>
      </c>
      <c r="I6" s="21">
        <f t="shared" si="0"/>
        <v>2019</v>
      </c>
      <c r="J6" s="21">
        <f t="shared" si="0"/>
        <v>2020</v>
      </c>
      <c r="K6" s="21">
        <f t="shared" si="0"/>
        <v>2021</v>
      </c>
      <c r="L6" s="21">
        <f t="shared" si="0"/>
        <v>2022</v>
      </c>
      <c r="M6" s="21">
        <f t="shared" si="0"/>
        <v>2023</v>
      </c>
      <c r="N6" s="22">
        <f t="shared" si="0"/>
        <v>2024</v>
      </c>
      <c r="O6" s="22">
        <f t="shared" si="0"/>
        <v>2025</v>
      </c>
      <c r="P6" s="22">
        <f t="shared" si="0"/>
        <v>2026</v>
      </c>
      <c r="Q6" s="22">
        <f t="shared" si="0"/>
        <v>2027</v>
      </c>
      <c r="R6" s="22">
        <f t="shared" si="0"/>
        <v>2028</v>
      </c>
      <c r="S6" s="22">
        <f t="shared" si="0"/>
        <v>2029</v>
      </c>
    </row>
    <row r="7" spans="1:19" s="1" customFormat="1" ht="15" customHeight="1" x14ac:dyDescent="0.45">
      <c r="B7" s="3" t="s">
        <v>405</v>
      </c>
      <c r="C7" s="3"/>
      <c r="D7" s="485" t="s">
        <v>424</v>
      </c>
    </row>
    <row r="8" spans="1:19" ht="15" customHeight="1" x14ac:dyDescent="0.45">
      <c r="B8" s="2"/>
      <c r="D8" s="485"/>
      <c r="E8" s="23"/>
      <c r="F8" s="23"/>
      <c r="G8" s="23"/>
      <c r="H8" s="23"/>
      <c r="I8" s="23"/>
      <c r="J8" s="23"/>
      <c r="K8" s="23"/>
      <c r="L8" s="23"/>
      <c r="M8" s="23"/>
      <c r="N8" s="23"/>
      <c r="O8" s="23"/>
      <c r="P8" s="23"/>
      <c r="Q8" s="23"/>
      <c r="R8" s="23"/>
      <c r="S8" s="23"/>
    </row>
    <row r="9" spans="1:19" ht="15" customHeight="1" x14ac:dyDescent="0.45">
      <c r="B9" s="2" t="s">
        <v>406</v>
      </c>
      <c r="D9" s="492" t="s">
        <v>425</v>
      </c>
      <c r="E9" s="23"/>
      <c r="F9" s="23"/>
      <c r="G9" s="25">
        <f>IF('BionTech as reported'!C17="NA",0,'BionTech as reported'!C17)/$D$5</f>
        <v>0</v>
      </c>
      <c r="H9" s="25">
        <f>IF('BionTech as reported'!D17="NA",0,'BionTech as reported'!D17)/$D$5</f>
        <v>101.837</v>
      </c>
      <c r="I9" s="25">
        <f>IF('BionTech as reported'!E17="NA",0,'BionTech as reported'!E17)</f>
        <v>84.4</v>
      </c>
      <c r="J9" s="25">
        <f>IF('BionTech as reported'!F17="NA",0,'BionTech as reported'!F17)</f>
        <v>178.8</v>
      </c>
      <c r="K9" s="25">
        <f>IF('BionTech as reported'!G17="NA",0,'BionTech as reported'!G17)</f>
        <v>102.7</v>
      </c>
      <c r="L9" s="25">
        <f>IF('BionTech as reported'!H17="NA",0,'BionTech as reported'!H17)</f>
        <v>116</v>
      </c>
      <c r="M9" s="25">
        <f>IF('BionTech as reported'!I17="NA",0,'BionTech as reported'!I17)</f>
        <v>3.5</v>
      </c>
      <c r="N9" s="23"/>
      <c r="O9" s="23"/>
      <c r="P9" s="23"/>
      <c r="Q9" s="23"/>
      <c r="R9" s="23"/>
      <c r="S9" s="23"/>
    </row>
    <row r="10" spans="1:19" ht="15" customHeight="1" x14ac:dyDescent="0.45">
      <c r="B10" s="2" t="s">
        <v>406</v>
      </c>
      <c r="D10" s="492" t="s">
        <v>426</v>
      </c>
      <c r="E10" s="23"/>
      <c r="F10" s="23"/>
      <c r="G10" s="25">
        <f>IF('BionTech as reported'!C18="NA",0,'BionTech as reported'!C18)/$D$5</f>
        <v>0</v>
      </c>
      <c r="H10" s="25">
        <f>IF('BionTech as reported'!D18="NA",0,'BionTech as reported'!D18)/$D$5</f>
        <v>25.738</v>
      </c>
      <c r="I10" s="25">
        <f>IF('BionTech as reported'!E18="NA",0,'BionTech as reported'!E18)</f>
        <v>24.2</v>
      </c>
      <c r="J10" s="25">
        <f>IF('BionTech as reported'!F18="NA",0,'BionTech as reported'!F18)</f>
        <v>303.5</v>
      </c>
      <c r="K10" s="25">
        <f>IF('BionTech as reported'!G18="NA",0,'BionTech as reported'!G18)</f>
        <v>18874</v>
      </c>
      <c r="L10" s="25">
        <f>IF('BionTech as reported'!H18="NA",0,'BionTech as reported'!H18)</f>
        <v>17194.599999999999</v>
      </c>
      <c r="M10" s="25">
        <f>IF('BionTech as reported'!I18="NA",0,'BionTech as reported'!I18)</f>
        <v>3815.5</v>
      </c>
      <c r="N10" s="23"/>
      <c r="O10" s="23"/>
      <c r="P10" s="23"/>
      <c r="Q10" s="23"/>
      <c r="R10" s="23"/>
      <c r="S10" s="23"/>
    </row>
    <row r="11" spans="1:19" ht="15" customHeight="1" x14ac:dyDescent="0.45">
      <c r="B11" s="2" t="s">
        <v>406</v>
      </c>
      <c r="D11" s="491" t="s">
        <v>427</v>
      </c>
      <c r="E11" s="25"/>
      <c r="F11" s="25"/>
      <c r="G11" s="25">
        <f>IF('BionTech as reported'!C19="NA",0,'BionTech as reported'!C19)/$D$5</f>
        <v>61.597999999999999</v>
      </c>
      <c r="H11" s="25">
        <f>IF('BionTech as reported'!D19="NA",0,'BionTech as reported'!D19)/$D$5</f>
        <v>0</v>
      </c>
      <c r="I11" s="25">
        <f>IF('BionTech as reported'!E19="NA",0,'BionTech as reported'!E19)</f>
        <v>0</v>
      </c>
      <c r="J11" s="25">
        <f>IF('BionTech as reported'!F19="NA",0,'BionTech as reported'!F19)</f>
        <v>0</v>
      </c>
      <c r="K11" s="25">
        <f>IF('BionTech as reported'!G19="NA",0,'BionTech as reported'!G19)</f>
        <v>0</v>
      </c>
      <c r="L11" s="25">
        <f>IF('BionTech as reported'!H19="NA",0,'BionTech as reported'!H19)</f>
        <v>0</v>
      </c>
      <c r="M11" s="25">
        <f>IF('BionTech as reported'!I19="NA",0,'BionTech as reported'!I19)</f>
        <v>0</v>
      </c>
      <c r="N11" s="25"/>
      <c r="O11" s="25"/>
      <c r="P11" s="25"/>
      <c r="Q11" s="25"/>
      <c r="R11" s="25"/>
      <c r="S11" s="25"/>
    </row>
    <row r="12" spans="1:19" s="26" customFormat="1" ht="15" customHeight="1" x14ac:dyDescent="0.45">
      <c r="A12" s="4"/>
      <c r="B12" s="2"/>
      <c r="C12" s="4"/>
      <c r="D12" s="479" t="s">
        <v>428</v>
      </c>
      <c r="E12" s="23"/>
      <c r="F12" s="23"/>
      <c r="G12" s="23">
        <f t="shared" ref="G12:M12" si="1">SUM(G9:G11)</f>
        <v>61.597999999999999</v>
      </c>
      <c r="H12" s="23">
        <f t="shared" si="1"/>
        <v>127.575</v>
      </c>
      <c r="I12" s="23">
        <f t="shared" si="1"/>
        <v>108.60000000000001</v>
      </c>
      <c r="J12" s="23">
        <f t="shared" si="1"/>
        <v>482.3</v>
      </c>
      <c r="K12" s="23">
        <f t="shared" si="1"/>
        <v>18976.7</v>
      </c>
      <c r="L12" s="23">
        <f t="shared" si="1"/>
        <v>17310.599999999999</v>
      </c>
      <c r="M12" s="23">
        <f t="shared" si="1"/>
        <v>3819</v>
      </c>
      <c r="N12" s="23"/>
      <c r="O12" s="23"/>
      <c r="P12" s="23"/>
      <c r="Q12" s="23"/>
      <c r="R12" s="23"/>
      <c r="S12" s="23"/>
    </row>
    <row r="13" spans="1:19" s="26" customFormat="1" ht="15" customHeight="1" x14ac:dyDescent="0.45">
      <c r="A13" s="4"/>
      <c r="B13" s="2"/>
      <c r="C13" s="4"/>
      <c r="D13" s="479"/>
      <c r="E13" s="23"/>
      <c r="F13" s="23"/>
      <c r="G13" s="23"/>
      <c r="H13" s="23"/>
      <c r="I13" s="23"/>
      <c r="J13" s="23"/>
      <c r="K13" s="23"/>
      <c r="L13" s="23"/>
      <c r="M13" s="23"/>
      <c r="N13" s="23"/>
      <c r="O13" s="23"/>
      <c r="P13" s="23"/>
      <c r="Q13" s="23"/>
      <c r="R13" s="23"/>
      <c r="S13" s="23"/>
    </row>
    <row r="14" spans="1:19" s="26" customFormat="1" ht="15" customHeight="1" x14ac:dyDescent="0.45">
      <c r="A14" s="4"/>
      <c r="B14" s="2" t="s">
        <v>267</v>
      </c>
      <c r="C14" s="4"/>
      <c r="D14" s="487" t="s">
        <v>429</v>
      </c>
      <c r="E14" s="23"/>
      <c r="F14" s="23"/>
      <c r="G14" s="25">
        <f>IF('BionTech as reported'!C22="NA",0,'BionTech as reported'!C22)/$D$5</f>
        <v>-9.3179999999999996</v>
      </c>
      <c r="H14" s="25">
        <f>IF('BionTech as reported'!D22="NA",0,'BionTech as reported'!D22)/$D$5</f>
        <v>-13.69</v>
      </c>
      <c r="I14" s="25">
        <f>IF('BionTech as reported'!E22="NA",0,'BionTech as reported'!E22)</f>
        <v>-17.399999999999999</v>
      </c>
      <c r="J14" s="25">
        <f>IF('BionTech as reported'!F22="NA",0,'BionTech as reported'!F22)</f>
        <v>-59.3</v>
      </c>
      <c r="K14" s="25">
        <f>IF('BionTech as reported'!G22="NA",0,'BionTech as reported'!G22)</f>
        <v>-2911.5</v>
      </c>
      <c r="L14" s="25">
        <f>IF('BionTech as reported'!H22="NA",0,'BionTech as reported'!H22)</f>
        <v>-2995</v>
      </c>
      <c r="M14" s="25">
        <f>IF('BionTech as reported'!I22="NA",0,'BionTech as reported'!I22)</f>
        <v>-599.79999999999995</v>
      </c>
      <c r="N14" s="23"/>
      <c r="O14" s="23"/>
      <c r="P14" s="23"/>
      <c r="Q14" s="23"/>
      <c r="R14" s="23"/>
      <c r="S14" s="23"/>
    </row>
    <row r="15" spans="1:19" s="29" customFormat="1" ht="15" customHeight="1" x14ac:dyDescent="0.45">
      <c r="A15" s="1"/>
      <c r="B15" s="2"/>
      <c r="C15" s="1"/>
      <c r="D15" s="478" t="s">
        <v>430</v>
      </c>
      <c r="E15" s="477"/>
      <c r="F15" s="477"/>
      <c r="G15" s="477">
        <f t="shared" ref="G15:M15" si="2">G12+G14</f>
        <v>52.28</v>
      </c>
      <c r="H15" s="477">
        <f t="shared" si="2"/>
        <v>113.88500000000001</v>
      </c>
      <c r="I15" s="477">
        <f t="shared" si="2"/>
        <v>91.200000000000017</v>
      </c>
      <c r="J15" s="477">
        <f t="shared" si="2"/>
        <v>423</v>
      </c>
      <c r="K15" s="477">
        <f t="shared" si="2"/>
        <v>16065.2</v>
      </c>
      <c r="L15" s="477">
        <f t="shared" si="2"/>
        <v>14315.599999999999</v>
      </c>
      <c r="M15" s="477">
        <f t="shared" si="2"/>
        <v>3219.2</v>
      </c>
      <c r="N15" s="477"/>
      <c r="O15" s="477"/>
      <c r="P15" s="477"/>
      <c r="Q15" s="477"/>
      <c r="R15" s="477"/>
      <c r="S15" s="477"/>
    </row>
    <row r="16" spans="1:19" ht="15" customHeight="1" x14ac:dyDescent="0.45">
      <c r="B16" s="2"/>
      <c r="D16" s="479"/>
      <c r="E16" s="23"/>
      <c r="F16" s="23"/>
      <c r="G16" s="23"/>
      <c r="H16" s="23"/>
      <c r="I16" s="23"/>
      <c r="J16" s="23"/>
      <c r="K16" s="23"/>
      <c r="L16" s="23"/>
      <c r="M16" s="23"/>
      <c r="N16" s="23"/>
      <c r="O16" s="23"/>
      <c r="P16" s="23"/>
      <c r="Q16" s="23"/>
      <c r="R16" s="23"/>
      <c r="S16" s="23"/>
    </row>
    <row r="17" spans="1:19" s="26" customFormat="1" ht="15" customHeight="1" x14ac:dyDescent="0.45">
      <c r="A17" s="4"/>
      <c r="B17" s="2" t="s">
        <v>268</v>
      </c>
      <c r="C17" s="4"/>
      <c r="D17" s="487" t="s">
        <v>431</v>
      </c>
      <c r="E17" s="23"/>
      <c r="F17" s="23"/>
      <c r="G17" s="25">
        <f>IF('BionTech as reported'!C23="NA",0,'BionTech as reported'!C23)/$D$5</f>
        <v>-6.6029999999999998</v>
      </c>
      <c r="H17" s="25">
        <f>IF('BionTech as reported'!D23="NA",0,'BionTech as reported'!D23)/$D$5</f>
        <v>-3.0409999999999999</v>
      </c>
      <c r="I17" s="25">
        <f>IF('BionTech as reported'!E23="NA",0,'BionTech as reported'!E23)</f>
        <v>-2.7</v>
      </c>
      <c r="J17" s="25">
        <f>IF('BionTech as reported'!F23="NA",0,'BionTech as reported'!F23)</f>
        <v>-14.5</v>
      </c>
      <c r="K17" s="25">
        <f>IF('BionTech as reported'!G23="NA",0,'BionTech as reported'!G23)</f>
        <v>-50.4</v>
      </c>
      <c r="L17" s="25">
        <f>IF('BionTech as reported'!H23="NA",0,'BionTech as reported'!H23)</f>
        <v>-59.5</v>
      </c>
      <c r="M17" s="25">
        <f>IF('BionTech as reported'!I23="NA",0,'BionTech as reported'!I23)</f>
        <v>-62.7</v>
      </c>
      <c r="N17" s="23"/>
      <c r="O17" s="23"/>
      <c r="P17" s="23"/>
      <c r="Q17" s="23"/>
      <c r="R17" s="23"/>
      <c r="S17" s="23"/>
    </row>
    <row r="18" spans="1:19" s="26" customFormat="1" ht="15" customHeight="1" x14ac:dyDescent="0.45">
      <c r="A18" s="4"/>
      <c r="B18" s="2" t="s">
        <v>268</v>
      </c>
      <c r="C18" s="4"/>
      <c r="D18" s="487" t="s">
        <v>432</v>
      </c>
      <c r="E18" s="23"/>
      <c r="F18" s="23"/>
      <c r="G18" s="25">
        <f>IF('BionTech as reported'!C24="NA",0,'BionTech as reported'!C24)/$D$5</f>
        <v>-23.52</v>
      </c>
      <c r="H18" s="25">
        <f>IF('BionTech as reported'!D24="NA",0,'BionTech as reported'!D24)/$D$5</f>
        <v>-26.334</v>
      </c>
      <c r="I18" s="25">
        <f>IF('BionTech as reported'!E24="NA",0,'BionTech as reported'!E24)</f>
        <v>-45.5</v>
      </c>
      <c r="J18" s="25">
        <f>IF('BionTech as reported'!F24="NA",0,'BionTech as reported'!F24)</f>
        <v>-94</v>
      </c>
      <c r="K18" s="25">
        <f>IF('BionTech as reported'!G24="NA",0,'BionTech as reported'!G24)</f>
        <v>-276.8</v>
      </c>
      <c r="L18" s="25">
        <f>IF('BionTech as reported'!H24="NA",0,'BionTech as reported'!H24)</f>
        <v>-481.7</v>
      </c>
      <c r="M18" s="25">
        <f>IF('BionTech as reported'!I24="NA",0,'BionTech as reported'!I24)</f>
        <v>-495</v>
      </c>
      <c r="N18" s="23"/>
      <c r="O18" s="23"/>
      <c r="P18" s="23"/>
      <c r="Q18" s="23"/>
      <c r="R18" s="23"/>
      <c r="S18" s="23"/>
    </row>
    <row r="19" spans="1:19" s="26" customFormat="1" ht="15" customHeight="1" x14ac:dyDescent="0.45">
      <c r="A19" s="4"/>
      <c r="B19" s="2" t="s">
        <v>269</v>
      </c>
      <c r="C19" s="4"/>
      <c r="D19" s="487" t="s">
        <v>433</v>
      </c>
      <c r="E19" s="23"/>
      <c r="F19" s="23"/>
      <c r="G19" s="25">
        <f>IF('BionTech as reported'!C25="NA",0,'BionTech as reported'!C25)/$D$5</f>
        <v>-85.495999999999995</v>
      </c>
      <c r="H19" s="25">
        <f>IF('BionTech as reported'!D25="NA",0,'BionTech as reported'!D25)/$D$5</f>
        <v>-143.04</v>
      </c>
      <c r="I19" s="25">
        <f>IF('BionTech as reported'!E25="NA",0,'BionTech as reported'!E25)</f>
        <v>-226.5</v>
      </c>
      <c r="J19" s="25">
        <f>IF('BionTech as reported'!F25="NA",0,'BionTech as reported'!F25)</f>
        <v>-645</v>
      </c>
      <c r="K19" s="25">
        <f>IF('BionTech as reported'!G25="NA",0,'BionTech as reported'!G25)</f>
        <v>-949.2</v>
      </c>
      <c r="L19" s="25">
        <f>IF('BionTech as reported'!H25="NA",0,'BionTech as reported'!H25)</f>
        <v>-1537</v>
      </c>
      <c r="M19" s="25">
        <f>IF('BionTech as reported'!I25="NA",0,'BionTech as reported'!I25)</f>
        <v>-1783.1</v>
      </c>
      <c r="N19" s="23"/>
      <c r="O19" s="23"/>
      <c r="P19" s="23"/>
      <c r="Q19" s="23"/>
      <c r="R19" s="23"/>
      <c r="S19" s="23"/>
    </row>
    <row r="20" spans="1:19" s="26" customFormat="1" ht="15" customHeight="1" x14ac:dyDescent="0.45">
      <c r="A20" s="4"/>
      <c r="B20" s="2" t="s">
        <v>270</v>
      </c>
      <c r="C20" s="4"/>
      <c r="D20" s="487" t="s">
        <v>434</v>
      </c>
      <c r="E20" s="23"/>
      <c r="F20" s="23"/>
      <c r="G20" s="25">
        <f>('BionTech as reported'!C27+'BionTech as reported'!C26)/$D$5</f>
        <v>2.0609999999999999</v>
      </c>
      <c r="H20" s="25">
        <f>('BionTech as reported'!D27+'BionTech as reported'!D26)/$D$5</f>
        <v>4.6760000000000002</v>
      </c>
      <c r="I20" s="25">
        <f>('BionTech as reported'!E27+'BionTech as reported'!E26)</f>
        <v>2</v>
      </c>
      <c r="J20" s="25">
        <f>('BionTech as reported'!F27+'BionTech as reported'!F26)</f>
        <v>248.1</v>
      </c>
      <c r="K20" s="25">
        <f>('BionTech as reported'!G27+'BionTech as reported'!G26)</f>
        <v>495</v>
      </c>
      <c r="L20" s="25">
        <f>('BionTech as reported'!H27+'BionTech as reported'!H26)</f>
        <v>405.29999999999995</v>
      </c>
      <c r="M20" s="25">
        <f>('BionTech as reported'!I27+'BionTech as reported'!I26)</f>
        <v>-188</v>
      </c>
      <c r="N20" s="23"/>
      <c r="O20" s="23"/>
      <c r="P20" s="23"/>
      <c r="Q20" s="23"/>
      <c r="R20" s="23"/>
      <c r="S20" s="23"/>
    </row>
    <row r="21" spans="1:19" s="29" customFormat="1" ht="15" customHeight="1" x14ac:dyDescent="0.45">
      <c r="A21" s="1"/>
      <c r="B21" s="1"/>
      <c r="C21" s="1"/>
      <c r="D21" s="478" t="s">
        <v>254</v>
      </c>
      <c r="G21" s="29">
        <f t="shared" ref="G21:M21" si="3">SUM(G15,G17:G20)</f>
        <v>-61.277999999999999</v>
      </c>
      <c r="H21" s="29">
        <f t="shared" si="3"/>
        <v>-53.853999999999985</v>
      </c>
      <c r="I21" s="29">
        <f t="shared" si="3"/>
        <v>-181.5</v>
      </c>
      <c r="J21" s="29">
        <f t="shared" si="3"/>
        <v>-82.4</v>
      </c>
      <c r="K21" s="29">
        <f t="shared" si="3"/>
        <v>15283.800000000001</v>
      </c>
      <c r="L21" s="29">
        <f t="shared" si="3"/>
        <v>12642.699999999997</v>
      </c>
      <c r="M21" s="29">
        <f t="shared" si="3"/>
        <v>690.40000000000009</v>
      </c>
    </row>
    <row r="22" spans="1:19" ht="15" customHeight="1" x14ac:dyDescent="0.45">
      <c r="B22" s="2"/>
      <c r="D22" s="479"/>
      <c r="E22" s="23"/>
      <c r="F22" s="23"/>
      <c r="G22" s="23"/>
      <c r="H22" s="23"/>
      <c r="I22" s="23"/>
      <c r="J22" s="23"/>
      <c r="K22" s="23"/>
      <c r="L22" s="23"/>
      <c r="M22" s="23"/>
      <c r="N22" s="23"/>
      <c r="O22" s="23"/>
      <c r="P22" s="23"/>
      <c r="Q22" s="23"/>
      <c r="R22" s="23"/>
      <c r="S22" s="23"/>
    </row>
    <row r="23" spans="1:19" ht="15" customHeight="1" x14ac:dyDescent="0.45">
      <c r="B23" s="24"/>
      <c r="C23" s="24"/>
      <c r="D23" s="490"/>
      <c r="E23" s="23"/>
      <c r="F23" s="23"/>
      <c r="I23" s="23"/>
      <c r="J23" s="23"/>
      <c r="K23" s="23"/>
      <c r="L23" s="23"/>
      <c r="M23" s="23"/>
      <c r="N23" s="23"/>
      <c r="O23" s="23"/>
      <c r="P23" s="23"/>
      <c r="Q23" s="23"/>
      <c r="R23" s="23"/>
      <c r="S23" s="23"/>
    </row>
    <row r="24" spans="1:19" ht="15" customHeight="1" x14ac:dyDescent="0.45">
      <c r="B24" s="2" t="s">
        <v>408</v>
      </c>
      <c r="D24" s="31" t="s">
        <v>435</v>
      </c>
      <c r="E24" s="25"/>
      <c r="F24" s="25"/>
      <c r="G24" s="25">
        <f>('BionTech as reported'!C28+'BionTech as reported'!C31+'BionTech as reported'!C32)/$D$5</f>
        <v>-26.681999999999999</v>
      </c>
      <c r="H24" s="25">
        <f>('BionTech as reported'!D28+'BionTech as reported'!D31+'BionTech as reported'!D32)/$D$5</f>
        <v>-1.77</v>
      </c>
      <c r="I24" s="24">
        <f>'BionTech as reported'!E31</f>
        <v>-2</v>
      </c>
      <c r="J24" s="24">
        <f>'BionTech as reported'!F31</f>
        <v>-65</v>
      </c>
      <c r="K24" s="24">
        <f>'BionTech as reported'!G31</f>
        <v>-305.10000000000002</v>
      </c>
      <c r="L24" s="24">
        <f>'BionTech as reported'!H31</f>
        <v>-18.899999999999999</v>
      </c>
      <c r="M24" s="24">
        <f>'BionTech as reported'!I31</f>
        <v>-23.9</v>
      </c>
      <c r="N24" s="25"/>
      <c r="O24" s="25"/>
      <c r="P24" s="25"/>
      <c r="Q24" s="25"/>
      <c r="R24" s="25"/>
      <c r="S24" s="25"/>
    </row>
    <row r="25" spans="1:19" ht="15" customHeight="1" x14ac:dyDescent="0.45">
      <c r="B25" s="2" t="s">
        <v>407</v>
      </c>
      <c r="D25" s="487" t="s">
        <v>436</v>
      </c>
      <c r="E25" s="25"/>
      <c r="F25" s="25"/>
      <c r="G25" s="25">
        <f>+('BionTech as reported'!C30-G26)/$D$5</f>
        <v>2.133</v>
      </c>
      <c r="H25" s="25">
        <f>+('BionTech as reported'!D30-H26)/D5</f>
        <v>8.0459999999999994</v>
      </c>
      <c r="I25" s="25">
        <f>+'BionTech as reported'!E30-I26</f>
        <v>4.0999999999999996</v>
      </c>
      <c r="J25" s="25">
        <f>+'BionTech as reported'!F30-J26</f>
        <v>1.6</v>
      </c>
      <c r="K25" s="25">
        <f>+'BionTech as reported'!G30-K26</f>
        <v>67.7</v>
      </c>
      <c r="L25" s="25">
        <f>+'BionTech as reported'!H30-L26</f>
        <v>113.5</v>
      </c>
      <c r="M25" s="25">
        <f>+'BionTech as reported'!I30-M26</f>
        <v>357.6</v>
      </c>
      <c r="N25" s="25"/>
      <c r="O25" s="25"/>
      <c r="P25" s="25"/>
      <c r="Q25" s="25"/>
      <c r="R25" s="25"/>
      <c r="S25" s="25"/>
    </row>
    <row r="26" spans="1:19" ht="15" customHeight="1" x14ac:dyDescent="0.45">
      <c r="B26" s="2" t="s">
        <v>255</v>
      </c>
      <c r="D26" s="487" t="s">
        <v>255</v>
      </c>
      <c r="E26" s="25"/>
      <c r="F26" s="25"/>
      <c r="G26" s="25">
        <v>0</v>
      </c>
      <c r="H26" s="25">
        <v>0</v>
      </c>
      <c r="I26" s="25">
        <v>0</v>
      </c>
      <c r="J26" s="25">
        <v>0</v>
      </c>
      <c r="K26" s="25">
        <v>0</v>
      </c>
      <c r="L26" s="25">
        <v>216.8</v>
      </c>
      <c r="M26" s="25">
        <v>162</v>
      </c>
      <c r="N26" s="25"/>
      <c r="O26" s="25"/>
      <c r="P26" s="25"/>
      <c r="Q26" s="25"/>
      <c r="R26" s="25"/>
      <c r="S26" s="25"/>
    </row>
    <row r="27" spans="1:19" ht="15" customHeight="1" x14ac:dyDescent="0.45">
      <c r="B27" s="2" t="s">
        <v>408</v>
      </c>
      <c r="D27" s="487" t="s">
        <v>437</v>
      </c>
      <c r="E27" s="23"/>
      <c r="F27" s="23"/>
      <c r="G27" s="25">
        <f>IF('BionTech as reported'!C29="NA",0,'BionTech as reported'!C29)/$D$5+('BionTech as reported'!C32/$D$5)</f>
        <v>-7.6999999999999999E-2</v>
      </c>
      <c r="H27" s="25">
        <f>IF('BionTech as reported'!D29="NA",0,'BionTech as reported'!D29)/$D$5+('BionTech as reported'!D32/$D$5)</f>
        <v>-8.5000000000000006E-2</v>
      </c>
      <c r="I27" s="23"/>
      <c r="J27" s="23"/>
      <c r="K27" s="23"/>
      <c r="L27" s="23"/>
      <c r="M27" s="23"/>
      <c r="N27" s="23"/>
      <c r="O27" s="23"/>
      <c r="P27" s="23"/>
      <c r="Q27" s="23"/>
      <c r="R27" s="23"/>
      <c r="S27" s="23"/>
    </row>
    <row r="28" spans="1:19" s="29" customFormat="1" ht="15" customHeight="1" x14ac:dyDescent="0.45">
      <c r="A28" s="1"/>
      <c r="B28" s="2"/>
      <c r="C28" s="1"/>
      <c r="D28" s="478" t="s">
        <v>438</v>
      </c>
      <c r="E28" s="489"/>
      <c r="F28" s="489"/>
      <c r="G28" s="489">
        <f t="shared" ref="G28:M28" si="4">SUM(G21,G24:G27)</f>
        <v>-85.903999999999996</v>
      </c>
      <c r="H28" s="489">
        <f t="shared" si="4"/>
        <v>-47.66299999999999</v>
      </c>
      <c r="I28" s="489">
        <f t="shared" si="4"/>
        <v>-179.4</v>
      </c>
      <c r="J28" s="489">
        <f t="shared" si="4"/>
        <v>-145.80000000000001</v>
      </c>
      <c r="K28" s="489">
        <f t="shared" si="4"/>
        <v>15046.400000000001</v>
      </c>
      <c r="L28" s="489">
        <f t="shared" si="4"/>
        <v>12954.099999999997</v>
      </c>
      <c r="M28" s="489">
        <f t="shared" si="4"/>
        <v>1186.1000000000001</v>
      </c>
      <c r="N28" s="489"/>
      <c r="O28" s="489"/>
      <c r="P28" s="489"/>
      <c r="Q28" s="489"/>
      <c r="R28" s="489"/>
      <c r="S28" s="489"/>
    </row>
    <row r="29" spans="1:19" ht="15" customHeight="1" x14ac:dyDescent="0.45">
      <c r="B29" s="24"/>
      <c r="D29" s="31"/>
      <c r="E29" s="25"/>
      <c r="F29" s="25"/>
      <c r="G29" s="25"/>
      <c r="H29" s="25"/>
      <c r="I29" s="25"/>
      <c r="J29" s="25"/>
      <c r="K29" s="25"/>
      <c r="L29" s="25"/>
      <c r="M29" s="25"/>
      <c r="N29" s="25"/>
      <c r="O29" s="25"/>
      <c r="P29" s="25"/>
      <c r="Q29" s="25"/>
      <c r="R29" s="25"/>
      <c r="S29" s="25"/>
    </row>
    <row r="30" spans="1:19" ht="15" customHeight="1" x14ac:dyDescent="0.45">
      <c r="B30" s="2" t="s">
        <v>410</v>
      </c>
      <c r="D30" s="487" t="s">
        <v>439</v>
      </c>
      <c r="E30" s="25"/>
      <c r="F30" s="25"/>
      <c r="G30" s="25">
        <f>'BionTech as reported'!C35/$D$5</f>
        <v>-4.4999999999999998E-2</v>
      </c>
      <c r="H30" s="25">
        <f>'BionTech as reported'!D35/$D$5</f>
        <v>-0.6</v>
      </c>
      <c r="I30" s="25">
        <f>'BionTech as reported'!E35</f>
        <v>0.2</v>
      </c>
      <c r="J30" s="25">
        <f>'BionTech as reported'!F35</f>
        <v>161</v>
      </c>
      <c r="K30" s="25">
        <f>'BionTech as reported'!G35</f>
        <v>-4753.8999999999996</v>
      </c>
      <c r="L30" s="25">
        <f>'BionTech as reported'!H35</f>
        <v>-3519.7</v>
      </c>
      <c r="M30" s="25">
        <f>'BionTech as reported'!I35</f>
        <v>-255.8</v>
      </c>
      <c r="N30" s="25"/>
      <c r="O30" s="25"/>
      <c r="P30" s="25"/>
      <c r="Q30" s="25"/>
      <c r="R30" s="25"/>
      <c r="S30" s="25"/>
    </row>
    <row r="31" spans="1:19" ht="15" customHeight="1" x14ac:dyDescent="0.45">
      <c r="B31" s="2" t="s">
        <v>411</v>
      </c>
      <c r="D31" s="487" t="s">
        <v>440</v>
      </c>
      <c r="G31" s="24">
        <f>'BionTech as reported'!C36/$D$5</f>
        <v>0.29699999999999999</v>
      </c>
      <c r="H31" s="24">
        <f>'BionTech as reported'!D36/$D$5</f>
        <v>0.24299999999999999</v>
      </c>
      <c r="I31" s="24">
        <f>'BionTech as reported'!E36/$D$5</f>
        <v>1E-4</v>
      </c>
      <c r="J31" s="24">
        <f>IFERROR('BionTech as reported'!F36/$D$5,0)</f>
        <v>0</v>
      </c>
      <c r="K31" s="24">
        <f>IFERROR('BionTech as reported'!G36/$D$5,0)</f>
        <v>0</v>
      </c>
      <c r="L31" s="24">
        <f>IFERROR('BionTech as reported'!H36/$D$5,0)</f>
        <v>0</v>
      </c>
      <c r="M31" s="24">
        <f>IFERROR('BionTech as reported'!I36/$D$5,0)</f>
        <v>0</v>
      </c>
    </row>
    <row r="32" spans="1:19" s="29" customFormat="1" ht="15" customHeight="1" x14ac:dyDescent="0.45">
      <c r="A32" s="1"/>
      <c r="B32" s="2" t="s">
        <v>412</v>
      </c>
      <c r="C32" s="1"/>
      <c r="D32" s="478" t="s">
        <v>441</v>
      </c>
      <c r="E32" s="477"/>
      <c r="F32" s="477"/>
      <c r="G32" s="477">
        <f t="shared" ref="G32:M32" si="5">SUM(G28,G30:G31)</f>
        <v>-85.652000000000001</v>
      </c>
      <c r="H32" s="477">
        <f t="shared" si="5"/>
        <v>-48.019999999999989</v>
      </c>
      <c r="I32" s="477">
        <f t="shared" si="5"/>
        <v>-179.19990000000001</v>
      </c>
      <c r="J32" s="477">
        <f t="shared" si="5"/>
        <v>15.199999999999989</v>
      </c>
      <c r="K32" s="477">
        <f t="shared" si="5"/>
        <v>10292.500000000002</v>
      </c>
      <c r="L32" s="477">
        <f t="shared" si="5"/>
        <v>9434.3999999999978</v>
      </c>
      <c r="M32" s="477">
        <f t="shared" si="5"/>
        <v>930.30000000000018</v>
      </c>
      <c r="N32" s="477"/>
      <c r="O32" s="477"/>
      <c r="P32" s="477"/>
      <c r="Q32" s="477"/>
      <c r="R32" s="477"/>
      <c r="S32" s="477"/>
    </row>
    <row r="33" spans="2:19" ht="15" customHeight="1" x14ac:dyDescent="0.45">
      <c r="B33" s="2"/>
    </row>
    <row r="34" spans="2:19" ht="15" customHeight="1" x14ac:dyDescent="0.45">
      <c r="B34" s="2"/>
      <c r="D34" s="31"/>
      <c r="E34" s="25"/>
      <c r="F34" s="25"/>
      <c r="G34" s="25"/>
      <c r="H34" s="25"/>
      <c r="I34" s="25"/>
      <c r="J34" s="25"/>
      <c r="K34" s="25"/>
      <c r="L34" s="25"/>
      <c r="M34" s="25"/>
      <c r="N34" s="25"/>
      <c r="O34" s="25"/>
      <c r="P34" s="25"/>
      <c r="Q34" s="25"/>
      <c r="R34" s="25"/>
      <c r="S34" s="25"/>
    </row>
    <row r="36" spans="2:19" ht="15" customHeight="1" x14ac:dyDescent="0.45">
      <c r="B36" s="3"/>
      <c r="D36" s="485" t="s">
        <v>442</v>
      </c>
      <c r="E36" s="23"/>
      <c r="F36" s="23"/>
      <c r="G36" s="23"/>
      <c r="H36" s="23"/>
      <c r="I36" s="23"/>
      <c r="J36" s="23"/>
      <c r="K36" s="23"/>
      <c r="L36" s="23"/>
      <c r="M36" s="23"/>
      <c r="N36" s="23"/>
      <c r="O36" s="23"/>
      <c r="P36" s="23"/>
      <c r="Q36" s="23"/>
      <c r="R36" s="23"/>
      <c r="S36" s="23"/>
    </row>
    <row r="37" spans="2:19" ht="15" customHeight="1" x14ac:dyDescent="0.45">
      <c r="B37" s="2"/>
      <c r="D37" s="31"/>
      <c r="E37" s="25"/>
      <c r="F37" s="25"/>
      <c r="G37" s="25"/>
      <c r="H37" s="25"/>
      <c r="I37" s="25"/>
      <c r="J37" s="25"/>
      <c r="K37" s="25"/>
      <c r="L37" s="25"/>
      <c r="M37" s="25"/>
      <c r="N37" s="25"/>
      <c r="O37" s="25"/>
      <c r="P37" s="25"/>
      <c r="Q37" s="25"/>
      <c r="R37" s="25"/>
      <c r="S37" s="25"/>
    </row>
    <row r="38" spans="2:19" ht="15" customHeight="1" x14ac:dyDescent="0.45">
      <c r="B38" s="2" t="s">
        <v>273</v>
      </c>
      <c r="D38" s="31" t="s">
        <v>443</v>
      </c>
      <c r="E38" s="25"/>
      <c r="F38" s="25"/>
      <c r="G38" s="25"/>
      <c r="H38" s="25"/>
      <c r="I38" s="25"/>
      <c r="J38" s="25"/>
      <c r="K38" s="25"/>
      <c r="L38" s="25"/>
      <c r="M38" s="25"/>
      <c r="N38" s="25"/>
      <c r="O38" s="25"/>
      <c r="P38" s="25"/>
      <c r="Q38" s="25"/>
      <c r="R38" s="25"/>
      <c r="S38" s="25"/>
    </row>
    <row r="39" spans="2:19" ht="15" customHeight="1" x14ac:dyDescent="0.45">
      <c r="B39" s="2" t="s">
        <v>274</v>
      </c>
      <c r="D39" s="31" t="s">
        <v>444</v>
      </c>
      <c r="E39" s="25"/>
      <c r="F39" s="25"/>
      <c r="G39" s="25"/>
      <c r="H39" s="25"/>
      <c r="I39" s="25"/>
      <c r="J39" s="25"/>
      <c r="K39" s="25"/>
      <c r="L39" s="25"/>
      <c r="M39" s="25"/>
      <c r="N39" s="25"/>
      <c r="O39" s="25"/>
      <c r="P39" s="25"/>
      <c r="Q39" s="25"/>
      <c r="R39" s="25"/>
      <c r="S39" s="25"/>
    </row>
    <row r="40" spans="2:19" ht="15" customHeight="1" x14ac:dyDescent="0.45">
      <c r="B40" s="2" t="s">
        <v>274</v>
      </c>
      <c r="D40" s="31" t="s">
        <v>445</v>
      </c>
      <c r="E40" s="25"/>
      <c r="F40" s="25"/>
      <c r="G40" s="25"/>
      <c r="H40" s="25"/>
      <c r="I40" s="25"/>
      <c r="J40" s="25"/>
      <c r="K40" s="25"/>
      <c r="L40" s="25"/>
      <c r="M40" s="25"/>
      <c r="N40" s="25"/>
      <c r="O40" s="25"/>
      <c r="P40" s="25"/>
      <c r="Q40" s="25"/>
      <c r="R40" s="25"/>
      <c r="S40" s="25"/>
    </row>
    <row r="41" spans="2:19" ht="15" customHeight="1" x14ac:dyDescent="0.45">
      <c r="B41" s="2" t="s">
        <v>274</v>
      </c>
      <c r="D41" s="31" t="s">
        <v>446</v>
      </c>
      <c r="E41" s="25"/>
      <c r="F41" s="25"/>
      <c r="G41" s="25"/>
      <c r="H41" s="25"/>
      <c r="I41" s="25"/>
      <c r="J41" s="25"/>
      <c r="K41" s="25"/>
      <c r="L41" s="25"/>
      <c r="M41" s="25"/>
      <c r="N41" s="25"/>
      <c r="O41" s="25"/>
      <c r="P41" s="25"/>
      <c r="Q41" s="25"/>
      <c r="R41" s="25"/>
      <c r="S41" s="25"/>
    </row>
    <row r="42" spans="2:19" ht="15" customHeight="1" x14ac:dyDescent="0.45">
      <c r="B42" s="2" t="s">
        <v>272</v>
      </c>
      <c r="D42" s="31" t="s">
        <v>447</v>
      </c>
      <c r="E42" s="25"/>
      <c r="F42" s="25"/>
      <c r="G42" s="25"/>
      <c r="H42" s="25"/>
      <c r="I42" s="25"/>
      <c r="J42" s="25"/>
      <c r="K42" s="25"/>
      <c r="L42" s="25"/>
      <c r="M42" s="25"/>
      <c r="N42" s="25"/>
      <c r="O42" s="25"/>
      <c r="P42" s="25"/>
      <c r="Q42" s="25"/>
      <c r="R42" s="25"/>
      <c r="S42" s="25"/>
    </row>
    <row r="43" spans="2:19" ht="15" customHeight="1" x14ac:dyDescent="0.45">
      <c r="B43" s="2"/>
      <c r="D43" s="31"/>
      <c r="E43" s="25"/>
      <c r="F43" s="25"/>
      <c r="G43" s="25"/>
      <c r="H43" s="25"/>
      <c r="I43" s="25"/>
      <c r="J43" s="25"/>
      <c r="K43" s="25"/>
      <c r="L43" s="25"/>
      <c r="M43" s="25"/>
      <c r="N43" s="25"/>
      <c r="O43" s="25"/>
      <c r="P43" s="25"/>
      <c r="Q43" s="25"/>
      <c r="R43" s="25"/>
      <c r="S43" s="25"/>
    </row>
    <row r="44" spans="2:19" ht="15" customHeight="1" x14ac:dyDescent="0.45">
      <c r="B44" s="2"/>
      <c r="D44" s="31"/>
      <c r="E44" s="25"/>
      <c r="F44" s="25"/>
      <c r="G44" s="25"/>
      <c r="H44" s="25"/>
      <c r="I44" s="25"/>
      <c r="J44" s="25"/>
      <c r="K44" s="25"/>
      <c r="L44" s="25"/>
      <c r="M44" s="25"/>
      <c r="N44" s="25"/>
      <c r="O44" s="25"/>
      <c r="P44" s="25"/>
      <c r="Q44" s="25"/>
      <c r="R44" s="25"/>
      <c r="S44" s="25"/>
    </row>
    <row r="46" spans="2:19" ht="15" customHeight="1" x14ac:dyDescent="0.45">
      <c r="B46" s="3"/>
      <c r="D46" s="485" t="s">
        <v>448</v>
      </c>
      <c r="E46" s="23"/>
      <c r="F46" s="23"/>
      <c r="G46" s="23"/>
      <c r="H46" s="23"/>
      <c r="I46" s="23"/>
      <c r="J46" s="23"/>
      <c r="K46" s="23"/>
      <c r="L46" s="23"/>
      <c r="M46" s="23"/>
      <c r="N46" s="23"/>
      <c r="O46" s="23"/>
      <c r="P46" s="23"/>
      <c r="Q46" s="23"/>
      <c r="R46" s="23"/>
      <c r="S46" s="23"/>
    </row>
    <row r="47" spans="2:19" ht="15" customHeight="1" x14ac:dyDescent="0.45">
      <c r="D47" s="488"/>
      <c r="E47" s="23"/>
      <c r="F47" s="23"/>
      <c r="G47" s="23"/>
      <c r="H47" s="23"/>
      <c r="I47" s="23"/>
      <c r="J47" s="23"/>
      <c r="K47" s="23"/>
      <c r="L47" s="23"/>
      <c r="M47" s="23"/>
      <c r="N47" s="23"/>
      <c r="O47" s="23"/>
      <c r="P47" s="23"/>
      <c r="Q47" s="23"/>
      <c r="R47" s="23"/>
      <c r="S47" s="23"/>
    </row>
    <row r="48" spans="2:19" ht="15" customHeight="1" x14ac:dyDescent="0.45">
      <c r="B48" s="2" t="s">
        <v>278</v>
      </c>
      <c r="D48" s="487" t="s">
        <v>449</v>
      </c>
      <c r="F48" s="25">
        <f>IF('BionTech as reported'!C150="NA",0,'BionTech as reported'!C150)/$D$5</f>
        <v>0</v>
      </c>
      <c r="G48" s="25">
        <f>IF('BionTech as reported'!D150="NA",0,'BionTech as reported'!D150)/$D$5</f>
        <v>0</v>
      </c>
      <c r="H48" s="25">
        <f>IF('BionTech as reported'!E150="NA",0,'BionTech as reported'!E150)/$D$5</f>
        <v>49.765999999999998</v>
      </c>
      <c r="I48" s="25">
        <f>IF('BionTech as reported'!F150="NA",0,'BionTech as reported'!F150)/$D$5</f>
        <v>55.018000000000001</v>
      </c>
      <c r="J48" s="25">
        <f>IF('BionTech as reported'!G150="NA",0,'BionTech as reported'!G150)</f>
        <v>99</v>
      </c>
      <c r="K48" s="25">
        <f>IF('BionTech as reported'!H150="NA",0,'BionTech as reported'!H150)</f>
        <v>197.9</v>
      </c>
      <c r="L48" s="25">
        <f>IF('BionTech as reported'!I150="NA",0,'BionTech as reported'!I150)</f>
        <v>211.9</v>
      </c>
      <c r="M48" s="25">
        <f>IF('BionTech as reported'!J150="NA",0,'BionTech as reported'!J150)</f>
        <v>214.4</v>
      </c>
      <c r="N48" s="25"/>
      <c r="O48" s="25"/>
      <c r="P48" s="25"/>
      <c r="Q48" s="25"/>
      <c r="R48" s="25"/>
      <c r="S48" s="25"/>
    </row>
    <row r="49" spans="1:19" ht="15" customHeight="1" x14ac:dyDescent="0.45">
      <c r="B49" s="2" t="s">
        <v>278</v>
      </c>
      <c r="D49" s="487" t="s">
        <v>450</v>
      </c>
      <c r="F49" s="25">
        <f>IF('BionTech as reported'!C151="NA",0,'BionTech as reported'!C151)/$D$5</f>
        <v>60.506</v>
      </c>
      <c r="G49" s="25">
        <f>IF('BionTech as reported'!D151="NA",0,'BionTech as reported'!D151)/$D$5</f>
        <v>101.521</v>
      </c>
      <c r="H49" s="25">
        <f>IF('BionTech as reported'!E151="NA",0,'BionTech as reported'!E151)/$D$5</f>
        <v>66.2</v>
      </c>
      <c r="I49" s="25">
        <f>IF('BionTech as reported'!F151="NA",0,'BionTech as reported'!F151)/$D$5</f>
        <v>93.043999999999997</v>
      </c>
      <c r="J49" s="25">
        <f>IF('BionTech as reported'!G151="NA",0,'BionTech as reported'!G151)</f>
        <v>227</v>
      </c>
      <c r="K49" s="25">
        <f>IF('BionTech as reported'!H151="NA",0,'BionTech as reported'!H151)</f>
        <v>322.5</v>
      </c>
      <c r="L49" s="25">
        <f>IF('BionTech as reported'!I151="NA",0,'BionTech as reported'!I151)</f>
        <v>609.20000000000005</v>
      </c>
      <c r="M49" s="25">
        <f>IF('BionTech as reported'!J151="NA",0,'BionTech as reported'!J151)</f>
        <v>757.2</v>
      </c>
      <c r="N49" s="25"/>
      <c r="O49" s="25"/>
      <c r="P49" s="25"/>
      <c r="Q49" s="25"/>
      <c r="R49" s="25"/>
      <c r="S49" s="25"/>
    </row>
    <row r="50" spans="1:19" ht="15" customHeight="1" x14ac:dyDescent="0.45">
      <c r="B50" s="2" t="s">
        <v>280</v>
      </c>
      <c r="D50" s="487" t="s">
        <v>451</v>
      </c>
      <c r="F50" s="25">
        <f>IF('BionTech as reported'!C152="NA",0,'BionTech as reported'!C152)/$D$5</f>
        <v>6.6000000000000003E-2</v>
      </c>
      <c r="G50" s="25">
        <f>IF('BionTech as reported'!D152="NA",0,'BionTech as reported'!D152)/$D$5</f>
        <v>1.9E-2</v>
      </c>
      <c r="H50" s="25">
        <f>IF('BionTech as reported'!E152="NA",0,'BionTech as reported'!E152)/$D$5</f>
        <v>1.7999999999999999E-2</v>
      </c>
      <c r="I50" s="25">
        <f>IF('BionTech as reported'!F152="NA",0,'BionTech as reported'!F152)/$D$5</f>
        <v>0</v>
      </c>
      <c r="J50" s="25">
        <f>IF('BionTech as reported'!G152="NA",0,'BionTech as reported'!G152)</f>
        <v>0</v>
      </c>
      <c r="K50" s="25">
        <f>IF('BionTech as reported'!H152="NA",0,'BionTech as reported'!H152)</f>
        <v>21.3</v>
      </c>
      <c r="L50" s="25">
        <f>IF('BionTech as reported'!I152="NA",0,'BionTech as reported'!I152)</f>
        <v>80.2</v>
      </c>
      <c r="M50" s="25">
        <f>IF('BionTech as reported'!J152="NA",0,'BionTech as reported'!J152)</f>
        <v>1176.0999999999999</v>
      </c>
      <c r="N50" s="25"/>
      <c r="O50" s="25"/>
      <c r="P50" s="25"/>
      <c r="Q50" s="25"/>
      <c r="R50" s="25"/>
      <c r="S50" s="25"/>
    </row>
    <row r="51" spans="1:19" ht="15" customHeight="1" x14ac:dyDescent="0.45">
      <c r="B51" s="2" t="s">
        <v>281</v>
      </c>
      <c r="D51" s="487" t="s">
        <v>452</v>
      </c>
      <c r="F51" s="25">
        <f>IF('BionTech as reported'!C153="NA",0,'BionTech as reported'!C153)/$D$5</f>
        <v>0</v>
      </c>
      <c r="G51" s="25">
        <f>IF('BionTech as reported'!D153="NA",0,'BionTech as reported'!D153)/$D$5</f>
        <v>0</v>
      </c>
      <c r="H51" s="25">
        <f>IF('BionTech as reported'!E153="NA",0,'BionTech as reported'!E153)/$D$5</f>
        <v>0</v>
      </c>
      <c r="I51" s="25">
        <f>IF('BionTech as reported'!F153="NA",0,'BionTech as reported'!F153)/$D$5</f>
        <v>0</v>
      </c>
      <c r="J51" s="25">
        <f>IF('BionTech as reported'!G153="NA",0,'BionTech as reported'!G153)</f>
        <v>161.19999999999999</v>
      </c>
      <c r="K51" s="25">
        <f>IF('BionTech as reported'!H153="NA",0,'BionTech as reported'!H153)</f>
        <v>0</v>
      </c>
      <c r="L51" s="25">
        <f>IF('BionTech as reported'!I153="NA",0,'BionTech as reported'!I153)</f>
        <v>229.6</v>
      </c>
      <c r="M51" s="25">
        <f>IF('BionTech as reported'!J153="NA",0,'BionTech as reported'!J153)</f>
        <v>81.3</v>
      </c>
      <c r="N51" s="25"/>
      <c r="O51" s="25"/>
      <c r="P51" s="25"/>
      <c r="Q51" s="25"/>
      <c r="R51" s="25"/>
      <c r="S51" s="25"/>
    </row>
    <row r="52" spans="1:19" ht="15" customHeight="1" x14ac:dyDescent="0.45">
      <c r="B52" s="2" t="s">
        <v>279</v>
      </c>
      <c r="D52" s="487" t="s">
        <v>453</v>
      </c>
      <c r="F52" s="25">
        <f>IF('BionTech as reported'!C154="NA",0,'BionTech as reported'!C154)/$D$5</f>
        <v>0</v>
      </c>
      <c r="G52" s="25">
        <f>IF('BionTech as reported'!D154="NA",0,'BionTech as reported'!D154)/$D$5</f>
        <v>0</v>
      </c>
      <c r="H52" s="25">
        <f>IF('BionTech as reported'!E154="NA",0,'BionTech as reported'!E154)/$D$5</f>
        <v>0</v>
      </c>
      <c r="I52" s="25">
        <f>IF('BionTech as reported'!F154="NA",0,'BionTech as reported'!F154)/$D$5</f>
        <v>0</v>
      </c>
      <c r="J52" s="25">
        <f>IF('BionTech as reported'!G154="NA",0,'BionTech as reported'!G154)</f>
        <v>0</v>
      </c>
      <c r="K52" s="25">
        <f>IF('BionTech as reported'!H154="NA",0,'BionTech as reported'!H154)</f>
        <v>0</v>
      </c>
      <c r="L52" s="25">
        <f>IF('BionTech as reported'!I154="NA",0,'BionTech as reported'!I154)</f>
        <v>61.2</v>
      </c>
      <c r="M52" s="25">
        <f>IF('BionTech as reported'!J154="NA",0,'BionTech as reported'!J154)</f>
        <v>362.5</v>
      </c>
      <c r="N52" s="25"/>
      <c r="O52" s="25"/>
      <c r="P52" s="25"/>
      <c r="Q52" s="25"/>
      <c r="R52" s="25"/>
      <c r="S52" s="25"/>
    </row>
    <row r="53" spans="1:19" ht="15" customHeight="1" x14ac:dyDescent="0.45">
      <c r="B53" s="2" t="s">
        <v>279</v>
      </c>
      <c r="D53" s="487" t="s">
        <v>454</v>
      </c>
      <c r="F53" s="25">
        <f>IF('BionTech as reported'!C155="NA",0,'BionTech as reported'!C155)/$D$5</f>
        <v>11.183999999999999</v>
      </c>
      <c r="G53" s="25">
        <f>IF('BionTech as reported'!D155="NA",0,'BionTech as reported'!D155)/$D$5</f>
        <v>83.537000000000006</v>
      </c>
      <c r="H53" s="25">
        <f>IF('BionTech as reported'!E155="NA",0,'BionTech as reported'!E155)/$D$5</f>
        <v>88.042000000000002</v>
      </c>
      <c r="I53" s="25">
        <f>IF('BionTech as reported'!F155="NA",0,'BionTech as reported'!F155)/$D$5</f>
        <v>89.433999999999997</v>
      </c>
      <c r="J53" s="25">
        <f>IF('BionTech as reported'!G155="NA",0,'BionTech as reported'!G155)</f>
        <v>163.5</v>
      </c>
      <c r="K53" s="25">
        <f>IF('BionTech as reported'!H155="NA",0,'BionTech as reported'!H155)</f>
        <v>202.4</v>
      </c>
      <c r="L53" s="25">
        <f>IF('BionTech as reported'!I155="NA",0,'BionTech as reported'!I155)</f>
        <v>0</v>
      </c>
      <c r="M53" s="25">
        <f>IF('BionTech as reported'!J155="NA",0,'BionTech as reported'!J155)</f>
        <v>0</v>
      </c>
      <c r="N53" s="25"/>
      <c r="O53" s="25"/>
      <c r="P53" s="25"/>
      <c r="Q53" s="25"/>
      <c r="R53" s="25"/>
      <c r="S53" s="25"/>
    </row>
    <row r="54" spans="1:19" ht="15" customHeight="1" x14ac:dyDescent="0.45">
      <c r="B54" s="2" t="s">
        <v>279</v>
      </c>
      <c r="D54" s="487" t="s">
        <v>455</v>
      </c>
      <c r="F54" s="25">
        <f>IF('BionTech as reported'!C156="NA",0,'BionTech as reported'!C156)/$D$5</f>
        <v>0</v>
      </c>
      <c r="G54" s="25">
        <f>IF('BionTech as reported'!D156="NA",0,'BionTech as reported'!D156)/$D$5</f>
        <v>0</v>
      </c>
      <c r="H54" s="25">
        <f>IF('BionTech as reported'!E156="NA",0,'BionTech as reported'!E156)/$D$5</f>
        <v>0</v>
      </c>
      <c r="I54" s="25">
        <f>IF('BionTech as reported'!F156="NA",0,'BionTech as reported'!F156)/$D$5</f>
        <v>0</v>
      </c>
      <c r="J54" s="25">
        <f>IF('BionTech as reported'!G156="NA",0,'BionTech as reported'!G156)</f>
        <v>0</v>
      </c>
      <c r="K54" s="25">
        <f>IF('BionTech as reported'!H156="NA",0,'BionTech as reported'!H156)</f>
        <v>0</v>
      </c>
      <c r="L54" s="25">
        <f>IF('BionTech as reported'!I156="NA",0,'BionTech as reported'!I156)</f>
        <v>158.5</v>
      </c>
      <c r="M54" s="25">
        <f>IF('BionTech as reported'!J156="NA",0,'BionTech as reported'!J156)</f>
        <v>804.1</v>
      </c>
      <c r="N54" s="25"/>
      <c r="O54" s="25"/>
      <c r="P54" s="25"/>
      <c r="Q54" s="25"/>
      <c r="R54" s="25"/>
      <c r="S54" s="25"/>
    </row>
    <row r="55" spans="1:19" ht="15" customHeight="1" x14ac:dyDescent="0.45">
      <c r="B55" s="2" t="s">
        <v>278</v>
      </c>
      <c r="D55" s="487" t="s">
        <v>456</v>
      </c>
      <c r="F55" s="25">
        <f>IF('BionTech as reported'!C157="NA",0,'BionTech as reported'!C157)/$D$5</f>
        <v>7.8E-2</v>
      </c>
      <c r="G55" s="25">
        <f>IF('BionTech as reported'!D157="NA",0,'BionTech as reported'!D157)/$D$5</f>
        <v>0</v>
      </c>
      <c r="H55" s="25">
        <f>IF('BionTech as reported'!E157="NA",0,'BionTech as reported'!E157)/$D$5</f>
        <v>0</v>
      </c>
      <c r="I55" s="25">
        <f>IF('BionTech as reported'!F157="NA",0,'BionTech as reported'!F157)/$D$5</f>
        <v>0</v>
      </c>
      <c r="J55" s="25">
        <f>IF('BionTech as reported'!G157="NA",0,'BionTech as reported'!G157)</f>
        <v>1</v>
      </c>
      <c r="K55" s="25">
        <f>IF('BionTech as reported'!H157="NA",0,'BionTech as reported'!H157)</f>
        <v>0</v>
      </c>
      <c r="L55" s="25">
        <f>IF('BionTech as reported'!I157="NA",0,'BionTech as reported'!I157)</f>
        <v>0</v>
      </c>
      <c r="M55" s="25">
        <f>IF('BionTech as reported'!J157="NA",0,'BionTech as reported'!J157)</f>
        <v>0</v>
      </c>
      <c r="N55" s="25"/>
      <c r="O55" s="25"/>
      <c r="P55" s="25"/>
      <c r="Q55" s="25"/>
      <c r="R55" s="25"/>
      <c r="S55" s="25"/>
    </row>
    <row r="56" spans="1:19" ht="15" customHeight="1" x14ac:dyDescent="0.45">
      <c r="B56" s="2" t="s">
        <v>278</v>
      </c>
      <c r="D56" s="487" t="s">
        <v>457</v>
      </c>
      <c r="F56" s="25">
        <f>IF('BionTech as reported'!C158="NA",0,'BionTech as reported'!C158)/$D$5</f>
        <v>0</v>
      </c>
      <c r="G56" s="25">
        <f>IF('BionTech as reported'!D158="NA",0,'BionTech as reported'!D158)/$D$5</f>
        <v>0</v>
      </c>
      <c r="H56" s="25">
        <f>IF('BionTech as reported'!E158="NA",0,'BionTech as reported'!E158)/$D$5</f>
        <v>0</v>
      </c>
      <c r="I56" s="25">
        <f>IF('BionTech as reported'!F158="NA",0,'BionTech as reported'!F158)/$D$5</f>
        <v>0</v>
      </c>
      <c r="J56" s="25">
        <f>IF('BionTech as reported'!G158="NA",0,'BionTech as reported'!G158)</f>
        <v>0</v>
      </c>
      <c r="K56" s="25">
        <f>IF('BionTech as reported'!H158="NA",0,'BionTech as reported'!H158)</f>
        <v>14.4</v>
      </c>
      <c r="L56" s="25">
        <f>IF('BionTech as reported'!I158="NA",0,'BionTech as reported'!I158)</f>
        <v>0</v>
      </c>
      <c r="M56" s="25">
        <f>IF('BionTech as reported'!J158="NA",0,'BionTech as reported'!J158)</f>
        <v>0</v>
      </c>
      <c r="N56" s="25"/>
      <c r="O56" s="25"/>
      <c r="P56" s="25"/>
      <c r="Q56" s="25"/>
      <c r="R56" s="25"/>
      <c r="S56" s="25"/>
    </row>
    <row r="57" spans="1:19" ht="15" customHeight="1" x14ac:dyDescent="0.45">
      <c r="B57" s="2" t="s">
        <v>278</v>
      </c>
      <c r="D57" s="487" t="s">
        <v>458</v>
      </c>
      <c r="F57" s="25">
        <f>IF('BionTech as reported'!C159="NA",0,'BionTech as reported'!C159)/$D$5</f>
        <v>0</v>
      </c>
      <c r="G57" s="25">
        <f>IF('BionTech as reported'!D159="NA",0,'BionTech as reported'!D159)/$D$5</f>
        <v>0</v>
      </c>
      <c r="H57" s="25">
        <f>IF('BionTech as reported'!E159="NA",0,'BionTech as reported'!E159)/$D$5</f>
        <v>0</v>
      </c>
      <c r="I57" s="25">
        <f>IF('BionTech as reported'!F159="NA",0,'BionTech as reported'!F159)/$D$5</f>
        <v>0</v>
      </c>
      <c r="J57" s="25">
        <f>IF('BionTech as reported'!G159="NA",0,'BionTech as reported'!G159)</f>
        <v>0</v>
      </c>
      <c r="K57" s="25">
        <f>IF('BionTech as reported'!H159="NA",0,'BionTech as reported'!H159)</f>
        <v>0</v>
      </c>
      <c r="L57" s="25">
        <f>IF('BionTech as reported'!I159="NA",0,'BionTech as reported'!I159)</f>
        <v>6.5</v>
      </c>
      <c r="M57" s="25">
        <f>IF('BionTech as reported'!J159="NA",0,'BionTech as reported'!J159)</f>
        <v>83.4</v>
      </c>
      <c r="N57" s="25"/>
      <c r="O57" s="25"/>
      <c r="P57" s="25"/>
      <c r="Q57" s="25"/>
      <c r="R57" s="25"/>
      <c r="S57" s="25"/>
    </row>
    <row r="58" spans="1:19" ht="15" customHeight="1" x14ac:dyDescent="0.45">
      <c r="B58" s="2" t="s">
        <v>284</v>
      </c>
      <c r="D58" s="487" t="s">
        <v>459</v>
      </c>
      <c r="F58" s="25">
        <f>IF('BionTech as reported'!C160="NA",0,'BionTech as reported'!C160)/$D$5</f>
        <v>0</v>
      </c>
      <c r="G58" s="25">
        <f>IF('BionTech as reported'!D160="NA",0,'BionTech as reported'!D160)/$D$5</f>
        <v>-1E-3</v>
      </c>
      <c r="H58" s="25">
        <f>IF('BionTech as reported'!E160="NA",0,'BionTech as reported'!E160)/$D$5</f>
        <v>-1E-3</v>
      </c>
      <c r="I58" s="25">
        <f>IF('BionTech as reported'!F160="NA",0,'BionTech as reported'!F160)/$D$5</f>
        <v>0</v>
      </c>
      <c r="J58" s="25">
        <f>IF('BionTech as reported'!G160="NA",0,'BionTech as reported'!G160)</f>
        <v>0</v>
      </c>
      <c r="K58" s="25">
        <f>IF('BionTech as reported'!H160="NA",0,'BionTech as reported'!H160)</f>
        <v>0</v>
      </c>
      <c r="L58" s="25">
        <f>IF('BionTech as reported'!I160="NA",0,'BionTech as reported'!I160)</f>
        <v>0</v>
      </c>
      <c r="M58" s="25">
        <f>IF('BionTech as reported'!J160="NA",0,'BionTech as reported'!J160)</f>
        <v>0</v>
      </c>
      <c r="N58" s="25"/>
      <c r="O58" s="25"/>
      <c r="P58" s="25"/>
      <c r="Q58" s="25"/>
      <c r="R58" s="25"/>
      <c r="S58" s="25"/>
    </row>
    <row r="59" spans="1:19" s="29" customFormat="1" ht="15" customHeight="1" x14ac:dyDescent="0.45">
      <c r="A59" s="1"/>
      <c r="B59" s="2"/>
      <c r="C59" s="1"/>
      <c r="D59" s="478" t="s">
        <v>460</v>
      </c>
      <c r="E59" s="477"/>
      <c r="F59" s="477">
        <f t="shared" ref="F59:M59" si="6">SUM(F48:F58)</f>
        <v>71.834000000000003</v>
      </c>
      <c r="G59" s="477">
        <f t="shared" si="6"/>
        <v>185.07599999999999</v>
      </c>
      <c r="H59" s="477">
        <f t="shared" si="6"/>
        <v>204.02500000000001</v>
      </c>
      <c r="I59" s="477">
        <f t="shared" si="6"/>
        <v>237.49600000000001</v>
      </c>
      <c r="J59" s="477">
        <f t="shared" si="6"/>
        <v>651.70000000000005</v>
      </c>
      <c r="K59" s="477">
        <f t="shared" si="6"/>
        <v>758.49999999999989</v>
      </c>
      <c r="L59" s="477">
        <f t="shared" si="6"/>
        <v>1357.1000000000001</v>
      </c>
      <c r="M59" s="477">
        <f t="shared" si="6"/>
        <v>3479</v>
      </c>
      <c r="N59" s="477"/>
      <c r="O59" s="477"/>
      <c r="P59" s="477"/>
      <c r="Q59" s="477"/>
      <c r="R59" s="477"/>
      <c r="S59" s="477"/>
    </row>
    <row r="60" spans="1:19" ht="15" customHeight="1" x14ac:dyDescent="0.45">
      <c r="B60" s="2"/>
      <c r="D60" s="31"/>
      <c r="E60" s="25"/>
      <c r="F60" s="25"/>
      <c r="G60" s="25"/>
      <c r="H60" s="25"/>
      <c r="I60" s="25"/>
      <c r="J60" s="25"/>
      <c r="K60" s="25"/>
      <c r="L60" s="25"/>
      <c r="M60" s="25"/>
      <c r="N60" s="25"/>
      <c r="O60" s="25"/>
      <c r="P60" s="25"/>
      <c r="Q60" s="25"/>
      <c r="R60" s="25"/>
      <c r="S60" s="25"/>
    </row>
    <row r="61" spans="1:19" ht="15" customHeight="1" x14ac:dyDescent="0.45">
      <c r="B61" s="2" t="s">
        <v>285</v>
      </c>
      <c r="D61" s="487" t="s">
        <v>285</v>
      </c>
      <c r="E61" s="25"/>
      <c r="F61" s="25">
        <f>IF('BionTech as reported'!C136="NA",0,'BionTech as reported'!C136)/$D$5</f>
        <v>303.68</v>
      </c>
      <c r="G61" s="25">
        <f>IF('BionTech as reported'!D136="NA",0,'BionTech as reported'!D136)/$D$5</f>
        <v>172.10599999999999</v>
      </c>
      <c r="H61" s="25">
        <f>IF('BionTech as reported'!E136="NA",0,'BionTech as reported'!E136)/$D$5</f>
        <v>411.495</v>
      </c>
      <c r="I61" s="25">
        <f>IF('BionTech as reported'!F136="NA",0,'BionTech as reported'!F136)/$D$5</f>
        <v>519.149</v>
      </c>
      <c r="J61" s="25">
        <f>IF('BionTech as reported'!G136="NA",0,'BionTech as reported'!G136)</f>
        <v>1210.2</v>
      </c>
      <c r="K61" s="25">
        <f>IF('BionTech as reported'!H136="NA",0,'BionTech as reported'!H136)</f>
        <v>1692.7</v>
      </c>
      <c r="L61" s="25">
        <f>IF('BionTech as reported'!I136="NA",0,'BionTech as reported'!I136)</f>
        <v>13875.1</v>
      </c>
      <c r="M61" s="25">
        <f>IF('BionTech as reported'!J136="NA",0,'BionTech as reported'!J136)</f>
        <v>11663.7</v>
      </c>
      <c r="N61" s="25"/>
      <c r="O61" s="25"/>
      <c r="P61" s="25"/>
      <c r="Q61" s="25"/>
      <c r="R61" s="25"/>
      <c r="S61" s="25"/>
    </row>
    <row r="62" spans="1:19" ht="15" customHeight="1" x14ac:dyDescent="0.45">
      <c r="B62" s="2" t="s">
        <v>284</v>
      </c>
      <c r="D62" s="487" t="s">
        <v>451</v>
      </c>
      <c r="E62" s="25"/>
      <c r="F62" s="25">
        <f>IF('BionTech as reported'!C137="NA",0,'BionTech as reported'!C137)/$D$5</f>
        <v>1.528</v>
      </c>
      <c r="G62" s="25">
        <f>IF('BionTech as reported'!D137="NA",0,'BionTech as reported'!D137)/$D$5</f>
        <v>0.246</v>
      </c>
      <c r="H62" s="25">
        <f>IF('BionTech as reported'!E137="NA",0,'BionTech as reported'!E137)/$D$5</f>
        <v>0.33600000000000002</v>
      </c>
      <c r="I62" s="25">
        <f>IF('BionTech as reported'!F137="NA",0,'BionTech as reported'!F137)/$D$5</f>
        <v>1.68</v>
      </c>
      <c r="J62" s="25">
        <f>IF('BionTech as reported'!G137="NA",0,'BionTech as reported'!G137)</f>
        <v>137.19999999999999</v>
      </c>
      <c r="K62" s="25">
        <f>IF('BionTech as reported'!H137="NA",0,'BionTech as reported'!H137)</f>
        <v>381.6</v>
      </c>
      <c r="L62" s="25">
        <f>IF('BionTech as reported'!I137="NA",0,'BionTech as reported'!I137)</f>
        <v>189.4</v>
      </c>
      <c r="M62" s="25">
        <f>IF('BionTech as reported'!J137="NA",0,'BionTech as reported'!J137)</f>
        <v>4885.3</v>
      </c>
      <c r="N62" s="25"/>
      <c r="O62" s="25"/>
      <c r="P62" s="25"/>
      <c r="Q62" s="25"/>
      <c r="R62" s="25"/>
      <c r="S62" s="25"/>
    </row>
    <row r="63" spans="1:19" ht="15" customHeight="1" x14ac:dyDescent="0.45">
      <c r="B63" s="2" t="s">
        <v>283</v>
      </c>
      <c r="D63" s="487" t="s">
        <v>283</v>
      </c>
      <c r="E63" s="25"/>
      <c r="F63" s="25">
        <f>IF('BionTech as reported'!C138="NA",0,'BionTech as reported'!C138)/$D$5</f>
        <v>3.161</v>
      </c>
      <c r="G63" s="25">
        <f>IF('BionTech as reported'!D138="NA",0,'BionTech as reported'!D138)/$D$5</f>
        <v>4.5750000000000002</v>
      </c>
      <c r="H63" s="25">
        <f>IF('BionTech as reported'!E138="NA",0,'BionTech as reported'!E138)/$D$5</f>
        <v>18.937999999999999</v>
      </c>
      <c r="I63" s="25">
        <f>IF('BionTech as reported'!F138="NA",0,'BionTech as reported'!F138)/$D$5</f>
        <v>11.913</v>
      </c>
      <c r="J63" s="25">
        <f>IF('BionTech as reported'!G138="NA",0,'BionTech as reported'!G138)</f>
        <v>0</v>
      </c>
      <c r="K63" s="25">
        <f>IF('BionTech as reported'!H138="NA",0,'BionTech as reported'!H138)</f>
        <v>0</v>
      </c>
      <c r="L63" s="25">
        <f>IF('BionTech as reported'!I138="NA",0,'BionTech as reported'!I138)</f>
        <v>0</v>
      </c>
      <c r="M63" s="25">
        <f>IF('BionTech as reported'!J138="NA",0,'BionTech as reported'!J138)</f>
        <v>0</v>
      </c>
      <c r="N63" s="25"/>
      <c r="O63" s="25"/>
      <c r="P63" s="25"/>
      <c r="Q63" s="25"/>
      <c r="R63" s="25"/>
      <c r="S63" s="25"/>
    </row>
    <row r="64" spans="1:19" ht="15" customHeight="1" x14ac:dyDescent="0.45">
      <c r="B64" s="2" t="s">
        <v>283</v>
      </c>
      <c r="D64" s="487" t="s">
        <v>461</v>
      </c>
      <c r="E64" s="25"/>
      <c r="F64" s="25">
        <f>IF('BionTech as reported'!C139="NA",0,'BionTech as reported'!C139)/$D$5</f>
        <v>0</v>
      </c>
      <c r="G64" s="25">
        <f>IF('BionTech as reported'!D139="NA",0,'BionTech as reported'!D139)/$D$5</f>
        <v>0</v>
      </c>
      <c r="H64" s="25">
        <f>IF('BionTech as reported'!E139="NA",0,'BionTech as reported'!E139)/$D$5</f>
        <v>0</v>
      </c>
      <c r="I64" s="25">
        <f>IF('BionTech as reported'!F139="NA",0,'BionTech as reported'!F139)/$D$5</f>
        <v>0</v>
      </c>
      <c r="J64" s="25">
        <f>IF('BionTech as reported'!G139="NA",0,'BionTech as reported'!G139)</f>
        <v>165.5</v>
      </c>
      <c r="K64" s="25">
        <f>IF('BionTech as reported'!H139="NA",0,'BionTech as reported'!H139)</f>
        <v>12381.7</v>
      </c>
      <c r="L64" s="25">
        <f>IF('BionTech as reported'!I139="NA",0,'BionTech as reported'!I139)</f>
        <v>7145.6</v>
      </c>
      <c r="M64" s="25">
        <f>IF('BionTech as reported'!J139="NA",0,'BionTech as reported'!J139)</f>
        <v>2155.6999999999998</v>
      </c>
      <c r="N64" s="25"/>
      <c r="O64" s="25"/>
      <c r="P64" s="25"/>
      <c r="Q64" s="25"/>
      <c r="R64" s="25"/>
      <c r="S64" s="25"/>
    </row>
    <row r="65" spans="1:19" ht="15" customHeight="1" x14ac:dyDescent="0.45">
      <c r="B65" s="2" t="s">
        <v>284</v>
      </c>
      <c r="D65" s="487" t="s">
        <v>462</v>
      </c>
      <c r="E65" s="25"/>
      <c r="F65" s="25">
        <f>IF('BionTech as reported'!C140="NA",0,'BionTech as reported'!C140)/$D$5</f>
        <v>0.63700000000000001</v>
      </c>
      <c r="G65" s="25">
        <f>IF('BionTech as reported'!D140="NA",0,'BionTech as reported'!D140)/$D$5</f>
        <v>0</v>
      </c>
      <c r="H65" s="25">
        <f>IF('BionTech as reported'!E140="NA",0,'BionTech as reported'!E140)/$D$5</f>
        <v>0</v>
      </c>
      <c r="I65" s="25">
        <f>IF('BionTech as reported'!F140="NA",0,'BionTech as reported'!F140)/$D$5</f>
        <v>0</v>
      </c>
      <c r="J65" s="25">
        <f>IF('BionTech as reported'!G140="NA",0,'BionTech as reported'!G140)</f>
        <v>0</v>
      </c>
      <c r="K65" s="25">
        <f>IF('BionTech as reported'!H140="NA",0,'BionTech as reported'!H140)</f>
        <v>0</v>
      </c>
      <c r="L65" s="25">
        <f>IF('BionTech as reported'!I140="NA",0,'BionTech as reported'!I140)</f>
        <v>0</v>
      </c>
      <c r="M65" s="25">
        <f>IF('BionTech as reported'!J140="NA",0,'BionTech as reported'!J140)</f>
        <v>4.9000000000000004</v>
      </c>
      <c r="N65" s="25"/>
      <c r="O65" s="25"/>
      <c r="P65" s="25"/>
      <c r="Q65" s="25"/>
      <c r="R65" s="25"/>
      <c r="S65" s="25"/>
    </row>
    <row r="66" spans="1:19" ht="15" customHeight="1" x14ac:dyDescent="0.45">
      <c r="B66" s="2" t="s">
        <v>281</v>
      </c>
      <c r="D66" s="487" t="s">
        <v>463</v>
      </c>
      <c r="E66" s="25"/>
      <c r="F66" s="25">
        <f>IF('BionTech as reported'!C141="NA",0,'BionTech as reported'!C141)/$D$5</f>
        <v>2E-3</v>
      </c>
      <c r="G66" s="25">
        <f>IF('BionTech as reported'!D141="NA",0,'BionTech as reported'!D141)/$D$5</f>
        <v>0.68700000000000006</v>
      </c>
      <c r="H66" s="25">
        <f>IF('BionTech as reported'!E141="NA",0,'BionTech as reported'!E141)/$D$5</f>
        <v>0.89100000000000001</v>
      </c>
      <c r="I66" s="25">
        <f>IF('BionTech as reported'!F141="NA",0,'BionTech as reported'!F141)/$D$5</f>
        <v>0.75600000000000001</v>
      </c>
      <c r="J66" s="25">
        <f>IF('BionTech as reported'!G141="NA",0,'BionTech as reported'!G141)</f>
        <v>0.9</v>
      </c>
      <c r="K66" s="25">
        <f>IF('BionTech as reported'!H141="NA",0,'BionTech as reported'!H141)</f>
        <v>0.4</v>
      </c>
      <c r="L66" s="25">
        <f>IF('BionTech as reported'!I141="NA",0,'BionTech as reported'!I141)</f>
        <v>0.4</v>
      </c>
      <c r="M66" s="25">
        <f>IF('BionTech as reported'!J141="NA",0,'BionTech as reported'!J141)</f>
        <v>179.1</v>
      </c>
      <c r="N66" s="25"/>
      <c r="O66" s="25"/>
      <c r="P66" s="25"/>
      <c r="Q66" s="25"/>
      <c r="R66" s="25"/>
      <c r="S66" s="25"/>
    </row>
    <row r="67" spans="1:19" ht="15" customHeight="1" x14ac:dyDescent="0.45">
      <c r="B67" s="2" t="s">
        <v>136</v>
      </c>
      <c r="D67" s="487" t="s">
        <v>136</v>
      </c>
      <c r="E67" s="25"/>
      <c r="F67" s="25">
        <f>IF('BionTech as reported'!C142="NA",0,'BionTech as reported'!C142)/$D$5</f>
        <v>3.266</v>
      </c>
      <c r="G67" s="25">
        <f>IF('BionTech as reported'!D142="NA",0,'BionTech as reported'!D142)/$D$5</f>
        <v>3.8759999999999999</v>
      </c>
      <c r="H67" s="25">
        <f>IF('BionTech as reported'!E142="NA",0,'BionTech as reported'!E142)/$D$5</f>
        <v>5.7889999999999997</v>
      </c>
      <c r="I67" s="25">
        <f>IF('BionTech as reported'!F142="NA",0,'BionTech as reported'!F142)/$D$5</f>
        <v>11.722</v>
      </c>
      <c r="J67" s="25">
        <f>IF('BionTech as reported'!G142="NA",0,'BionTech as reported'!G142)</f>
        <v>64.099999999999994</v>
      </c>
      <c r="K67" s="25">
        <f>IF('BionTech as reported'!H142="NA",0,'BionTech as reported'!H142)</f>
        <v>502.5</v>
      </c>
      <c r="L67" s="25">
        <f>IF('BionTech as reported'!I142="NA",0,'BionTech as reported'!I142)</f>
        <v>439.6</v>
      </c>
      <c r="M67" s="25">
        <f>IF('BionTech as reported'!J142="NA",0,'BionTech as reported'!J142)</f>
        <v>357.7</v>
      </c>
      <c r="N67" s="25"/>
      <c r="O67" s="25"/>
      <c r="P67" s="25"/>
      <c r="Q67" s="25"/>
      <c r="R67" s="25"/>
      <c r="S67" s="25"/>
    </row>
    <row r="68" spans="1:19" ht="15" customHeight="1" x14ac:dyDescent="0.45">
      <c r="B68" s="2" t="s">
        <v>284</v>
      </c>
      <c r="D68" s="487" t="s">
        <v>464</v>
      </c>
      <c r="E68" s="25"/>
      <c r="F68" s="25">
        <f>IF('BionTech as reported'!C143="NA",0,'BionTech as reported'!C143)/$D$5</f>
        <v>1.153</v>
      </c>
      <c r="G68" s="25">
        <f>IF('BionTech as reported'!D143="NA",0,'BionTech as reported'!D143)/$D$5</f>
        <v>1.8720000000000001</v>
      </c>
      <c r="H68" s="25">
        <f>IF('BionTech as reported'!E143="NA",0,'BionTech as reported'!E143)/$D$5</f>
        <v>2.3479999999999999</v>
      </c>
      <c r="I68" s="25">
        <f>IF('BionTech as reported'!F143="NA",0,'BionTech as reported'!F143)/$D$5</f>
        <v>5.8620000000000001</v>
      </c>
      <c r="J68" s="25">
        <f>IF('BionTech as reported'!G143="NA",0,'BionTech as reported'!G143)</f>
        <v>28</v>
      </c>
      <c r="K68" s="25">
        <f>IF('BionTech as reported'!H143="NA",0,'BionTech as reported'!H143)</f>
        <v>0</v>
      </c>
      <c r="L68" s="25">
        <f>IF('BionTech as reported'!I143="NA",0,'BionTech as reported'!I143)</f>
        <v>0</v>
      </c>
      <c r="M68" s="25">
        <f>IF('BionTech as reported'!J143="NA",0,'BionTech as reported'!J143)</f>
        <v>0</v>
      </c>
      <c r="N68" s="25"/>
      <c r="O68" s="25"/>
      <c r="P68" s="25"/>
      <c r="Q68" s="25"/>
      <c r="R68" s="25"/>
      <c r="S68" s="25"/>
    </row>
    <row r="69" spans="1:19" ht="15" customHeight="1" x14ac:dyDescent="0.45">
      <c r="B69" s="2" t="s">
        <v>284</v>
      </c>
      <c r="D69" s="487" t="s">
        <v>456</v>
      </c>
      <c r="E69" s="23"/>
      <c r="F69" s="25">
        <f>IF('BionTech as reported'!C144="NA",0,'BionTech as reported'!C144)/$D$5</f>
        <v>4.6989999999999998</v>
      </c>
      <c r="G69" s="25">
        <f>IF('BionTech as reported'!D144="NA",0,'BionTech as reported'!D144)/$D$5</f>
        <v>6.2270000000000003</v>
      </c>
      <c r="H69" s="25">
        <f>IF('BionTech as reported'!E144="NA",0,'BionTech as reported'!E144)/$D$5</f>
        <v>9.1639999999999997</v>
      </c>
      <c r="I69" s="25">
        <f>IF('BionTech as reported'!F144="NA",0,'BionTech as reported'!F144)/$D$5</f>
        <v>9.0690000000000008</v>
      </c>
      <c r="J69" s="25">
        <f>IF('BionTech as reported'!G144="NA",0,'BionTech as reported'!G144)</f>
        <v>61</v>
      </c>
      <c r="K69" s="25">
        <f>IF('BionTech as reported'!H144="NA",0,'BionTech as reported'!H144)</f>
        <v>0</v>
      </c>
      <c r="L69" s="25">
        <f>IF('BionTech as reported'!I144="NA",0,'BionTech as reported'!I144)</f>
        <v>0</v>
      </c>
      <c r="M69" s="25">
        <f>IF('BionTech as reported'!J144="NA",0,'BionTech as reported'!J144)</f>
        <v>0</v>
      </c>
      <c r="N69" s="23"/>
      <c r="O69" s="23"/>
      <c r="P69" s="23"/>
      <c r="Q69" s="23"/>
      <c r="R69" s="23"/>
      <c r="S69" s="23"/>
    </row>
    <row r="70" spans="1:19" ht="15" customHeight="1" x14ac:dyDescent="0.45">
      <c r="B70" s="2" t="s">
        <v>284</v>
      </c>
      <c r="D70" s="487" t="s">
        <v>457</v>
      </c>
      <c r="E70" s="23"/>
      <c r="F70" s="25">
        <f>IF('BionTech as reported'!C145="NA",0,'BionTech as reported'!C145)/$D$5</f>
        <v>0</v>
      </c>
      <c r="G70" s="25">
        <f>IF('BionTech as reported'!D145="NA",0,'BionTech as reported'!D145)/$D$5</f>
        <v>0</v>
      </c>
      <c r="H70" s="25">
        <f>IF('BionTech as reported'!E145="NA",0,'BionTech as reported'!E145)/$D$5</f>
        <v>0</v>
      </c>
      <c r="I70" s="25">
        <f>IF('BionTech as reported'!F145="NA",0,'BionTech as reported'!F145)/$D$5</f>
        <v>0</v>
      </c>
      <c r="J70" s="25">
        <f>IF('BionTech as reported'!G145="NA",0,'BionTech as reported'!G145)</f>
        <v>0</v>
      </c>
      <c r="K70" s="25">
        <f>IF('BionTech as reported'!H145="NA",0,'BionTech as reported'!H145)</f>
        <v>113.4</v>
      </c>
      <c r="L70" s="25">
        <f>IF('BionTech as reported'!I145="NA",0,'BionTech as reported'!I145)</f>
        <v>0</v>
      </c>
      <c r="M70" s="25">
        <f>IF('BionTech as reported'!J145="NA",0,'BionTech as reported'!J145)</f>
        <v>0</v>
      </c>
      <c r="N70" s="23"/>
      <c r="O70" s="23"/>
      <c r="P70" s="23"/>
      <c r="Q70" s="23"/>
      <c r="R70" s="23"/>
      <c r="S70" s="23"/>
    </row>
    <row r="71" spans="1:19" ht="15" customHeight="1" x14ac:dyDescent="0.45">
      <c r="B71" s="2" t="s">
        <v>284</v>
      </c>
      <c r="D71" s="487" t="s">
        <v>458</v>
      </c>
      <c r="E71" s="23"/>
      <c r="F71" s="25">
        <f>IF('BionTech as reported'!C146="NA",0,'BionTech as reported'!C146)/$D$5</f>
        <v>0</v>
      </c>
      <c r="G71" s="25">
        <f>IF('BionTech as reported'!D146="NA",0,'BionTech as reported'!D146)/$D$5</f>
        <v>0</v>
      </c>
      <c r="H71" s="25">
        <f>IF('BionTech as reported'!E146="NA",0,'BionTech as reported'!E146)/$D$5</f>
        <v>0</v>
      </c>
      <c r="I71" s="25">
        <f>IF('BionTech as reported'!F146="NA",0,'BionTech as reported'!F146)/$D$5</f>
        <v>0</v>
      </c>
      <c r="J71" s="25">
        <f>IF('BionTech as reported'!G146="NA",0,'BionTech as reported'!G146)</f>
        <v>0</v>
      </c>
      <c r="K71" s="25">
        <f>IF('BionTech as reported'!H146="NA",0,'BionTech as reported'!H146)</f>
        <v>0</v>
      </c>
      <c r="L71" s="25">
        <f>IF('BionTech as reported'!I146="NA",0,'BionTech as reported'!I146)</f>
        <v>271.89999999999998</v>
      </c>
      <c r="M71" s="25">
        <f>IF('BionTech as reported'!J146="NA",0,'BionTech as reported'!J146)</f>
        <v>280.89999999999998</v>
      </c>
      <c r="N71" s="23"/>
      <c r="O71" s="23"/>
      <c r="P71" s="23"/>
      <c r="Q71" s="23"/>
      <c r="R71" s="23"/>
      <c r="S71" s="23"/>
    </row>
    <row r="72" spans="1:19" ht="15" customHeight="1" x14ac:dyDescent="0.45">
      <c r="B72" s="2" t="s">
        <v>284</v>
      </c>
      <c r="D72" s="487" t="s">
        <v>465</v>
      </c>
      <c r="E72" s="23"/>
      <c r="F72" s="25">
        <f>IF('BionTech as reported'!C147="NA",0,'BionTech as reported'!C147)/$D$5</f>
        <v>-1E-3</v>
      </c>
      <c r="G72" s="25">
        <f>IF('BionTech as reported'!D147="NA",0,'BionTech as reported'!D147)/$D$5</f>
        <v>4.8000000000000001E-2</v>
      </c>
      <c r="H72" s="25">
        <f>IF('BionTech as reported'!E147="NA",0,'BionTech as reported'!E147)/$D$5</f>
        <v>0</v>
      </c>
      <c r="I72" s="25">
        <f>IF('BionTech as reported'!F147="NA",0,'BionTech as reported'!F147)/$D$5</f>
        <v>0</v>
      </c>
      <c r="J72" s="25">
        <f>IF('BionTech as reported'!G147="NA",0,'BionTech as reported'!G147)</f>
        <v>0</v>
      </c>
      <c r="K72" s="25">
        <f>IF('BionTech as reported'!H147="NA",0,'BionTech as reported'!H147)</f>
        <v>0</v>
      </c>
      <c r="L72" s="25">
        <f>IF('BionTech as reported'!I147="NA",0,'BionTech as reported'!I147)</f>
        <v>0</v>
      </c>
      <c r="M72" s="25">
        <f>IF('BionTech as reported'!J147="NA",0,'BionTech as reported'!J147)</f>
        <v>0</v>
      </c>
      <c r="N72" s="23"/>
      <c r="O72" s="23"/>
      <c r="P72" s="23"/>
      <c r="Q72" s="23"/>
      <c r="R72" s="23"/>
      <c r="S72" s="23"/>
    </row>
    <row r="73" spans="1:19" s="29" customFormat="1" ht="15" customHeight="1" x14ac:dyDescent="0.45">
      <c r="A73" s="1"/>
      <c r="B73" s="2"/>
      <c r="C73" s="1"/>
      <c r="D73" s="478" t="s">
        <v>466</v>
      </c>
      <c r="E73" s="477"/>
      <c r="F73" s="477">
        <f t="shared" ref="F73:M73" si="7">SUM(F61:F72)</f>
        <v>318.12500000000011</v>
      </c>
      <c r="G73" s="477">
        <f t="shared" si="7"/>
        <v>189.63700000000003</v>
      </c>
      <c r="H73" s="477">
        <f t="shared" si="7"/>
        <v>448.96100000000001</v>
      </c>
      <c r="I73" s="477">
        <f t="shared" si="7"/>
        <v>560.15099999999984</v>
      </c>
      <c r="J73" s="477">
        <f t="shared" si="7"/>
        <v>1666.9</v>
      </c>
      <c r="K73" s="477">
        <f t="shared" si="7"/>
        <v>15072.3</v>
      </c>
      <c r="L73" s="477">
        <f t="shared" si="7"/>
        <v>21922</v>
      </c>
      <c r="M73" s="477">
        <f t="shared" si="7"/>
        <v>19527.300000000003</v>
      </c>
      <c r="N73" s="477"/>
      <c r="O73" s="477"/>
      <c r="P73" s="477"/>
      <c r="Q73" s="477"/>
      <c r="R73" s="477"/>
      <c r="S73" s="477"/>
    </row>
    <row r="74" spans="1:19" ht="15" customHeight="1" x14ac:dyDescent="0.45">
      <c r="B74" s="2"/>
      <c r="D74" s="479"/>
      <c r="E74" s="23"/>
      <c r="F74" s="23"/>
      <c r="G74" s="23"/>
      <c r="H74" s="23"/>
      <c r="I74" s="23"/>
      <c r="J74" s="23"/>
      <c r="K74" s="23"/>
      <c r="L74" s="23"/>
      <c r="M74" s="23"/>
      <c r="N74" s="23"/>
      <c r="O74" s="23"/>
      <c r="P74" s="23"/>
      <c r="Q74" s="23"/>
      <c r="R74" s="23"/>
      <c r="S74" s="23"/>
    </row>
    <row r="75" spans="1:19" ht="15" customHeight="1" x14ac:dyDescent="0.45">
      <c r="B75" s="2" t="s">
        <v>287</v>
      </c>
      <c r="D75" s="478" t="s">
        <v>467</v>
      </c>
      <c r="E75" s="477"/>
      <c r="F75" s="477">
        <f t="shared" ref="F75:M75" si="8">SUM(F59,F73)</f>
        <v>389.95900000000012</v>
      </c>
      <c r="G75" s="477">
        <f t="shared" si="8"/>
        <v>374.71300000000002</v>
      </c>
      <c r="H75" s="477">
        <f t="shared" si="8"/>
        <v>652.98599999999999</v>
      </c>
      <c r="I75" s="477">
        <f t="shared" si="8"/>
        <v>797.64699999999982</v>
      </c>
      <c r="J75" s="477">
        <f t="shared" si="8"/>
        <v>2318.6000000000004</v>
      </c>
      <c r="K75" s="477">
        <f t="shared" si="8"/>
        <v>15830.8</v>
      </c>
      <c r="L75" s="477">
        <f t="shared" si="8"/>
        <v>23279.1</v>
      </c>
      <c r="M75" s="477">
        <f t="shared" si="8"/>
        <v>23006.300000000003</v>
      </c>
      <c r="N75" s="477"/>
      <c r="O75" s="477"/>
      <c r="P75" s="477"/>
      <c r="Q75" s="477"/>
      <c r="R75" s="477"/>
      <c r="S75" s="477"/>
    </row>
    <row r="76" spans="1:19" ht="15" customHeight="1" x14ac:dyDescent="0.45">
      <c r="B76" s="2"/>
      <c r="D76" s="31"/>
      <c r="E76" s="25"/>
      <c r="F76" s="25"/>
      <c r="G76" s="25"/>
      <c r="H76" s="25"/>
      <c r="I76" s="25"/>
      <c r="J76" s="25"/>
      <c r="K76" s="25"/>
      <c r="L76" s="25"/>
      <c r="M76" s="25"/>
      <c r="N76" s="25"/>
      <c r="O76" s="25"/>
      <c r="P76" s="25"/>
      <c r="Q76" s="25"/>
      <c r="R76" s="25"/>
      <c r="S76" s="25"/>
    </row>
    <row r="77" spans="1:19" ht="15" customHeight="1" x14ac:dyDescent="0.45">
      <c r="B77" s="2" t="s">
        <v>289</v>
      </c>
      <c r="D77" s="487" t="s">
        <v>468</v>
      </c>
      <c r="E77" s="25"/>
      <c r="F77" s="25">
        <f>IF('BionTech as reported'!C193="NA",0,'BionTech as reported'!C193)/$D$5</f>
        <v>3.27</v>
      </c>
      <c r="G77" s="25">
        <f>IF('BionTech as reported'!D193="NA",0,'BionTech as reported'!D193)/$D$5</f>
        <v>166.76400000000001</v>
      </c>
      <c r="H77" s="25">
        <f>IF('BionTech as reported'!E193="NA",0,'BionTech as reported'!E193)/$D$5</f>
        <v>193.29599999999999</v>
      </c>
      <c r="I77" s="25">
        <f>IF('BionTech as reported'!F193="NA",0,'BionTech as reported'!F193)/$D$5</f>
        <v>232.304</v>
      </c>
      <c r="J77" s="25">
        <f>IF('BionTech as reported'!G193="NA",0,'BionTech as reported'!G193)</f>
        <v>246.3</v>
      </c>
      <c r="K77" s="25">
        <f>IF('BionTech as reported'!H193="NA",0,'BionTech as reported'!H193)</f>
        <v>246.3</v>
      </c>
      <c r="L77" s="25">
        <f>IF('BionTech as reported'!I193="NA",0,'BionTech as reported'!I193)</f>
        <v>248.6</v>
      </c>
      <c r="M77" s="25">
        <f>IF('BionTech as reported'!J193="NA",0,'BionTech as reported'!J193)</f>
        <v>248.6</v>
      </c>
      <c r="N77" s="25"/>
      <c r="O77" s="25"/>
      <c r="P77" s="25"/>
      <c r="Q77" s="25"/>
      <c r="R77" s="25"/>
      <c r="S77" s="25"/>
    </row>
    <row r="78" spans="1:19" ht="15" customHeight="1" x14ac:dyDescent="0.45">
      <c r="B78" s="2" t="s">
        <v>289</v>
      </c>
      <c r="D78" s="487" t="s">
        <v>469</v>
      </c>
      <c r="E78" s="25"/>
      <c r="F78" s="25">
        <f>IF('BionTech as reported'!C194="NA",0,'BionTech as reported'!C194)/$D$5</f>
        <v>0</v>
      </c>
      <c r="G78" s="25">
        <f>IF('BionTech as reported'!D194="NA",0,'BionTech as reported'!D194)/$D$5</f>
        <v>0</v>
      </c>
      <c r="H78" s="25">
        <f>IF('BionTech as reported'!E194="NA",0,'BionTech as reported'!E194)/$D$5</f>
        <v>0</v>
      </c>
      <c r="I78" s="25">
        <f>IF('BionTech as reported'!F194="NA",0,'BionTech as reported'!F194)/$D$5</f>
        <v>-5.5250000000000004</v>
      </c>
      <c r="J78" s="25">
        <f>IF('BionTech as reported'!G194="NA",0,'BionTech as reported'!G194)</f>
        <v>-4.8</v>
      </c>
      <c r="K78" s="25">
        <f>IF('BionTech as reported'!H194="NA",0,'BionTech as reported'!H194)</f>
        <v>-3.8</v>
      </c>
      <c r="L78" s="25">
        <f>IF('BionTech as reported'!I194="NA",0,'BionTech as reported'!I194)</f>
        <v>-5.3</v>
      </c>
      <c r="M78" s="25">
        <f>IF('BionTech as reported'!J194="NA",0,'BionTech as reported'!J194)</f>
        <v>-10.8</v>
      </c>
      <c r="N78" s="25"/>
      <c r="O78" s="25"/>
      <c r="P78" s="25"/>
      <c r="Q78" s="25"/>
      <c r="R78" s="25"/>
      <c r="S78" s="25"/>
    </row>
    <row r="79" spans="1:19" ht="15" customHeight="1" x14ac:dyDescent="0.45">
      <c r="B79" s="2" t="s">
        <v>289</v>
      </c>
      <c r="D79" s="487" t="s">
        <v>470</v>
      </c>
      <c r="E79" s="25"/>
      <c r="F79" s="25">
        <f>IF('BionTech as reported'!C195="NA",0,'BionTech as reported'!C195)/$D$5</f>
        <v>-112.1</v>
      </c>
      <c r="G79" s="25">
        <f>IF('BionTech as reported'!D195="NA",0,'BionTech as reported'!D195)/$D$5</f>
        <v>-197.75299999999999</v>
      </c>
      <c r="H79" s="25">
        <f>IF('BionTech as reported'!E195="NA",0,'BionTech as reported'!E195)/$D$5</f>
        <v>-245.77099999999999</v>
      </c>
      <c r="I79" s="25">
        <f>IF('BionTech as reported'!F195="NA",0,'BionTech as reported'!F195)/$D$5</f>
        <v>-424.827</v>
      </c>
      <c r="J79" s="25">
        <f>IF('BionTech as reported'!G195="NA",0,'BionTech as reported'!G195)</f>
        <v>-409.6</v>
      </c>
      <c r="K79" s="25">
        <f>IF('BionTech as reported'!H195="NA",0,'BionTech as reported'!H195)</f>
        <v>9882.9</v>
      </c>
      <c r="L79" s="25">
        <f>IF('BionTech as reported'!I195="NA",0,'BionTech as reported'!I195)</f>
        <v>18833</v>
      </c>
      <c r="M79" s="25">
        <f>IF('BionTech as reported'!J195="NA",0,'BionTech as reported'!J195)</f>
        <v>19763.3</v>
      </c>
      <c r="N79" s="25"/>
      <c r="O79" s="25"/>
      <c r="P79" s="25"/>
      <c r="Q79" s="25"/>
      <c r="R79" s="25"/>
      <c r="S79" s="25"/>
    </row>
    <row r="80" spans="1:19" ht="15" customHeight="1" x14ac:dyDescent="0.45">
      <c r="B80" s="2" t="s">
        <v>289</v>
      </c>
      <c r="D80" s="487" t="s">
        <v>471</v>
      </c>
      <c r="E80" s="25"/>
      <c r="F80" s="25">
        <f>IF('BionTech as reported'!C196="NA",0,'BionTech as reported'!C196)/$D$5</f>
        <v>172.416</v>
      </c>
      <c r="G80" s="25">
        <f>IF('BionTech as reported'!D196="NA",0,'BionTech as reported'!D196)/$D$5</f>
        <v>8.9220000000000006</v>
      </c>
      <c r="H80" s="25">
        <f>IF('BionTech as reported'!E196="NA",0,'BionTech as reported'!E196)/$D$5</f>
        <v>344.11500000000001</v>
      </c>
      <c r="I80" s="25">
        <f>IF('BionTech as reported'!F196="NA",0,'BionTech as reported'!F196)/$D$5</f>
        <v>686.71400000000006</v>
      </c>
      <c r="J80" s="25">
        <f>IF('BionTech as reported'!G196="NA",0,'BionTech as reported'!G196)</f>
        <v>1514.5</v>
      </c>
      <c r="K80" s="25">
        <f>IF('BionTech as reported'!H196="NA",0,'BionTech as reported'!H196)</f>
        <v>1674.4</v>
      </c>
      <c r="L80" s="25">
        <f>IF('BionTech as reported'!I196="NA",0,'BionTech as reported'!I196)</f>
        <v>1828.2</v>
      </c>
      <c r="M80" s="25">
        <f>IF('BionTech as reported'!J196="NA",0,'BionTech as reported'!J196)</f>
        <v>1229.4000000000001</v>
      </c>
      <c r="N80" s="25"/>
      <c r="O80" s="25"/>
      <c r="P80" s="25"/>
      <c r="Q80" s="25"/>
      <c r="R80" s="25"/>
      <c r="S80" s="25"/>
    </row>
    <row r="81" spans="1:19" ht="15" customHeight="1" x14ac:dyDescent="0.45">
      <c r="B81" s="2" t="s">
        <v>289</v>
      </c>
      <c r="D81" s="487" t="s">
        <v>472</v>
      </c>
      <c r="E81" s="25"/>
      <c r="F81" s="25">
        <f>IF('BionTech as reported'!C197="NA",0,'BionTech as reported'!C197)/$D$5</f>
        <v>-33.115000000000002</v>
      </c>
      <c r="G81" s="25">
        <f>IF('BionTech as reported'!D197="NA",0,'BionTech as reported'!D197)/$D$5</f>
        <v>-27.228999999999999</v>
      </c>
      <c r="H81" s="25">
        <f>IF('BionTech as reported'!E197="NA",0,'BionTech as reported'!E197)/$D$5</f>
        <v>-25.486999999999998</v>
      </c>
      <c r="I81" s="25">
        <f>IF('BionTech as reported'!F197="NA",0,'BionTech as reported'!F197)/$D$5</f>
        <v>4.8259999999999996</v>
      </c>
      <c r="J81" s="25">
        <f>IF('BionTech as reported'!G197="NA",0,'BionTech as reported'!G197)</f>
        <v>25.4</v>
      </c>
      <c r="K81" s="25">
        <f>IF('BionTech as reported'!H197="NA",0,'BionTech as reported'!H197)</f>
        <v>93.9</v>
      </c>
      <c r="L81" s="25">
        <f>IF('BionTech as reported'!I197="NA",0,'BionTech as reported'!I197)</f>
        <v>-848.9</v>
      </c>
      <c r="M81" s="25">
        <f>IF('BionTech as reported'!J197="NA",0,'BionTech as reported'!J197)</f>
        <v>-984.6</v>
      </c>
      <c r="N81" s="25"/>
      <c r="O81" s="25"/>
      <c r="P81" s="25"/>
      <c r="Q81" s="25"/>
      <c r="R81" s="25"/>
      <c r="S81" s="25"/>
    </row>
    <row r="82" spans="1:19" s="30" customFormat="1" ht="15" customHeight="1" x14ac:dyDescent="0.45">
      <c r="A82" s="4"/>
      <c r="B82" s="5"/>
      <c r="C82" s="4"/>
      <c r="D82" s="478" t="s">
        <v>245</v>
      </c>
      <c r="E82" s="477"/>
      <c r="F82" s="477">
        <f t="shared" ref="F82:M82" si="9">SUM(F77:F81)</f>
        <v>30.470999999999997</v>
      </c>
      <c r="G82" s="477">
        <f t="shared" si="9"/>
        <v>-49.295999999999978</v>
      </c>
      <c r="H82" s="477">
        <f t="shared" si="9"/>
        <v>266.15299999999996</v>
      </c>
      <c r="I82" s="477">
        <f t="shared" si="9"/>
        <v>493.49200000000008</v>
      </c>
      <c r="J82" s="477">
        <f t="shared" si="9"/>
        <v>1371.8000000000002</v>
      </c>
      <c r="K82" s="477">
        <f t="shared" si="9"/>
        <v>11893.699999999999</v>
      </c>
      <c r="L82" s="477">
        <f t="shared" si="9"/>
        <v>20055.599999999999</v>
      </c>
      <c r="M82" s="477">
        <f t="shared" si="9"/>
        <v>20245.900000000001</v>
      </c>
      <c r="N82" s="477"/>
      <c r="O82" s="477"/>
      <c r="P82" s="477"/>
      <c r="Q82" s="477"/>
      <c r="R82" s="477"/>
      <c r="S82" s="477"/>
    </row>
    <row r="83" spans="1:19" ht="15" customHeight="1" x14ac:dyDescent="0.45">
      <c r="B83" s="2"/>
      <c r="D83" s="479"/>
      <c r="E83" s="25"/>
      <c r="F83" s="25"/>
      <c r="G83" s="25"/>
      <c r="H83" s="25"/>
      <c r="I83" s="25"/>
      <c r="J83" s="25"/>
      <c r="K83" s="25"/>
      <c r="L83" s="25"/>
      <c r="M83" s="25"/>
      <c r="N83" s="25"/>
      <c r="O83" s="25"/>
      <c r="P83" s="25"/>
      <c r="Q83" s="25"/>
      <c r="R83" s="25"/>
      <c r="S83" s="25"/>
    </row>
    <row r="84" spans="1:19" ht="15" customHeight="1" x14ac:dyDescent="0.45">
      <c r="B84" s="2"/>
      <c r="D84" s="479"/>
      <c r="E84" s="25"/>
      <c r="F84" s="25"/>
      <c r="G84" s="25"/>
      <c r="H84" s="25"/>
      <c r="I84" s="25"/>
      <c r="J84" s="25"/>
      <c r="K84" s="25"/>
      <c r="L84" s="25"/>
      <c r="M84" s="25"/>
      <c r="N84" s="25"/>
      <c r="O84" s="25"/>
      <c r="P84" s="25"/>
      <c r="Q84" s="25"/>
      <c r="R84" s="25"/>
      <c r="S84" s="25"/>
    </row>
    <row r="85" spans="1:19" ht="15" customHeight="1" x14ac:dyDescent="0.45">
      <c r="B85" s="2" t="s">
        <v>292</v>
      </c>
      <c r="D85" s="487" t="s">
        <v>473</v>
      </c>
      <c r="E85" s="25"/>
      <c r="F85" s="25">
        <f>IF('BionTech as reported'!C179="NA",0,'BionTech as reported'!C179)/$D$5</f>
        <v>0</v>
      </c>
      <c r="G85" s="25">
        <f>IF('BionTech as reported'!D179="NA",0,'BionTech as reported'!D179)/$D$5</f>
        <v>0</v>
      </c>
      <c r="H85" s="25">
        <f>IF('BionTech as reported'!E179="NA",0,'BionTech as reported'!E179)/$D$5</f>
        <v>0</v>
      </c>
      <c r="I85" s="25">
        <f>IF('BionTech as reported'!F179="NA",0,'BionTech as reported'!F179)/$D$5</f>
        <v>68.903999999999996</v>
      </c>
      <c r="J85" s="25">
        <f>IF('BionTech as reported'!G179="NA",0,'BionTech as reported'!G179)</f>
        <v>231</v>
      </c>
      <c r="K85" s="25">
        <f>IF('BionTech as reported'!H179="NA",0,'BionTech as reported'!H179)</f>
        <v>0</v>
      </c>
      <c r="L85" s="25">
        <f>IF('BionTech as reported'!I179="NA",0,'BionTech as reported'!I179)</f>
        <v>0</v>
      </c>
      <c r="M85" s="25">
        <f>IF('BionTech as reported'!J179="NA",0,'BionTech as reported'!J179)</f>
        <v>0</v>
      </c>
      <c r="N85" s="25"/>
      <c r="O85" s="25"/>
      <c r="P85" s="25"/>
      <c r="Q85" s="25"/>
      <c r="R85" s="25"/>
      <c r="S85" s="25"/>
    </row>
    <row r="86" spans="1:19" ht="15" customHeight="1" x14ac:dyDescent="0.45">
      <c r="B86" s="2" t="s">
        <v>292</v>
      </c>
      <c r="D86" s="487" t="s">
        <v>474</v>
      </c>
      <c r="E86" s="25"/>
      <c r="F86" s="25">
        <f>IF('BionTech as reported'!C180="NA",0,'BionTech as reported'!C180)/$D$5</f>
        <v>0</v>
      </c>
      <c r="G86" s="25">
        <f>IF('BionTech as reported'!D180="NA",0,'BionTech as reported'!D180)/$D$5</f>
        <v>0</v>
      </c>
      <c r="H86" s="25">
        <f>IF('BionTech as reported'!E180="NA",0,'BionTech as reported'!E180)/$D$5</f>
        <v>0</v>
      </c>
      <c r="I86" s="25">
        <f>IF('BionTech as reported'!F180="NA",0,'BionTech as reported'!F180)/$D$5</f>
        <v>0</v>
      </c>
      <c r="J86" s="25">
        <f>IF('BionTech as reported'!G180="NA",0,'BionTech as reported'!G180)</f>
        <v>0</v>
      </c>
      <c r="K86" s="25">
        <f>IF('BionTech as reported'!H180="NA",0,'BionTech as reported'!H180)</f>
        <v>171.6</v>
      </c>
      <c r="L86" s="25">
        <f>IF('BionTech as reported'!I180="NA",0,'BionTech as reported'!I180)</f>
        <v>176.2</v>
      </c>
      <c r="M86" s="25">
        <f>IF('BionTech as reported'!J180="NA",0,'BionTech as reported'!J180)</f>
        <v>191</v>
      </c>
      <c r="N86" s="25"/>
      <c r="O86" s="25"/>
      <c r="P86" s="25"/>
      <c r="Q86" s="25"/>
      <c r="R86" s="25"/>
      <c r="S86" s="25"/>
    </row>
    <row r="87" spans="1:19" ht="15" customHeight="1" x14ac:dyDescent="0.45">
      <c r="B87" s="2" t="s">
        <v>294</v>
      </c>
      <c r="D87" s="487" t="s">
        <v>475</v>
      </c>
      <c r="E87" s="25"/>
      <c r="F87" s="25">
        <f>IF('BionTech as reported'!C181="NA",0,'BionTech as reported'!C181)/$D$5</f>
        <v>273.41399999999999</v>
      </c>
      <c r="G87" s="25">
        <f>IF('BionTech as reported'!D181="NA",0,'BionTech as reported'!D181)/$D$5</f>
        <v>214.02600000000001</v>
      </c>
      <c r="H87" s="25">
        <f>IF('BionTech as reported'!E181="NA",0,'BionTech as reported'!E181)/$D$5</f>
        <v>205.64699999999999</v>
      </c>
      <c r="I87" s="25">
        <f>IF('BionTech as reported'!F181="NA",0,'BionTech as reported'!F181)/$D$5</f>
        <v>97.108999999999995</v>
      </c>
      <c r="J87" s="25">
        <f>IF('BionTech as reported'!G181="NA",0,'BionTech as reported'!G181)</f>
        <v>71.900000000000006</v>
      </c>
      <c r="K87" s="25">
        <f>IF('BionTech as reported'!H181="NA",0,'BionTech as reported'!H181)</f>
        <v>9</v>
      </c>
      <c r="L87" s="25">
        <f>IF('BionTech as reported'!I181="NA",0,'BionTech as reported'!I181)</f>
        <v>48.4</v>
      </c>
      <c r="M87" s="25">
        <f>IF('BionTech as reported'!J181="NA",0,'BionTech as reported'!J181)</f>
        <v>398.5</v>
      </c>
      <c r="N87" s="25"/>
      <c r="O87" s="25"/>
      <c r="P87" s="25"/>
      <c r="Q87" s="25"/>
      <c r="R87" s="25"/>
      <c r="S87" s="25"/>
    </row>
    <row r="88" spans="1:19" ht="15" customHeight="1" x14ac:dyDescent="0.45">
      <c r="B88" s="2" t="s">
        <v>293</v>
      </c>
      <c r="D88" s="487" t="s">
        <v>476</v>
      </c>
      <c r="E88" s="25"/>
      <c r="F88" s="25">
        <f>IF('BionTech as reported'!C182="NA",0,'BionTech as reported'!C182)/$D$5</f>
        <v>0</v>
      </c>
      <c r="G88" s="25">
        <f>IF('BionTech as reported'!D182="NA",0,'BionTech as reported'!D182)/$D$5</f>
        <v>0</v>
      </c>
      <c r="H88" s="25">
        <f>IF('BionTech as reported'!E182="NA",0,'BionTech as reported'!E182)/$D$5</f>
        <v>0</v>
      </c>
      <c r="I88" s="25">
        <f>IF('BionTech as reported'!F182="NA",0,'BionTech as reported'!F182)/$D$5</f>
        <v>0</v>
      </c>
      <c r="J88" s="25">
        <f>IF('BionTech as reported'!G182="NA",0,'BionTech as reported'!G182)</f>
        <v>0.2</v>
      </c>
      <c r="K88" s="25">
        <f>IF('BionTech as reported'!H182="NA",0,'BionTech as reported'!H182)</f>
        <v>66.7</v>
      </c>
      <c r="L88" s="25">
        <f>IF('BionTech as reported'!I182="NA",0,'BionTech as reported'!I182)</f>
        <v>6.2</v>
      </c>
      <c r="M88" s="25">
        <f>IF('BionTech as reported'!J182="NA",0,'BionTech as reported'!J182)</f>
        <v>39.700000000000003</v>
      </c>
      <c r="N88" s="25"/>
      <c r="O88" s="25"/>
      <c r="P88" s="25"/>
      <c r="Q88" s="25"/>
      <c r="R88" s="25"/>
      <c r="S88" s="25"/>
    </row>
    <row r="89" spans="1:19" ht="15" customHeight="1" x14ac:dyDescent="0.45">
      <c r="B89" s="2" t="s">
        <v>291</v>
      </c>
      <c r="D89" s="487" t="s">
        <v>477</v>
      </c>
      <c r="E89" s="25"/>
      <c r="F89" s="25">
        <f>IF('BionTech as reported'!C183="NA",0,'BionTech as reported'!C183)/$D$5</f>
        <v>1.387</v>
      </c>
      <c r="G89" s="25">
        <f>IF('BionTech as reported'!D183="NA",0,'BionTech as reported'!D183)/$D$5</f>
        <v>1.0900000000000001</v>
      </c>
      <c r="H89" s="25">
        <f>IF('BionTech as reported'!E183="NA",0,'BionTech as reported'!E183)/$D$5</f>
        <v>0.84699999999999998</v>
      </c>
      <c r="I89" s="25">
        <f>IF('BionTech as reported'!F183="NA",0,'BionTech as reported'!F183)/$D$5</f>
        <v>0</v>
      </c>
      <c r="J89" s="25">
        <f>IF('BionTech as reported'!G183="NA",0,'BionTech as reported'!G183)</f>
        <v>0</v>
      </c>
      <c r="K89" s="25">
        <f>IF('BionTech as reported'!H183="NA",0,'BionTech as reported'!H183)</f>
        <v>0</v>
      </c>
      <c r="L89" s="25">
        <f>IF('BionTech as reported'!I183="NA",0,'BionTech as reported'!I183)</f>
        <v>0</v>
      </c>
      <c r="M89" s="25">
        <f>IF('BionTech as reported'!J183="NA",0,'BionTech as reported'!J183)</f>
        <v>0</v>
      </c>
      <c r="N89" s="25"/>
      <c r="O89" s="25"/>
      <c r="P89" s="25"/>
      <c r="Q89" s="25"/>
      <c r="R89" s="25"/>
      <c r="S89" s="25"/>
    </row>
    <row r="90" spans="1:19" ht="15" customHeight="1" x14ac:dyDescent="0.45">
      <c r="B90" s="2" t="s">
        <v>294</v>
      </c>
      <c r="D90" s="487" t="s">
        <v>478</v>
      </c>
      <c r="E90" s="25"/>
      <c r="F90" s="25">
        <f>IF('BionTech as reported'!C184="NA",0,'BionTech as reported'!C184)/$D$5</f>
        <v>1.383</v>
      </c>
      <c r="G90" s="25">
        <f>IF('BionTech as reported'!D184="NA",0,'BionTech as reported'!D184)/$D$5</f>
        <v>0</v>
      </c>
      <c r="H90" s="25">
        <f>IF('BionTech as reported'!E184="NA",0,'BionTech as reported'!E184)/$D$5</f>
        <v>0</v>
      </c>
      <c r="I90" s="25">
        <f>IF('BionTech as reported'!F184="NA",0,'BionTech as reported'!F184)/$D$5</f>
        <v>0</v>
      </c>
      <c r="J90" s="25">
        <f>IF('BionTech as reported'!G184="NA",0,'BionTech as reported'!G184)</f>
        <v>0.7</v>
      </c>
      <c r="K90" s="25">
        <f>IF('BionTech as reported'!H184="NA",0,'BionTech as reported'!H184)</f>
        <v>0</v>
      </c>
      <c r="L90" s="25">
        <f>IF('BionTech as reported'!I184="NA",0,'BionTech as reported'!I184)</f>
        <v>0</v>
      </c>
      <c r="M90" s="25">
        <f>IF('BionTech as reported'!J184="NA",0,'BionTech as reported'!J184)</f>
        <v>0</v>
      </c>
      <c r="N90" s="25"/>
      <c r="O90" s="25"/>
      <c r="P90" s="25"/>
      <c r="Q90" s="25"/>
      <c r="R90" s="25"/>
      <c r="S90" s="25"/>
    </row>
    <row r="91" spans="1:19" ht="15" customHeight="1" x14ac:dyDescent="0.45">
      <c r="B91" s="2" t="s">
        <v>294</v>
      </c>
      <c r="D91" s="487" t="s">
        <v>479</v>
      </c>
      <c r="E91" s="25"/>
      <c r="F91" s="25">
        <f>IF('BionTech as reported'!C185="NA",0,'BionTech as reported'!C185)/$D$5</f>
        <v>0</v>
      </c>
      <c r="G91" s="25">
        <f>IF('BionTech as reported'!D185="NA",0,'BionTech as reported'!D185)/$D$5</f>
        <v>0</v>
      </c>
      <c r="H91" s="25">
        <f>IF('BionTech as reported'!E185="NA",0,'BionTech as reported'!E185)/$D$5</f>
        <v>0</v>
      </c>
      <c r="I91" s="25">
        <f>IF('BionTech as reported'!F185="NA",0,'BionTech as reported'!F185)/$D$5</f>
        <v>0</v>
      </c>
      <c r="J91" s="25">
        <f>IF('BionTech as reported'!G185="NA",0,'BionTech as reported'!G185)</f>
        <v>5.5</v>
      </c>
      <c r="K91" s="25">
        <f>IF('BionTech as reported'!H185="NA",0,'BionTech as reported'!H185)</f>
        <v>184.9</v>
      </c>
      <c r="L91" s="25">
        <f>IF('BionTech as reported'!I185="NA",0,'BionTech as reported'!I185)</f>
        <v>8.6</v>
      </c>
      <c r="M91" s="25">
        <f>IF('BionTech as reported'!J185="NA",0,'BionTech as reported'!J185)</f>
        <v>8.8000000000000007</v>
      </c>
      <c r="N91" s="25"/>
      <c r="O91" s="25"/>
      <c r="P91" s="25"/>
      <c r="Q91" s="25"/>
      <c r="R91" s="25"/>
      <c r="S91" s="25"/>
    </row>
    <row r="92" spans="1:19" ht="15" customHeight="1" x14ac:dyDescent="0.45">
      <c r="B92" s="2" t="s">
        <v>297</v>
      </c>
      <c r="D92" s="487" t="s">
        <v>480</v>
      </c>
      <c r="E92" s="25"/>
      <c r="F92" s="25">
        <f>IF('BionTech as reported'!C186="NA",0,'BionTech as reported'!C186)/$D$5</f>
        <v>0</v>
      </c>
      <c r="G92" s="25">
        <f>IF('BionTech as reported'!D186="NA",0,'BionTech as reported'!D186)/$D$5</f>
        <v>0</v>
      </c>
      <c r="H92" s="25">
        <f>IF('BionTech as reported'!E186="NA",0,'BionTech as reported'!E186)/$D$5</f>
        <v>0</v>
      </c>
      <c r="I92" s="25">
        <f>IF('BionTech as reported'!F186="NA",0,'BionTech as reported'!F186)/$D$5</f>
        <v>0</v>
      </c>
      <c r="J92" s="25">
        <f>IF('BionTech as reported'!G186="NA",0,'BionTech as reported'!G186)</f>
        <v>0</v>
      </c>
      <c r="K92" s="25">
        <f>IF('BionTech as reported'!H186="NA",0,'BionTech as reported'!H186)</f>
        <v>4.4000000000000004</v>
      </c>
      <c r="L92" s="25">
        <f>IF('BionTech as reported'!I186="NA",0,'BionTech as reported'!I186)</f>
        <v>10.4</v>
      </c>
      <c r="M92" s="25">
        <f>IF('BionTech as reported'!J186="NA",0,'BionTech as reported'!J186)</f>
        <v>0</v>
      </c>
      <c r="N92" s="25"/>
      <c r="O92" s="25"/>
      <c r="P92" s="25"/>
      <c r="Q92" s="25"/>
      <c r="R92" s="25"/>
      <c r="S92" s="25"/>
    </row>
    <row r="93" spans="1:19" ht="15" customHeight="1" x14ac:dyDescent="0.45">
      <c r="B93" s="2" t="s">
        <v>294</v>
      </c>
      <c r="D93" s="487" t="s">
        <v>481</v>
      </c>
      <c r="E93" s="25"/>
      <c r="F93" s="25">
        <f>IF('BionTech as reported'!C187="NA",0,'BionTech as reported'!C187)/$D$5</f>
        <v>0</v>
      </c>
      <c r="G93" s="25">
        <f>IF('BionTech as reported'!D187="NA",0,'BionTech as reported'!D187)/$D$5</f>
        <v>0</v>
      </c>
      <c r="H93" s="25">
        <f>IF('BionTech as reported'!E187="NA",0,'BionTech as reported'!E187)/$D$5</f>
        <v>0</v>
      </c>
      <c r="I93" s="25">
        <f>IF('BionTech as reported'!F187="NA",0,'BionTech as reported'!F187)/$D$5</f>
        <v>0</v>
      </c>
      <c r="J93" s="25">
        <f>IF('BionTech as reported'!G187="NA",0,'BionTech as reported'!G187)</f>
        <v>0</v>
      </c>
      <c r="K93" s="25">
        <f>IF('BionTech as reported'!H187="NA",0,'BionTech as reported'!H187)</f>
        <v>12.8</v>
      </c>
      <c r="L93" s="25">
        <f>IF('BionTech as reported'!I187="NA",0,'BionTech as reported'!I187)</f>
        <v>0</v>
      </c>
      <c r="M93" s="25">
        <f>IF('BionTech as reported'!J187="NA",0,'BionTech as reported'!J187)</f>
        <v>0</v>
      </c>
      <c r="N93" s="25"/>
      <c r="O93" s="25"/>
      <c r="P93" s="25"/>
      <c r="Q93" s="25"/>
      <c r="R93" s="25"/>
      <c r="S93" s="25"/>
    </row>
    <row r="94" spans="1:19" ht="15" customHeight="1" x14ac:dyDescent="0.45">
      <c r="B94" s="2" t="s">
        <v>294</v>
      </c>
      <c r="D94" s="487" t="s">
        <v>482</v>
      </c>
      <c r="E94" s="25"/>
      <c r="F94" s="25">
        <f>IF('BionTech as reported'!C188="NA",0,'BionTech as reported'!C188)/$D$5</f>
        <v>0</v>
      </c>
      <c r="G94" s="25">
        <f>IF('BionTech as reported'!D188="NA",0,'BionTech as reported'!D188)/$D$5</f>
        <v>0</v>
      </c>
      <c r="H94" s="25">
        <f>IF('BionTech as reported'!E188="NA",0,'BionTech as reported'!E188)/$D$5</f>
        <v>0</v>
      </c>
      <c r="I94" s="25">
        <f>IF('BionTech as reported'!F188="NA",0,'BionTech as reported'!F188)/$D$5</f>
        <v>0</v>
      </c>
      <c r="J94" s="25">
        <f>IF('BionTech as reported'!G188="NA",0,'BionTech as reported'!G188)</f>
        <v>31.5</v>
      </c>
      <c r="K94" s="25">
        <f>IF('BionTech as reported'!H188="NA",0,'BionTech as reported'!H188)</f>
        <v>6.1</v>
      </c>
      <c r="L94" s="25">
        <f>IF('BionTech as reported'!I188="NA",0,'BionTech as reported'!I188)</f>
        <v>6.1</v>
      </c>
      <c r="M94" s="25">
        <f>IF('BionTech as reported'!J188="NA",0,'BionTech as reported'!J188)</f>
        <v>38.799999999999997</v>
      </c>
      <c r="N94" s="25"/>
      <c r="O94" s="25"/>
      <c r="P94" s="25"/>
      <c r="Q94" s="25"/>
      <c r="R94" s="25"/>
      <c r="S94" s="25"/>
    </row>
    <row r="95" spans="1:19" ht="15" customHeight="1" x14ac:dyDescent="0.45">
      <c r="B95" s="2" t="s">
        <v>294</v>
      </c>
      <c r="D95" s="487" t="s">
        <v>483</v>
      </c>
      <c r="E95" s="25"/>
      <c r="F95" s="25">
        <f>IF('BionTech as reported'!C189="NA",0,'BionTech as reported'!C189)/$D$5</f>
        <v>26.669</v>
      </c>
      <c r="G95" s="25">
        <f>IF('BionTech as reported'!D189="NA",0,'BionTech as reported'!D189)/$D$5</f>
        <v>50.348999999999997</v>
      </c>
      <c r="H95" s="25">
        <f>IF('BionTech as reported'!E189="NA",0,'BionTech as reported'!E189)/$D$5</f>
        <v>54.218000000000004</v>
      </c>
      <c r="I95" s="25">
        <f>IF('BionTech as reported'!F189="NA",0,'BionTech as reported'!F189)/$D$5</f>
        <v>0</v>
      </c>
      <c r="J95" s="25">
        <f>IF('BionTech as reported'!G189="NA",0,'BionTech as reported'!G189)</f>
        <v>0</v>
      </c>
      <c r="K95" s="25">
        <f>IF('BionTech as reported'!H189="NA",0,'BionTech as reported'!H189)</f>
        <v>0</v>
      </c>
      <c r="L95" s="25">
        <f>IF('BionTech as reported'!I189="NA",0,'BionTech as reported'!I189)</f>
        <v>0</v>
      </c>
      <c r="M95" s="25">
        <f>IF('BionTech as reported'!J189="NA",0,'BionTech as reported'!J189)</f>
        <v>0</v>
      </c>
      <c r="N95" s="25"/>
      <c r="O95" s="25"/>
      <c r="P95" s="25"/>
      <c r="Q95" s="25"/>
      <c r="R95" s="25"/>
      <c r="S95" s="25"/>
    </row>
    <row r="96" spans="1:19" ht="15" customHeight="1" x14ac:dyDescent="0.45">
      <c r="B96" s="2" t="s">
        <v>294</v>
      </c>
      <c r="D96" s="487" t="s">
        <v>484</v>
      </c>
      <c r="E96" s="25"/>
      <c r="F96" s="25">
        <f>IF('BionTech as reported'!C190="NA",0,'BionTech as reported'!C190)/$D$5</f>
        <v>0</v>
      </c>
      <c r="G96" s="25">
        <f>IF('BionTech as reported'!D190="NA",0,'BionTech as reported'!D190)/$D$5</f>
        <v>0</v>
      </c>
      <c r="H96" s="25">
        <f>IF('BionTech as reported'!E190="NA",0,'BionTech as reported'!E190)/$D$5</f>
        <v>0</v>
      </c>
      <c r="I96" s="25">
        <f>IF('BionTech as reported'!F190="NA",0,'BionTech as reported'!F190)/$D$5</f>
        <v>0</v>
      </c>
      <c r="J96" s="25">
        <f>IF('BionTech as reported'!G190="NA",0,'BionTech as reported'!G190)</f>
        <v>0</v>
      </c>
      <c r="K96" s="25">
        <f>IF('BionTech as reported'!H190="NA",0,'BionTech as reported'!H190)</f>
        <v>0</v>
      </c>
      <c r="L96" s="25">
        <f>IF('BionTech as reported'!I190="NA",0,'BionTech as reported'!I190)</f>
        <v>17</v>
      </c>
      <c r="M96" s="25">
        <f>IF('BionTech as reported'!J190="NA",0,'BionTech as reported'!J190)</f>
        <v>13.1</v>
      </c>
      <c r="N96" s="25"/>
      <c r="O96" s="25"/>
      <c r="P96" s="25"/>
      <c r="Q96" s="25"/>
      <c r="R96" s="25"/>
      <c r="S96" s="25"/>
    </row>
    <row r="97" spans="1:19" ht="15" customHeight="1" x14ac:dyDescent="0.45">
      <c r="B97" s="2" t="s">
        <v>294</v>
      </c>
      <c r="D97" s="487" t="s">
        <v>485</v>
      </c>
      <c r="E97" s="25"/>
      <c r="F97" s="25">
        <f>IF('BionTech as reported'!C191="NA",0,'BionTech as reported'!C191)/$D$5</f>
        <v>-1E-3</v>
      </c>
      <c r="G97" s="25">
        <f>IF('BionTech as reported'!D191="NA",0,'BionTech as reported'!D191)/$D$5</f>
        <v>0</v>
      </c>
      <c r="H97" s="25">
        <f>IF('BionTech as reported'!E191="NA",0,'BionTech as reported'!E191)/$D$5</f>
        <v>0</v>
      </c>
      <c r="I97" s="25">
        <f>IF('BionTech as reported'!F191="NA",0,'BionTech as reported'!F191)/$D$5</f>
        <v>0</v>
      </c>
      <c r="J97" s="25">
        <f>IF('BionTech as reported'!G191="NA",0,'BionTech as reported'!G191)</f>
        <v>0</v>
      </c>
      <c r="K97" s="25">
        <f>IF('BionTech as reported'!H191="NA",0,'BionTech as reported'!H191)</f>
        <v>0</v>
      </c>
      <c r="L97" s="25">
        <f>IF('BionTech as reported'!I191="NA",0,'BionTech as reported'!I191)</f>
        <v>0</v>
      </c>
      <c r="M97" s="25">
        <f>IF('BionTech as reported'!J191="NA",0,'BionTech as reported'!J191)</f>
        <v>0</v>
      </c>
      <c r="N97" s="25"/>
      <c r="O97" s="25"/>
      <c r="P97" s="25"/>
      <c r="Q97" s="25"/>
      <c r="R97" s="25"/>
      <c r="S97" s="25"/>
    </row>
    <row r="98" spans="1:19" s="29" customFormat="1" ht="15" customHeight="1" x14ac:dyDescent="0.45">
      <c r="A98" s="1"/>
      <c r="B98" s="2"/>
      <c r="C98" s="1"/>
      <c r="D98" s="478" t="s">
        <v>486</v>
      </c>
      <c r="E98" s="477"/>
      <c r="F98" s="477">
        <f t="shared" ref="F98:M98" si="10">SUM(F85:F97)</f>
        <v>302.85199999999998</v>
      </c>
      <c r="G98" s="477">
        <f t="shared" si="10"/>
        <v>265.46500000000003</v>
      </c>
      <c r="H98" s="477">
        <f t="shared" si="10"/>
        <v>260.71199999999999</v>
      </c>
      <c r="I98" s="477">
        <f t="shared" si="10"/>
        <v>166.01299999999998</v>
      </c>
      <c r="J98" s="477">
        <f t="shared" si="10"/>
        <v>340.79999999999995</v>
      </c>
      <c r="K98" s="477">
        <f t="shared" si="10"/>
        <v>455.50000000000006</v>
      </c>
      <c r="L98" s="477">
        <f t="shared" si="10"/>
        <v>272.89999999999998</v>
      </c>
      <c r="M98" s="477">
        <f t="shared" si="10"/>
        <v>689.9</v>
      </c>
      <c r="N98" s="477"/>
      <c r="O98" s="477"/>
      <c r="P98" s="477"/>
      <c r="Q98" s="477"/>
      <c r="R98" s="477"/>
      <c r="S98" s="477"/>
    </row>
    <row r="99" spans="1:19" ht="15" customHeight="1" x14ac:dyDescent="0.45">
      <c r="B99" s="2"/>
      <c r="D99" s="479"/>
      <c r="E99" s="23"/>
      <c r="F99" s="23"/>
      <c r="G99" s="23"/>
      <c r="H99" s="23"/>
      <c r="I99" s="23"/>
      <c r="J99" s="23"/>
      <c r="K99" s="23"/>
      <c r="L99" s="23"/>
      <c r="M99" s="23"/>
      <c r="N99" s="23"/>
      <c r="O99" s="23"/>
      <c r="P99" s="23"/>
      <c r="Q99" s="23"/>
      <c r="R99" s="23"/>
      <c r="S99" s="23"/>
    </row>
    <row r="100" spans="1:19" ht="15" customHeight="1" x14ac:dyDescent="0.45">
      <c r="B100" s="2" t="s">
        <v>296</v>
      </c>
      <c r="D100" s="487" t="s">
        <v>296</v>
      </c>
      <c r="E100" s="25"/>
      <c r="F100" s="25">
        <f>IF('BionTech as reported'!C163="NA",0,'BionTech as reported'!C163)/$D$5</f>
        <v>6.218</v>
      </c>
      <c r="G100" s="25">
        <f>IF('BionTech as reported'!D163="NA",0,'BionTech as reported'!D163)/$D$5</f>
        <v>52.537999999999997</v>
      </c>
      <c r="H100" s="25">
        <f>IF('BionTech as reported'!E163="NA",0,'BionTech as reported'!E163)/$D$5</f>
        <v>41.720999999999997</v>
      </c>
      <c r="I100" s="25">
        <f>IF('BionTech as reported'!F163="NA",0,'BionTech as reported'!F163)/$D$5</f>
        <v>20.498000000000001</v>
      </c>
      <c r="J100" s="25">
        <f>IF('BionTech as reported'!G163="NA",0,'BionTech as reported'!G163)</f>
        <v>102.3</v>
      </c>
      <c r="K100" s="25">
        <f>IF('BionTech as reported'!H163="NA",0,'BionTech as reported'!H163)</f>
        <v>160</v>
      </c>
      <c r="L100" s="25">
        <f>IF('BionTech as reported'!I163="NA",0,'BionTech as reported'!I163)</f>
        <v>0</v>
      </c>
      <c r="M100" s="25">
        <f>IF('BionTech as reported'!J163="NA",0,'BionTech as reported'!J163)</f>
        <v>0</v>
      </c>
      <c r="N100" s="25"/>
      <c r="O100" s="25"/>
      <c r="P100" s="25"/>
      <c r="Q100" s="25"/>
      <c r="R100" s="25"/>
      <c r="S100" s="25"/>
    </row>
    <row r="101" spans="1:19" ht="15" customHeight="1" x14ac:dyDescent="0.45">
      <c r="B101" s="2" t="s">
        <v>296</v>
      </c>
      <c r="D101" s="487" t="s">
        <v>487</v>
      </c>
      <c r="E101" s="25"/>
      <c r="F101" s="25">
        <f>IF('BionTech as reported'!C164="NA",0,'BionTech as reported'!C164)/$D$5</f>
        <v>0</v>
      </c>
      <c r="G101" s="25">
        <f>IF('BionTech as reported'!D164="NA",0,'BionTech as reported'!D164)/$D$5</f>
        <v>0</v>
      </c>
      <c r="H101" s="25">
        <f>IF('BionTech as reported'!E164="NA",0,'BionTech as reported'!E164)/$D$5</f>
        <v>0</v>
      </c>
      <c r="I101" s="25">
        <f>IF('BionTech as reported'!F164="NA",0,'BionTech as reported'!F164)/$D$5</f>
        <v>0</v>
      </c>
      <c r="J101" s="25">
        <f>IF('BionTech as reported'!G164="NA",0,'BionTech as reported'!G164)</f>
        <v>0</v>
      </c>
      <c r="K101" s="25">
        <f>IF('BionTech as reported'!H164="NA",0,'BionTech as reported'!H164)</f>
        <v>0</v>
      </c>
      <c r="L101" s="25">
        <f>IF('BionTech as reported'!I164="NA",0,'BionTech as reported'!I164)</f>
        <v>204.1</v>
      </c>
      <c r="M101" s="25">
        <f>IF('BionTech as reported'!J164="NA",0,'BionTech as reported'!J164)</f>
        <v>354</v>
      </c>
      <c r="N101" s="25"/>
      <c r="O101" s="25"/>
      <c r="P101" s="25"/>
      <c r="Q101" s="25"/>
      <c r="R101" s="25"/>
      <c r="S101" s="25"/>
    </row>
    <row r="102" spans="1:19" ht="15" customHeight="1" x14ac:dyDescent="0.45">
      <c r="B102" s="2" t="s">
        <v>298</v>
      </c>
      <c r="D102" s="487" t="s">
        <v>473</v>
      </c>
      <c r="E102" s="25"/>
      <c r="F102" s="25">
        <f>IF('BionTech as reported'!C165="NA",0,'BionTech as reported'!C165)/$D$5</f>
        <v>0</v>
      </c>
      <c r="G102" s="25">
        <f>IF('BionTech as reported'!D165="NA",0,'BionTech as reported'!D165)/$D$5</f>
        <v>0</v>
      </c>
      <c r="H102" s="25">
        <f>IF('BionTech as reported'!E165="NA",0,'BionTech as reported'!E165)/$D$5</f>
        <v>0</v>
      </c>
      <c r="I102" s="25">
        <f>IF('BionTech as reported'!F165="NA",0,'BionTech as reported'!F165)/$D$5</f>
        <v>5.3070000000000004</v>
      </c>
      <c r="J102" s="25">
        <f>IF('BionTech as reported'!G165="NA",0,'BionTech as reported'!G165)</f>
        <v>9.1</v>
      </c>
      <c r="K102" s="25">
        <f>IF('BionTech as reported'!H165="NA",0,'BionTech as reported'!H165)</f>
        <v>0</v>
      </c>
      <c r="L102" s="25">
        <f>IF('BionTech as reported'!I165="NA",0,'BionTech as reported'!I165)</f>
        <v>0</v>
      </c>
      <c r="M102" s="25">
        <f>IF('BionTech as reported'!J165="NA",0,'BionTech as reported'!J165)</f>
        <v>0</v>
      </c>
      <c r="N102" s="25"/>
      <c r="O102" s="25"/>
      <c r="P102" s="25"/>
      <c r="Q102" s="25"/>
      <c r="R102" s="25"/>
      <c r="S102" s="25"/>
    </row>
    <row r="103" spans="1:19" ht="15" customHeight="1" x14ac:dyDescent="0.45">
      <c r="B103" s="2" t="s">
        <v>298</v>
      </c>
      <c r="D103" s="487" t="s">
        <v>474</v>
      </c>
      <c r="E103" s="25"/>
      <c r="F103" s="25">
        <f>IF('BionTech as reported'!C166="NA",0,'BionTech as reported'!C166)/$D$5</f>
        <v>0</v>
      </c>
      <c r="G103" s="25">
        <f>IF('BionTech as reported'!D166="NA",0,'BionTech as reported'!D166)/$D$5</f>
        <v>0</v>
      </c>
      <c r="H103" s="25">
        <f>IF('BionTech as reported'!E166="NA",0,'BionTech as reported'!E166)/$D$5</f>
        <v>0</v>
      </c>
      <c r="I103" s="25">
        <f>IF('BionTech as reported'!F166="NA",0,'BionTech as reported'!F166)/$D$5</f>
        <v>0</v>
      </c>
      <c r="J103" s="25">
        <f>IF('BionTech as reported'!G166="NA",0,'BionTech as reported'!G166)</f>
        <v>0</v>
      </c>
      <c r="K103" s="25">
        <f>IF('BionTech as reported'!H166="NA",0,'BionTech as reported'!H166)</f>
        <v>129.9</v>
      </c>
      <c r="L103" s="25">
        <f>IF('BionTech as reported'!I166="NA",0,'BionTech as reported'!I166)</f>
        <v>36</v>
      </c>
      <c r="M103" s="25">
        <f>IF('BionTech as reported'!J166="NA",0,'BionTech as reported'!J166)</f>
        <v>28.1</v>
      </c>
      <c r="N103" s="25"/>
      <c r="O103" s="25"/>
      <c r="P103" s="25"/>
      <c r="Q103" s="25"/>
      <c r="R103" s="25"/>
      <c r="S103" s="25"/>
    </row>
    <row r="104" spans="1:19" ht="15" customHeight="1" x14ac:dyDescent="0.45">
      <c r="B104" s="2" t="s">
        <v>297</v>
      </c>
      <c r="D104" s="487" t="s">
        <v>480</v>
      </c>
      <c r="E104" s="25"/>
      <c r="F104" s="25">
        <f>IF('BionTech as reported'!C167="NA",0,'BionTech as reported'!C167)/$D$5</f>
        <v>0</v>
      </c>
      <c r="G104" s="25">
        <f>IF('BionTech as reported'!D167="NA",0,'BionTech as reported'!D167)/$D$5</f>
        <v>0</v>
      </c>
      <c r="H104" s="25">
        <f>IF('BionTech as reported'!E167="NA",0,'BionTech as reported'!E167)/$D$5</f>
        <v>0.29699999999999999</v>
      </c>
      <c r="I104" s="25">
        <f>IF('BionTech as reported'!F167="NA",0,'BionTech as reported'!F167)/$D$5</f>
        <v>0.15</v>
      </c>
      <c r="J104" s="25">
        <f>IF('BionTech as reported'!G167="NA",0,'BionTech as reported'!G167)</f>
        <v>0</v>
      </c>
      <c r="K104" s="25">
        <f>IF('BionTech as reported'!H167="NA",0,'BionTech as reported'!H167)</f>
        <v>1568.9</v>
      </c>
      <c r="L104" s="25">
        <f>IF('BionTech as reported'!I167="NA",0,'BionTech as reported'!I167)</f>
        <v>595.9</v>
      </c>
      <c r="M104" s="25">
        <f>IF('BionTech as reported'!J167="NA",0,'BionTech as reported'!J167)</f>
        <v>525.5</v>
      </c>
      <c r="N104" s="25"/>
      <c r="O104" s="25"/>
      <c r="P104" s="25"/>
      <c r="Q104" s="25"/>
      <c r="R104" s="25"/>
      <c r="S104" s="25"/>
    </row>
    <row r="105" spans="1:19" ht="15" customHeight="1" x14ac:dyDescent="0.45">
      <c r="B105" s="2" t="s">
        <v>297</v>
      </c>
      <c r="D105" s="487" t="s">
        <v>488</v>
      </c>
      <c r="E105" s="25"/>
      <c r="F105" s="25">
        <f>IF('BionTech as reported'!C168="NA",0,'BionTech as reported'!C168)/$D$5</f>
        <v>0</v>
      </c>
      <c r="G105" s="25">
        <f>IF('BionTech as reported'!D168="NA",0,'BionTech as reported'!D168)/$D$5</f>
        <v>0</v>
      </c>
      <c r="H105" s="25">
        <f>IF('BionTech as reported'!E168="NA",0,'BionTech as reported'!E168)/$D$5</f>
        <v>0</v>
      </c>
      <c r="I105" s="25">
        <f>IF('BionTech as reported'!F168="NA",0,'BionTech as reported'!F168)/$D$5</f>
        <v>0</v>
      </c>
      <c r="J105" s="25">
        <f>IF('BionTech as reported'!G168="NA",0,'BionTech as reported'!G168)</f>
        <v>92</v>
      </c>
      <c r="K105" s="25">
        <f>IF('BionTech as reported'!H168="NA",0,'BionTech as reported'!H168)</f>
        <v>0</v>
      </c>
      <c r="L105" s="25">
        <f>IF('BionTech as reported'!I168="NA",0,'BionTech as reported'!I168)</f>
        <v>0</v>
      </c>
      <c r="M105" s="25">
        <f>IF('BionTech as reported'!J168="NA",0,'BionTech as reported'!J168)</f>
        <v>0</v>
      </c>
      <c r="N105" s="25"/>
      <c r="O105" s="25"/>
      <c r="P105" s="25"/>
      <c r="Q105" s="25"/>
      <c r="R105" s="25"/>
      <c r="S105" s="25"/>
    </row>
    <row r="106" spans="1:19" ht="15" customHeight="1" x14ac:dyDescent="0.45">
      <c r="B106" s="2" t="s">
        <v>297</v>
      </c>
      <c r="D106" s="487" t="s">
        <v>475</v>
      </c>
      <c r="E106" s="25"/>
      <c r="F106" s="25">
        <f>IF('BionTech as reported'!C169="NA",0,'BionTech as reported'!C169)/$D$5</f>
        <v>33.466000000000001</v>
      </c>
      <c r="G106" s="25">
        <f>IF('BionTech as reported'!D169="NA",0,'BionTech as reported'!D169)/$D$5</f>
        <v>77.346000000000004</v>
      </c>
      <c r="H106" s="25">
        <f>IF('BionTech as reported'!E169="NA",0,'BionTech as reported'!E169)/$D$5</f>
        <v>66.027000000000001</v>
      </c>
      <c r="I106" s="25">
        <f>IF('BionTech as reported'!F169="NA",0,'BionTech as reported'!F169)/$D$5</f>
        <v>93.582999999999998</v>
      </c>
      <c r="J106" s="25">
        <f>IF('BionTech as reported'!G169="NA",0,'BionTech as reported'!G169)</f>
        <v>299.60000000000002</v>
      </c>
      <c r="K106" s="25">
        <f>IF('BionTech as reported'!H169="NA",0,'BionTech as reported'!H169)</f>
        <v>186.1</v>
      </c>
      <c r="L106" s="25">
        <f>IF('BionTech as reported'!I169="NA",0,'BionTech as reported'!I169)</f>
        <v>77.099999999999994</v>
      </c>
      <c r="M106" s="25">
        <f>IF('BionTech as reported'!J169="NA",0,'BionTech as reported'!J169)</f>
        <v>353.3</v>
      </c>
      <c r="N106" s="25"/>
      <c r="O106" s="25"/>
      <c r="P106" s="25"/>
      <c r="Q106" s="25"/>
      <c r="R106" s="25"/>
      <c r="S106" s="25"/>
    </row>
    <row r="107" spans="1:19" ht="15" customHeight="1" x14ac:dyDescent="0.45">
      <c r="B107" s="2" t="s">
        <v>297</v>
      </c>
      <c r="D107" s="487" t="s">
        <v>478</v>
      </c>
      <c r="E107" s="25"/>
      <c r="F107" s="25">
        <f>IF('BionTech as reported'!C170="NA",0,'BionTech as reported'!C170)/$D$5</f>
        <v>4.0670000000000002</v>
      </c>
      <c r="G107" s="25">
        <f>IF('BionTech as reported'!D170="NA",0,'BionTech as reported'!D170)/$D$5</f>
        <v>24.771000000000001</v>
      </c>
      <c r="H107" s="25">
        <f>IF('BionTech as reported'!E170="NA",0,'BionTech as reported'!E170)/$D$5</f>
        <v>9.1</v>
      </c>
      <c r="I107" s="25">
        <f>IF('BionTech as reported'!F170="NA",0,'BionTech as reported'!F170)/$D$5</f>
        <v>7.49</v>
      </c>
      <c r="J107" s="25">
        <f>IF('BionTech as reported'!G170="NA",0,'BionTech as reported'!G170)</f>
        <v>28</v>
      </c>
      <c r="K107" s="25">
        <f>IF('BionTech as reported'!H170="NA",0,'BionTech as reported'!H170)</f>
        <v>0</v>
      </c>
      <c r="L107" s="25">
        <f>IF('BionTech as reported'!I170="NA",0,'BionTech as reported'!I170)</f>
        <v>0</v>
      </c>
      <c r="M107" s="25">
        <f>IF('BionTech as reported'!J170="NA",0,'BionTech as reported'!J170)</f>
        <v>0</v>
      </c>
      <c r="N107" s="25"/>
      <c r="O107" s="25"/>
      <c r="P107" s="25"/>
      <c r="Q107" s="25"/>
      <c r="R107" s="25"/>
      <c r="S107" s="25"/>
    </row>
    <row r="108" spans="1:19" ht="15" customHeight="1" x14ac:dyDescent="0.45">
      <c r="B108" s="2" t="s">
        <v>297</v>
      </c>
      <c r="D108" s="487" t="s">
        <v>489</v>
      </c>
      <c r="E108" s="25"/>
      <c r="F108" s="25">
        <f>IF('BionTech as reported'!C171="NA",0,'BionTech as reported'!C171)/$D$5</f>
        <v>0</v>
      </c>
      <c r="G108" s="25">
        <f>IF('BionTech as reported'!D171="NA",0,'BionTech as reported'!D171)/$D$5</f>
        <v>0</v>
      </c>
      <c r="H108" s="25">
        <f>IF('BionTech as reported'!E171="NA",0,'BionTech as reported'!E171)/$D$5</f>
        <v>0</v>
      </c>
      <c r="I108" s="25">
        <f>IF('BionTech as reported'!F171="NA",0,'BionTech as reported'!F171)/$D$5</f>
        <v>0.76200000000000001</v>
      </c>
      <c r="J108" s="25">
        <f>IF('BionTech as reported'!G171="NA",0,'BionTech as reported'!G171)</f>
        <v>0</v>
      </c>
      <c r="K108" s="25">
        <f>IF('BionTech as reported'!H171="NA",0,'BionTech as reported'!H171)</f>
        <v>0</v>
      </c>
      <c r="L108" s="25">
        <f>IF('BionTech as reported'!I171="NA",0,'BionTech as reported'!I171)</f>
        <v>0</v>
      </c>
      <c r="M108" s="25">
        <f>IF('BionTech as reported'!J171="NA",0,'BionTech as reported'!J171)</f>
        <v>0</v>
      </c>
      <c r="N108" s="25"/>
      <c r="O108" s="25"/>
      <c r="P108" s="25"/>
      <c r="Q108" s="25"/>
      <c r="R108" s="25"/>
      <c r="S108" s="25"/>
    </row>
    <row r="109" spans="1:19" ht="15" customHeight="1" x14ac:dyDescent="0.45">
      <c r="B109" s="2" t="s">
        <v>297</v>
      </c>
      <c r="D109" s="487" t="s">
        <v>479</v>
      </c>
      <c r="E109" s="25"/>
      <c r="F109" s="25">
        <f>IF('BionTech as reported'!C172="NA",0,'BionTech as reported'!C172)/$D$5</f>
        <v>0.12</v>
      </c>
      <c r="G109" s="25">
        <f>IF('BionTech as reported'!D172="NA",0,'BionTech as reported'!D172)/$D$5</f>
        <v>0.11799999999999999</v>
      </c>
      <c r="H109" s="25">
        <f>IF('BionTech as reported'!E172="NA",0,'BionTech as reported'!E172)/$D$5</f>
        <v>0.71</v>
      </c>
      <c r="I109" s="25">
        <f>IF('BionTech as reported'!F172="NA",0,'BionTech as reported'!F172)/$D$5</f>
        <v>0</v>
      </c>
      <c r="J109" s="25">
        <f>IF('BionTech as reported'!G172="NA",0,'BionTech as reported'!G172)</f>
        <v>0.9</v>
      </c>
      <c r="K109" s="25">
        <f>IF('BionTech as reported'!H172="NA",0,'BionTech as reported'!H172)</f>
        <v>110.2</v>
      </c>
      <c r="L109" s="25">
        <f>IF('BionTech as reported'!I172="NA",0,'BionTech as reported'!I172)</f>
        <v>367.2</v>
      </c>
      <c r="M109" s="25">
        <f>IF('BionTech as reported'!J172="NA",0,'BionTech as reported'!J172)</f>
        <v>269.3</v>
      </c>
      <c r="N109" s="25"/>
      <c r="O109" s="25"/>
      <c r="P109" s="25"/>
      <c r="Q109" s="25"/>
      <c r="R109" s="25"/>
      <c r="S109" s="25"/>
    </row>
    <row r="110" spans="1:19" ht="15" customHeight="1" x14ac:dyDescent="0.45">
      <c r="B110" s="2" t="s">
        <v>297</v>
      </c>
      <c r="D110" s="487" t="s">
        <v>481</v>
      </c>
      <c r="E110" s="25"/>
      <c r="F110" s="25">
        <f>IF('BionTech as reported'!C173="NA",0,'BionTech as reported'!C173)/$D$5</f>
        <v>0</v>
      </c>
      <c r="G110" s="25">
        <f>IF('BionTech as reported'!D173="NA",0,'BionTech as reported'!D173)/$D$5</f>
        <v>0</v>
      </c>
      <c r="H110" s="25">
        <f>IF('BionTech as reported'!E173="NA",0,'BionTech as reported'!E173)/$D$5</f>
        <v>0</v>
      </c>
      <c r="I110" s="25">
        <f>IF('BionTech as reported'!F173="NA",0,'BionTech as reported'!F173)/$D$5</f>
        <v>0</v>
      </c>
      <c r="J110" s="25">
        <f>IF('BionTech as reported'!G173="NA",0,'BionTech as reported'!G173)</f>
        <v>0</v>
      </c>
      <c r="K110" s="25">
        <f>IF('BionTech as reported'!H173="NA",0,'BionTech as reported'!H173)</f>
        <v>46.1</v>
      </c>
      <c r="L110" s="25">
        <f>IF('BionTech as reported'!I173="NA",0,'BionTech as reported'!I173)</f>
        <v>0</v>
      </c>
      <c r="M110" s="25">
        <f>IF('BionTech as reported'!J173="NA",0,'BionTech as reported'!J173)</f>
        <v>0</v>
      </c>
      <c r="N110" s="25"/>
      <c r="O110" s="25"/>
      <c r="P110" s="25"/>
      <c r="Q110" s="25"/>
      <c r="R110" s="25"/>
      <c r="S110" s="25"/>
    </row>
    <row r="111" spans="1:19" ht="15" customHeight="1" x14ac:dyDescent="0.45">
      <c r="B111" s="2" t="s">
        <v>297</v>
      </c>
      <c r="D111" s="487" t="s">
        <v>482</v>
      </c>
      <c r="E111" s="25"/>
      <c r="F111" s="25">
        <f>IF('BionTech as reported'!C174="NA",0,'BionTech as reported'!C174)/$D$5</f>
        <v>12.765000000000001</v>
      </c>
      <c r="G111" s="25">
        <f>IF('BionTech as reported'!D174="NA",0,'BionTech as reported'!D174)/$D$5</f>
        <v>3.7709999999999999</v>
      </c>
      <c r="H111" s="25">
        <f>IF('BionTech as reported'!E174="NA",0,'BionTech as reported'!E174)/$D$5</f>
        <v>8.266</v>
      </c>
      <c r="I111" s="25">
        <f>IF('BionTech as reported'!F174="NA",0,'BionTech as reported'!F174)/$D$5</f>
        <v>10.352</v>
      </c>
      <c r="J111" s="25">
        <f>IF('BionTech as reported'!G174="NA",0,'BionTech as reported'!G174)</f>
        <v>74.099999999999994</v>
      </c>
      <c r="K111" s="25">
        <f>IF('BionTech as reported'!H174="NA",0,'BionTech as reported'!H174)</f>
        <v>1190.4000000000001</v>
      </c>
      <c r="L111" s="25">
        <f>IF('BionTech as reported'!I174="NA",0,'BionTech as reported'!I174)</f>
        <v>785.1</v>
      </c>
      <c r="M111" s="25">
        <f>IF('BionTech as reported'!J174="NA",0,'BionTech as reported'!J174)</f>
        <v>415.2</v>
      </c>
      <c r="N111" s="25"/>
      <c r="O111" s="25"/>
      <c r="P111" s="25"/>
      <c r="Q111" s="25"/>
      <c r="R111" s="25"/>
      <c r="S111" s="25"/>
    </row>
    <row r="112" spans="1:19" ht="15" customHeight="1" x14ac:dyDescent="0.45">
      <c r="B112" s="2" t="s">
        <v>297</v>
      </c>
      <c r="D112" s="487" t="s">
        <v>484</v>
      </c>
      <c r="E112" s="25"/>
      <c r="F112" s="25">
        <f>IF('BionTech as reported'!C175="NA",0,'BionTech as reported'!C175)/$D$5</f>
        <v>0</v>
      </c>
      <c r="G112" s="25">
        <f>IF('BionTech as reported'!D175="NA",0,'BionTech as reported'!D175)/$D$5</f>
        <v>0</v>
      </c>
      <c r="H112" s="25">
        <f>IF('BionTech as reported'!E175="NA",0,'BionTech as reported'!E175)/$D$5</f>
        <v>0</v>
      </c>
      <c r="I112" s="25">
        <f>IF('BionTech as reported'!F175="NA",0,'BionTech as reported'!F175)/$D$5</f>
        <v>0</v>
      </c>
      <c r="J112" s="25">
        <f>IF('BionTech as reported'!G175="NA",0,'BionTech as reported'!G175)</f>
        <v>0</v>
      </c>
      <c r="K112" s="25">
        <f>IF('BionTech as reported'!H175="NA",0,'BionTech as reported'!H175)</f>
        <v>0</v>
      </c>
      <c r="L112" s="25">
        <f>IF('BionTech as reported'!I175="NA",0,'BionTech as reported'!I175)</f>
        <v>860.8</v>
      </c>
      <c r="M112" s="25">
        <f>IF('BionTech as reported'!J175="NA",0,'BionTech as reported'!J175)</f>
        <v>125.1</v>
      </c>
      <c r="N112" s="25"/>
      <c r="O112" s="25"/>
      <c r="P112" s="25"/>
      <c r="Q112" s="25"/>
      <c r="R112" s="25"/>
      <c r="S112" s="25"/>
    </row>
    <row r="113" spans="1:19" ht="15" customHeight="1" x14ac:dyDescent="0.45">
      <c r="B113" s="2" t="s">
        <v>297</v>
      </c>
      <c r="D113" s="487" t="s">
        <v>490</v>
      </c>
      <c r="E113" s="25"/>
      <c r="F113" s="25">
        <f>IF('BionTech as reported'!C176="NA",0,'BionTech as reported'!C176)/$D$5</f>
        <v>0</v>
      </c>
      <c r="G113" s="25">
        <f>IF('BionTech as reported'!D176="NA",0,'BionTech as reported'!D176)/$D$5</f>
        <v>0</v>
      </c>
      <c r="H113" s="25">
        <f>IF('BionTech as reported'!E176="NA",0,'BionTech as reported'!E176)/$D$5</f>
        <v>0</v>
      </c>
      <c r="I113" s="25">
        <f>IF('BionTech as reported'!F176="NA",0,'BionTech as reported'!F176)/$D$5</f>
        <v>0</v>
      </c>
      <c r="J113" s="25">
        <f>IF('BionTech as reported'!G176="NA",0,'BionTech as reported'!G176)</f>
        <v>0</v>
      </c>
      <c r="K113" s="25">
        <f>IF('BionTech as reported'!H176="NA",0,'BionTech as reported'!H176)</f>
        <v>90</v>
      </c>
      <c r="L113" s="25">
        <f>IF('BionTech as reported'!I176="NA",0,'BionTech as reported'!I176)</f>
        <v>24.4</v>
      </c>
      <c r="M113" s="25">
        <f>IF('BionTech as reported'!J176="NA",0,'BionTech as reported'!J176)</f>
        <v>0</v>
      </c>
      <c r="N113" s="25"/>
      <c r="O113" s="25"/>
      <c r="P113" s="25"/>
      <c r="Q113" s="25"/>
      <c r="R113" s="25"/>
      <c r="S113" s="25"/>
    </row>
    <row r="114" spans="1:19" s="30" customFormat="1" ht="15" customHeight="1" x14ac:dyDescent="0.45">
      <c r="A114" s="4"/>
      <c r="B114" s="5"/>
      <c r="C114" s="4"/>
      <c r="D114" s="478" t="s">
        <v>491</v>
      </c>
      <c r="E114" s="477"/>
      <c r="F114" s="477">
        <f t="shared" ref="F114:M114" si="11">SUM(F100:F113)</f>
        <v>56.635999999999996</v>
      </c>
      <c r="G114" s="477">
        <f t="shared" si="11"/>
        <v>158.54400000000001</v>
      </c>
      <c r="H114" s="477">
        <f t="shared" si="11"/>
        <v>126.12099999999998</v>
      </c>
      <c r="I114" s="477">
        <f t="shared" si="11"/>
        <v>138.142</v>
      </c>
      <c r="J114" s="477">
        <f t="shared" si="11"/>
        <v>606</v>
      </c>
      <c r="K114" s="477">
        <f t="shared" si="11"/>
        <v>3481.6</v>
      </c>
      <c r="L114" s="477">
        <f t="shared" si="11"/>
        <v>2950.6</v>
      </c>
      <c r="M114" s="477">
        <f t="shared" si="11"/>
        <v>2070.5</v>
      </c>
      <c r="N114" s="477"/>
      <c r="O114" s="477"/>
      <c r="P114" s="477"/>
      <c r="Q114" s="477"/>
      <c r="R114" s="477"/>
      <c r="S114" s="477"/>
    </row>
    <row r="115" spans="1:19" ht="15" customHeight="1" x14ac:dyDescent="0.45">
      <c r="B115" s="2"/>
      <c r="D115" s="479"/>
      <c r="E115" s="28"/>
      <c r="F115" s="25"/>
      <c r="G115" s="25"/>
      <c r="H115" s="25"/>
      <c r="I115" s="25"/>
      <c r="J115" s="25"/>
      <c r="K115" s="25"/>
      <c r="L115" s="25"/>
      <c r="M115" s="25"/>
      <c r="N115" s="28"/>
      <c r="O115" s="28"/>
      <c r="P115" s="28"/>
      <c r="Q115" s="28"/>
      <c r="R115" s="28"/>
      <c r="S115" s="28"/>
    </row>
    <row r="116" spans="1:19" ht="15" customHeight="1" x14ac:dyDescent="0.45">
      <c r="B116" s="2" t="s">
        <v>300</v>
      </c>
      <c r="D116" s="479" t="s">
        <v>492</v>
      </c>
      <c r="E116" s="23"/>
      <c r="F116" s="477">
        <f t="shared" ref="F116:M116" si="12">SUM(F82,F114,F98)</f>
        <v>389.95899999999995</v>
      </c>
      <c r="G116" s="477">
        <f t="shared" si="12"/>
        <v>374.71300000000008</v>
      </c>
      <c r="H116" s="477">
        <f t="shared" si="12"/>
        <v>652.98599999999988</v>
      </c>
      <c r="I116" s="477">
        <f t="shared" si="12"/>
        <v>797.64699999999993</v>
      </c>
      <c r="J116" s="477">
        <f t="shared" si="12"/>
        <v>2318.6000000000004</v>
      </c>
      <c r="K116" s="477">
        <f t="shared" si="12"/>
        <v>15830.8</v>
      </c>
      <c r="L116" s="477">
        <f t="shared" si="12"/>
        <v>23279.1</v>
      </c>
      <c r="M116" s="477">
        <f t="shared" si="12"/>
        <v>23006.300000000003</v>
      </c>
      <c r="N116" s="23"/>
      <c r="O116" s="23"/>
      <c r="P116" s="23"/>
      <c r="Q116" s="23"/>
      <c r="R116" s="23"/>
      <c r="S116" s="23"/>
    </row>
    <row r="117" spans="1:19" ht="15" customHeight="1" x14ac:dyDescent="0.45">
      <c r="B117" s="2"/>
      <c r="D117" s="474" t="s">
        <v>301</v>
      </c>
      <c r="E117" s="25"/>
      <c r="F117" s="486">
        <f t="shared" ref="F117:M117" si="13">F116-F75</f>
        <v>0</v>
      </c>
      <c r="G117" s="486">
        <f t="shared" si="13"/>
        <v>0</v>
      </c>
      <c r="H117" s="486">
        <f t="shared" si="13"/>
        <v>0</v>
      </c>
      <c r="I117" s="486">
        <f t="shared" si="13"/>
        <v>0</v>
      </c>
      <c r="J117" s="486">
        <f t="shared" si="13"/>
        <v>0</v>
      </c>
      <c r="K117" s="486">
        <f t="shared" si="13"/>
        <v>0</v>
      </c>
      <c r="L117" s="486">
        <f t="shared" si="13"/>
        <v>0</v>
      </c>
      <c r="M117" s="486">
        <f t="shared" si="13"/>
        <v>0</v>
      </c>
      <c r="N117" s="25"/>
      <c r="O117" s="25"/>
      <c r="P117" s="25"/>
      <c r="Q117" s="25"/>
      <c r="R117" s="25"/>
      <c r="S117" s="25"/>
    </row>
    <row r="118" spans="1:19" ht="15" customHeight="1" x14ac:dyDescent="0.45">
      <c r="B118" s="2"/>
      <c r="D118" s="31"/>
      <c r="E118" s="25"/>
      <c r="F118" s="25"/>
      <c r="G118" s="25"/>
      <c r="H118" s="25"/>
      <c r="I118" s="25"/>
      <c r="J118" s="25"/>
      <c r="K118" s="25"/>
      <c r="L118" s="25"/>
      <c r="M118" s="25"/>
      <c r="N118" s="25"/>
      <c r="O118" s="25"/>
      <c r="P118" s="25"/>
      <c r="Q118" s="25"/>
      <c r="R118" s="25"/>
      <c r="S118" s="25"/>
    </row>
    <row r="120" spans="1:19" ht="15" customHeight="1" x14ac:dyDescent="0.45">
      <c r="B120" s="3"/>
      <c r="D120" s="485" t="s">
        <v>493</v>
      </c>
      <c r="E120" s="23"/>
      <c r="F120" s="23"/>
      <c r="G120" s="23"/>
      <c r="H120" s="23"/>
      <c r="I120" s="23"/>
      <c r="J120" s="23"/>
      <c r="K120" s="23"/>
      <c r="L120" s="23"/>
      <c r="M120" s="23"/>
      <c r="N120" s="23"/>
      <c r="O120" s="23"/>
      <c r="P120" s="23"/>
      <c r="Q120" s="23"/>
      <c r="R120" s="23"/>
      <c r="S120" s="23"/>
    </row>
    <row r="121" spans="1:19" ht="15" customHeight="1" x14ac:dyDescent="0.45">
      <c r="B121" s="3"/>
      <c r="D121" s="31"/>
      <c r="E121" s="23"/>
      <c r="F121" s="23"/>
      <c r="G121" s="23"/>
      <c r="H121" s="23"/>
      <c r="I121" s="23"/>
      <c r="J121" s="23"/>
      <c r="K121" s="23"/>
      <c r="L121" s="23"/>
      <c r="M121" s="23"/>
      <c r="N121" s="23"/>
      <c r="O121" s="23"/>
      <c r="P121" s="23"/>
      <c r="Q121" s="23"/>
      <c r="R121" s="23"/>
      <c r="S121" s="23"/>
    </row>
    <row r="122" spans="1:19" ht="15" customHeight="1" x14ac:dyDescent="0.45">
      <c r="B122" s="2"/>
      <c r="D122" s="480" t="s">
        <v>494</v>
      </c>
      <c r="E122" s="25"/>
      <c r="F122" s="25"/>
      <c r="G122" s="25"/>
      <c r="H122" s="25"/>
      <c r="I122" s="25"/>
      <c r="J122" s="25"/>
      <c r="K122" s="25"/>
      <c r="L122" s="25"/>
      <c r="M122" s="25"/>
      <c r="N122" s="25"/>
      <c r="O122" s="25"/>
      <c r="P122" s="25"/>
      <c r="Q122" s="25"/>
      <c r="R122" s="25"/>
      <c r="S122" s="25"/>
    </row>
    <row r="123" spans="1:19" ht="15" customHeight="1" x14ac:dyDescent="0.45">
      <c r="B123" s="2" t="s">
        <v>303</v>
      </c>
      <c r="D123" s="1" t="s">
        <v>495</v>
      </c>
      <c r="E123" s="25"/>
      <c r="F123" s="25"/>
      <c r="G123" s="25">
        <f>IF('BionTech as reported'!C62="NA",0,'BionTech as reported'!C62)/$D$5</f>
        <v>0</v>
      </c>
      <c r="H123" s="25">
        <f>IF('BionTech as reported'!D62="NA",0,'BionTech as reported'!D62)/$D$5</f>
        <v>-48.262</v>
      </c>
      <c r="I123" s="25">
        <f>IF('BionTech as reported'!E62="NA",0,'BionTech as reported'!E62)</f>
        <v>-179.2</v>
      </c>
      <c r="J123" s="25">
        <f>IF('BionTech as reported'!F62="NA",0,'BionTech as reported'!F62)</f>
        <v>15.2</v>
      </c>
      <c r="K123" s="25">
        <f>IF('BionTech as reported'!G62="NA",0,'BionTech as reported'!G62)</f>
        <v>10292.5</v>
      </c>
      <c r="L123" s="25">
        <f>IF('BionTech as reported'!H62="NA",0,'BionTech as reported'!H62)</f>
        <v>9434.4</v>
      </c>
      <c r="M123" s="25">
        <f>IF('BionTech as reported'!I62="NA",0,'BionTech as reported'!I62)</f>
        <v>930.3</v>
      </c>
      <c r="N123" s="25"/>
      <c r="O123" s="25"/>
      <c r="P123" s="25"/>
      <c r="Q123" s="25"/>
      <c r="R123" s="25"/>
      <c r="S123" s="25"/>
    </row>
    <row r="124" spans="1:19" ht="15" customHeight="1" x14ac:dyDescent="0.45">
      <c r="B124" s="2" t="s">
        <v>303</v>
      </c>
      <c r="D124" s="1" t="s">
        <v>496</v>
      </c>
      <c r="E124" s="25"/>
      <c r="F124" s="25"/>
      <c r="G124" s="25">
        <f>IF('BionTech as reported'!C63="NA",0,'BionTech as reported'!C63)/$D$5</f>
        <v>-85.95</v>
      </c>
      <c r="H124" s="25">
        <f>IF('BionTech as reported'!D63="NA",0,'BionTech as reported'!D63)/$D$5</f>
        <v>0</v>
      </c>
      <c r="I124" s="25">
        <f>IF('BionTech as reported'!E63="NA",0,'BionTech as reported'!E63)</f>
        <v>0</v>
      </c>
      <c r="J124" s="25">
        <f>IF('BionTech as reported'!F63="NA",0,'BionTech as reported'!F63)</f>
        <v>0</v>
      </c>
      <c r="K124" s="25">
        <f>IF('BionTech as reported'!G63="NA",0,'BionTech as reported'!G63)</f>
        <v>0</v>
      </c>
      <c r="L124" s="25">
        <f>IF('BionTech as reported'!H63="NA",0,'BionTech as reported'!H63)</f>
        <v>0</v>
      </c>
      <c r="M124" s="25">
        <f>IF('BionTech as reported'!I63="NA",0,'BionTech as reported'!I63)</f>
        <v>0</v>
      </c>
      <c r="N124" s="25"/>
      <c r="O124" s="25"/>
      <c r="P124" s="25"/>
      <c r="Q124" s="25"/>
      <c r="R124" s="25"/>
      <c r="S124" s="25"/>
    </row>
    <row r="125" spans="1:19" ht="15" customHeight="1" x14ac:dyDescent="0.45">
      <c r="B125" s="2" t="s">
        <v>303</v>
      </c>
      <c r="D125" s="1" t="s">
        <v>497</v>
      </c>
      <c r="E125" s="25"/>
      <c r="F125" s="25"/>
      <c r="G125" s="25">
        <f>IF('BionTech as reported'!C72="NA",0,'BionTech as reported'!C72)/$D$5</f>
        <v>4.4999999999999998E-2</v>
      </c>
      <c r="H125" s="25">
        <f>IF('BionTech as reported'!D72="NA",0,'BionTech as reported'!D72)/$D$5</f>
        <v>0.6</v>
      </c>
      <c r="I125" s="25">
        <f>IF('BionTech as reported'!E72="NA",0,'BionTech as reported'!E72)/$D$5</f>
        <v>-2.0000000000000001E-4</v>
      </c>
      <c r="J125" s="25">
        <f>IF('BionTech as reported'!F72="NA",0,'BionTech as reported'!F72)</f>
        <v>-161</v>
      </c>
      <c r="K125" s="25">
        <f>IF('BionTech as reported'!G72="NA",0,'BionTech as reported'!G72)</f>
        <v>4753.8999999999996</v>
      </c>
      <c r="L125" s="25">
        <f>IF('BionTech as reported'!H72="NA",0,'BionTech as reported'!H72)</f>
        <v>3519.7</v>
      </c>
      <c r="M125" s="25">
        <f>IF('BionTech as reported'!I72="NA",0,'BionTech as reported'!I72)</f>
        <v>255.8</v>
      </c>
      <c r="N125" s="25"/>
      <c r="O125" s="25"/>
      <c r="P125" s="25"/>
      <c r="Q125" s="25"/>
      <c r="R125" s="25"/>
      <c r="S125" s="25"/>
    </row>
    <row r="126" spans="1:19" ht="15" customHeight="1" x14ac:dyDescent="0.45">
      <c r="B126" s="2" t="s">
        <v>310</v>
      </c>
      <c r="D126" s="1" t="s">
        <v>310</v>
      </c>
      <c r="E126" s="25"/>
      <c r="F126" s="25"/>
      <c r="G126" s="25">
        <f>IF('BionTech as reported'!C77="NA",0,'BionTech as reported'!C77)/$D$5</f>
        <v>2.133</v>
      </c>
      <c r="H126" s="25">
        <f>IF('BionTech as reported'!D77="NA",0,'BionTech as reported'!D77)/$D$5</f>
        <v>1.996</v>
      </c>
      <c r="I126" s="25">
        <f>IF('BionTech as reported'!E77="NA",0,'BionTech as reported'!E77)/$D$5</f>
        <v>1.2999999999999999E-3</v>
      </c>
      <c r="J126" s="25">
        <f>IF('BionTech as reported'!F77="NA",0,'BionTech as reported'!F77)</f>
        <v>1.4</v>
      </c>
      <c r="K126" s="25">
        <f>IF('BionTech as reported'!G77="NA",0,'BionTech as reported'!G77)</f>
        <v>0</v>
      </c>
      <c r="L126" s="25">
        <f>IF('BionTech as reported'!H77="NA",0,'BionTech as reported'!H77)</f>
        <v>0</v>
      </c>
      <c r="M126" s="25">
        <f>IF('BionTech as reported'!I77="NA",0,'BionTech as reported'!I77)</f>
        <v>0</v>
      </c>
      <c r="N126" s="25"/>
      <c r="O126" s="25"/>
      <c r="P126" s="25"/>
      <c r="Q126" s="25"/>
      <c r="R126" s="25"/>
      <c r="S126" s="25"/>
    </row>
    <row r="127" spans="1:19" ht="15" customHeight="1" x14ac:dyDescent="0.45">
      <c r="B127" s="2" t="s">
        <v>306</v>
      </c>
      <c r="D127" s="1" t="s">
        <v>498</v>
      </c>
      <c r="E127" s="25"/>
      <c r="F127" s="25"/>
      <c r="G127" s="25">
        <f>IF('BionTech as reported'!C64="NA",0,'BionTech as reported'!C64)/$D$5</f>
        <v>0</v>
      </c>
      <c r="H127" s="25">
        <f>IF('BionTech as reported'!D64="NA",0,'BionTech as reported'!D64)/$D$5</f>
        <v>0</v>
      </c>
      <c r="I127" s="25">
        <f>IF('BionTech as reported'!E64="NA",0,'BionTech as reported'!E64)</f>
        <v>0</v>
      </c>
      <c r="J127" s="25">
        <f>IF('BionTech as reported'!F64="NA",0,'BionTech as reported'!F64)</f>
        <v>38.700000000000003</v>
      </c>
      <c r="K127" s="25">
        <f>IF('BionTech as reported'!G64="NA",0,'BionTech as reported'!G64)</f>
        <v>0</v>
      </c>
      <c r="L127" s="25">
        <f>IF('BionTech as reported'!H64="NA",0,'BionTech as reported'!H64)</f>
        <v>0</v>
      </c>
      <c r="M127" s="25">
        <f>IF('BionTech as reported'!I64="NA",0,'BionTech as reported'!I64)</f>
        <v>0</v>
      </c>
      <c r="N127" s="25"/>
      <c r="O127" s="25"/>
      <c r="P127" s="25"/>
      <c r="Q127" s="25"/>
      <c r="R127" s="25"/>
      <c r="S127" s="25"/>
    </row>
    <row r="128" spans="1:19" ht="15" customHeight="1" x14ac:dyDescent="0.45">
      <c r="B128" s="2" t="s">
        <v>306</v>
      </c>
      <c r="D128" s="1" t="s">
        <v>414</v>
      </c>
      <c r="E128" s="25"/>
      <c r="F128" s="25"/>
      <c r="G128" s="25">
        <f>IF('BionTech as reported'!C65="NA",0,'BionTech as reported'!C65)/$D$5</f>
        <v>10.529</v>
      </c>
      <c r="H128" s="25">
        <f>IF('BionTech as reported'!D65="NA",0,'BionTech as reported'!D65)/$D$5</f>
        <v>21.984000000000002</v>
      </c>
      <c r="I128" s="25">
        <f>IF('BionTech as reported'!E65="NA",0,'BionTech as reported'!E65)</f>
        <v>33.9</v>
      </c>
      <c r="J128" s="25">
        <f>IF('BionTech as reported'!F65="NA",0,'BionTech as reported'!F65)</f>
        <v>0</v>
      </c>
      <c r="K128" s="25">
        <f>IF('BionTech as reported'!G65="NA",0,'BionTech as reported'!G65)</f>
        <v>75.2</v>
      </c>
      <c r="L128" s="25">
        <f>IF('BionTech as reported'!H65="NA",0,'BionTech as reported'!H65)</f>
        <v>123.3</v>
      </c>
      <c r="M128" s="25">
        <f>IF('BionTech as reported'!I65="NA",0,'BionTech as reported'!I65)</f>
        <v>183.4</v>
      </c>
      <c r="N128" s="25"/>
      <c r="O128" s="25"/>
      <c r="P128" s="25"/>
      <c r="Q128" s="25"/>
      <c r="R128" s="25"/>
      <c r="S128" s="25"/>
    </row>
    <row r="129" spans="2:19" ht="15" customHeight="1" x14ac:dyDescent="0.45">
      <c r="B129" s="2" t="s">
        <v>305</v>
      </c>
      <c r="D129" s="1" t="s">
        <v>499</v>
      </c>
      <c r="E129" s="25"/>
      <c r="F129" s="25"/>
      <c r="G129" s="25">
        <f>IF('BionTech as reported'!C66="NA",0,'BionTech as reported'!C66)/$D$5</f>
        <v>1.4999999999999999E-2</v>
      </c>
      <c r="H129" s="25">
        <f>IF('BionTech as reported'!D66="NA",0,'BionTech as reported'!D66)/$D$5</f>
        <v>-1.4E-2</v>
      </c>
      <c r="I129" s="25">
        <f>IF('BionTech as reported'!E66="NA",0,'BionTech as reported'!E66)</f>
        <v>0.5</v>
      </c>
      <c r="J129" s="25">
        <f>IF('BionTech as reported'!F66="NA",0,'BionTech as reported'!F66)</f>
        <v>0.6</v>
      </c>
      <c r="K129" s="25">
        <f>IF('BionTech as reported'!G66="NA",0,'BionTech as reported'!G66)</f>
        <v>4.5999999999999996</v>
      </c>
      <c r="L129" s="25">
        <f>IF('BionTech as reported'!H66="NA",0,'BionTech as reported'!H66)</f>
        <v>0.6</v>
      </c>
      <c r="M129" s="25">
        <f>IF('BionTech as reported'!I66="NA",0,'BionTech as reported'!I66)</f>
        <v>3.8</v>
      </c>
      <c r="N129" s="25"/>
      <c r="O129" s="25"/>
      <c r="P129" s="25"/>
      <c r="Q129" s="25"/>
      <c r="R129" s="25"/>
      <c r="S129" s="25"/>
    </row>
    <row r="130" spans="2:19" ht="15" customHeight="1" x14ac:dyDescent="0.45">
      <c r="B130" s="2" t="s">
        <v>305</v>
      </c>
      <c r="D130" s="1" t="s">
        <v>500</v>
      </c>
      <c r="E130" s="25"/>
      <c r="F130" s="25"/>
      <c r="G130" s="25">
        <f>IF('BionTech as reported'!C67="NA",0,'BionTech as reported'!C67)/$D$5</f>
        <v>0</v>
      </c>
      <c r="H130" s="25">
        <f>IF('BionTech as reported'!D67="NA",0,'BionTech as reported'!D67)/$D$5</f>
        <v>0</v>
      </c>
      <c r="I130" s="25">
        <f>IF('BionTech as reported'!E67="NA",0,'BionTech as reported'!E67)</f>
        <v>0</v>
      </c>
      <c r="J130" s="25">
        <f>IF('BionTech as reported'!F67="NA",0,'BionTech as reported'!F67)</f>
        <v>0</v>
      </c>
      <c r="K130" s="25">
        <f>IF('BionTech as reported'!G67="NA",0,'BionTech as reported'!G67)</f>
        <v>57.3</v>
      </c>
      <c r="L130" s="25">
        <f>IF('BionTech as reported'!H67="NA",0,'BionTech as reported'!H67)</f>
        <v>-241</v>
      </c>
      <c r="M130" s="25">
        <f>IF('BionTech as reported'!I67="NA",0,'BionTech as reported'!I67)</f>
        <v>175.5</v>
      </c>
      <c r="N130" s="25"/>
      <c r="O130" s="25"/>
      <c r="P130" s="25"/>
      <c r="Q130" s="25"/>
      <c r="R130" s="25"/>
      <c r="S130" s="25"/>
    </row>
    <row r="131" spans="2:19" ht="15" customHeight="1" x14ac:dyDescent="0.45">
      <c r="B131" s="2" t="s">
        <v>305</v>
      </c>
      <c r="D131" s="1" t="s">
        <v>501</v>
      </c>
      <c r="E131" s="25"/>
      <c r="F131" s="25"/>
      <c r="G131" s="25">
        <f>IF('BionTech as reported'!C68="NA",0,'BionTech as reported'!C68)/$D$5</f>
        <v>7.8E-2</v>
      </c>
      <c r="H131" s="25">
        <f>IF('BionTech as reported'!D68="NA",0,'BionTech as reported'!D68)/$D$5</f>
        <v>8.4000000000000005E-2</v>
      </c>
      <c r="I131" s="25">
        <f>IF('BionTech as reported'!E68="NA",0,'BionTech as reported'!E68)</f>
        <v>0</v>
      </c>
      <c r="J131" s="25">
        <f>IF('BionTech as reported'!F68="NA",0,'BionTech as reported'!F68)</f>
        <v>0</v>
      </c>
      <c r="K131" s="25">
        <f>IF('BionTech as reported'!G68="NA",0,'BionTech as reported'!G68)</f>
        <v>0</v>
      </c>
      <c r="L131" s="25">
        <f>IF('BionTech as reported'!H68="NA",0,'BionTech as reported'!H68)</f>
        <v>0</v>
      </c>
      <c r="M131" s="25">
        <f>IF('BionTech as reported'!I68="NA",0,'BionTech as reported'!I68)</f>
        <v>0</v>
      </c>
      <c r="N131" s="25"/>
      <c r="O131" s="25"/>
      <c r="P131" s="25"/>
      <c r="Q131" s="25"/>
      <c r="R131" s="25"/>
      <c r="S131" s="25"/>
    </row>
    <row r="132" spans="2:19" ht="15" customHeight="1" x14ac:dyDescent="0.45">
      <c r="B132" s="2" t="s">
        <v>306</v>
      </c>
      <c r="D132" s="1" t="s">
        <v>502</v>
      </c>
      <c r="E132" s="25"/>
      <c r="F132" s="25"/>
      <c r="G132" s="25">
        <f>IF('BionTech as reported'!C69="NA",0,'BionTech as reported'!C69)/$D$5</f>
        <v>0</v>
      </c>
      <c r="H132" s="25">
        <f>IF('BionTech as reported'!D69="NA",0,'BionTech as reported'!D69)/$D$5</f>
        <v>0</v>
      </c>
      <c r="I132" s="25">
        <f>IF('BionTech as reported'!E69="NA",0,'BionTech as reported'!E69)</f>
        <v>0</v>
      </c>
      <c r="J132" s="25">
        <f>IF('BionTech as reported'!F69="NA",0,'BionTech as reported'!F69)</f>
        <v>0</v>
      </c>
      <c r="K132" s="25">
        <f>IF('BionTech as reported'!G69="NA",0,'BionTech as reported'!G69)</f>
        <v>-13.4</v>
      </c>
      <c r="L132" s="25">
        <f>IF('BionTech as reported'!H69="NA",0,'BionTech as reported'!H69)</f>
        <v>-51.8</v>
      </c>
      <c r="M132" s="25">
        <f>IF('BionTech as reported'!I69="NA",0,'BionTech as reported'!I69)</f>
        <v>-766.2</v>
      </c>
      <c r="N132" s="25"/>
      <c r="O132" s="25"/>
      <c r="P132" s="25"/>
      <c r="Q132" s="25"/>
      <c r="R132" s="25"/>
      <c r="S132" s="25"/>
    </row>
    <row r="133" spans="2:19" ht="15" customHeight="1" x14ac:dyDescent="0.45">
      <c r="B133" s="2" t="s">
        <v>306</v>
      </c>
      <c r="D133" s="1" t="s">
        <v>503</v>
      </c>
      <c r="E133" s="25"/>
      <c r="F133" s="25"/>
      <c r="G133" s="25">
        <f>IF('BionTech as reported'!C70="NA",0,'BionTech as reported'!C70)/$D$5</f>
        <v>5.9089999999999998</v>
      </c>
      <c r="H133" s="25">
        <f>IF('BionTech as reported'!D70="NA",0,'BionTech as reported'!D70)/$D$5</f>
        <v>7.641</v>
      </c>
      <c r="I133" s="25">
        <f>IF('BionTech as reported'!E70="NA",0,'BionTech as reported'!E70)</f>
        <v>30.2</v>
      </c>
      <c r="J133" s="25">
        <f>IF('BionTech as reported'!F70="NA",0,'BionTech as reported'!F70)</f>
        <v>32.1</v>
      </c>
      <c r="K133" s="25">
        <f>IF('BionTech as reported'!G70="NA",0,'BionTech as reported'!G70)</f>
        <v>93.9</v>
      </c>
      <c r="L133" s="25">
        <f>IF('BionTech as reported'!H70="NA",0,'BionTech as reported'!H70)</f>
        <v>108.6</v>
      </c>
      <c r="M133" s="25">
        <f>IF('BionTech as reported'!I70="NA",0,'BionTech as reported'!I70)</f>
        <v>51.4</v>
      </c>
      <c r="N133" s="25"/>
      <c r="O133" s="25"/>
      <c r="P133" s="25"/>
      <c r="Q133" s="25"/>
      <c r="R133" s="25"/>
      <c r="S133" s="25"/>
    </row>
    <row r="134" spans="2:19" ht="15" customHeight="1" x14ac:dyDescent="0.45">
      <c r="B134" s="2" t="s">
        <v>305</v>
      </c>
      <c r="D134" s="1" t="s">
        <v>504</v>
      </c>
      <c r="E134" s="25"/>
      <c r="F134" s="25"/>
      <c r="G134" s="25">
        <f>IF('BionTech as reported'!C71="NA",0,'BionTech as reported'!C71)/$D$5</f>
        <v>24.82</v>
      </c>
      <c r="H134" s="25">
        <f>IF('BionTech as reported'!D71="NA",0,'BionTech as reported'!D71)/$D$5</f>
        <v>0.45900000000000002</v>
      </c>
      <c r="I134" s="25">
        <f>IF('BionTech as reported'!E71="NA",0,'BionTech as reported'!E71)</f>
        <v>0.1</v>
      </c>
      <c r="J134" s="25">
        <f>IF('BionTech as reported'!F71="NA",0,'BionTech as reported'!F71)</f>
        <v>41.3</v>
      </c>
      <c r="K134" s="25">
        <f>IF('BionTech as reported'!G71="NA",0,'BionTech as reported'!G71)</f>
        <v>-387.5</v>
      </c>
      <c r="L134" s="25">
        <f>IF('BionTech as reported'!H71="NA",0,'BionTech as reported'!H71)</f>
        <v>625.5</v>
      </c>
      <c r="M134" s="25">
        <f>IF('BionTech as reported'!I71="NA",0,'BionTech as reported'!I71)</f>
        <v>-298</v>
      </c>
      <c r="N134" s="25"/>
      <c r="O134" s="25"/>
      <c r="P134" s="25"/>
      <c r="Q134" s="25"/>
      <c r="R134" s="25"/>
      <c r="S134" s="25"/>
    </row>
    <row r="135" spans="2:19" ht="15" customHeight="1" x14ac:dyDescent="0.45">
      <c r="B135" s="2" t="s">
        <v>304</v>
      </c>
      <c r="D135" s="1" t="s">
        <v>505</v>
      </c>
      <c r="E135" s="25"/>
      <c r="F135" s="25"/>
      <c r="G135" s="25">
        <f>IF('BionTech as reported'!C73="NA",0,'BionTech as reported'!C73)/$D$5</f>
        <v>-4.4999999999999998E-2</v>
      </c>
      <c r="H135" s="25">
        <f>IF('BionTech as reported'!D73="NA",0,'BionTech as reported'!D73)/$D$5</f>
        <v>-0.30399999999999999</v>
      </c>
      <c r="I135" s="25">
        <f>IF('BionTech as reported'!E73="NA",0,'BionTech as reported'!E73)</f>
        <v>0.2</v>
      </c>
      <c r="J135" s="25">
        <f>IF('BionTech as reported'!F73="NA",0,'BionTech as reported'!F73)</f>
        <v>0.5</v>
      </c>
      <c r="K135" s="25">
        <f>IF('BionTech as reported'!G73="NA",0,'BionTech as reported'!G73)</f>
        <v>-3457.9</v>
      </c>
      <c r="L135" s="25">
        <f>IF('BionTech as reported'!H73="NA",0,'BionTech as reported'!H73)</f>
        <v>-4222.1000000000004</v>
      </c>
      <c r="M135" s="25">
        <f>IF('BionTech as reported'!I73="NA",0,'BionTech as reported'!I73)</f>
        <v>-482.9</v>
      </c>
      <c r="N135" s="25"/>
      <c r="O135" s="25"/>
      <c r="P135" s="25"/>
      <c r="Q135" s="25"/>
      <c r="R135" s="25"/>
      <c r="S135" s="25"/>
    </row>
    <row r="136" spans="2:19" ht="15" customHeight="1" x14ac:dyDescent="0.45">
      <c r="B136" s="2" t="s">
        <v>305</v>
      </c>
      <c r="D136" s="1" t="s">
        <v>506</v>
      </c>
      <c r="E136" s="25"/>
      <c r="F136" s="25"/>
      <c r="G136" s="25">
        <f>IF('BionTech as reported'!C74="NA",0,'BionTech as reported'!C74)/$D$5</f>
        <v>0</v>
      </c>
      <c r="H136" s="25">
        <f>IF('BionTech as reported'!D74="NA",0,'BionTech as reported'!D74)/$D$5</f>
        <v>0</v>
      </c>
      <c r="I136" s="25">
        <f>IF('BionTech as reported'!E74="NA",0,'BionTech as reported'!E74)</f>
        <v>0</v>
      </c>
      <c r="J136" s="25">
        <f>IF('BionTech as reported'!F74="NA",0,'BionTech as reported'!F74)</f>
        <v>92</v>
      </c>
      <c r="K136" s="25">
        <f>IF('BionTech as reported'!G74="NA",0,'BionTech as reported'!G74)</f>
        <v>-89</v>
      </c>
      <c r="L136" s="25">
        <f>IF('BionTech as reported'!H74="NA",0,'BionTech as reported'!H74)</f>
        <v>0.3</v>
      </c>
      <c r="M136" s="25">
        <f>IF('BionTech as reported'!I74="NA",0,'BionTech as reported'!I74)</f>
        <v>2.4</v>
      </c>
      <c r="N136" s="25"/>
      <c r="O136" s="25"/>
      <c r="P136" s="25"/>
      <c r="Q136" s="25"/>
      <c r="R136" s="25"/>
      <c r="S136" s="25"/>
    </row>
    <row r="137" spans="2:19" ht="15" customHeight="1" x14ac:dyDescent="0.45">
      <c r="B137" s="2" t="s">
        <v>314</v>
      </c>
      <c r="D137" s="1" t="s">
        <v>314</v>
      </c>
      <c r="E137" s="25"/>
      <c r="F137" s="25"/>
      <c r="G137" s="25">
        <f>IF('BionTech as reported'!C75="NA",0,'BionTech as reported'!C75)/$D$5</f>
        <v>-0.72899999999999998</v>
      </c>
      <c r="H137" s="25">
        <f>IF('BionTech as reported'!D75="NA",0,'BionTech as reported'!D75)/$D$5</f>
        <v>-1.7689999999999999</v>
      </c>
      <c r="I137" s="25">
        <f>IF('BionTech as reported'!E75="NA",0,'BionTech as reported'!E75)/$D$5</f>
        <v>-2E-3</v>
      </c>
      <c r="J137" s="25">
        <f>IF('BionTech as reported'!F75="NA",0,'BionTech as reported'!F75)</f>
        <v>-3.6</v>
      </c>
      <c r="K137" s="25">
        <f>IF('BionTech as reported'!G75="NA",0,'BionTech as reported'!G75)</f>
        <v>0</v>
      </c>
      <c r="L137" s="25">
        <f>IF('BionTech as reported'!H75="NA",0,'BionTech as reported'!H75)</f>
        <v>0</v>
      </c>
      <c r="M137" s="25">
        <f>IF('BionTech as reported'!I75="NA",0,'BionTech as reported'!I75)</f>
        <v>0</v>
      </c>
      <c r="N137" s="25"/>
      <c r="O137" s="25"/>
      <c r="P137" s="25"/>
      <c r="Q137" s="25"/>
      <c r="R137" s="25"/>
      <c r="S137" s="25"/>
    </row>
    <row r="138" spans="2:19" ht="15" customHeight="1" x14ac:dyDescent="0.45">
      <c r="B138" s="2" t="s">
        <v>303</v>
      </c>
      <c r="D138" s="1" t="s">
        <v>507</v>
      </c>
      <c r="E138" s="25"/>
      <c r="F138" s="25"/>
      <c r="G138" s="25">
        <f>IF('BionTech as reported'!C76="NA",0,'BionTech as reported'!C76)/$D$5</f>
        <v>0</v>
      </c>
      <c r="H138" s="25">
        <f>IF('BionTech as reported'!D76="NA",0,'BionTech as reported'!D76)/$D$5</f>
        <v>0</v>
      </c>
      <c r="I138" s="25">
        <f>IF('BionTech as reported'!E76="NA",0,'BionTech as reported'!E76)</f>
        <v>0</v>
      </c>
      <c r="J138" s="25">
        <f>IF('BionTech as reported'!F76="NA",0,'BionTech as reported'!F76)</f>
        <v>0</v>
      </c>
      <c r="K138" s="25">
        <f>IF('BionTech as reported'!G76="NA",0,'BionTech as reported'!G76)</f>
        <v>-2.2000000000000002</v>
      </c>
      <c r="L138" s="25">
        <f>IF('BionTech as reported'!H76="NA",0,'BionTech as reported'!H76)</f>
        <v>0</v>
      </c>
      <c r="M138" s="25">
        <f>IF('BionTech as reported'!I76="NA",0,'BionTech as reported'!I76)</f>
        <v>0</v>
      </c>
      <c r="N138" s="25"/>
      <c r="O138" s="25"/>
      <c r="P138" s="25"/>
      <c r="Q138" s="25"/>
      <c r="R138" s="25"/>
      <c r="S138" s="25"/>
    </row>
    <row r="139" spans="2:19" ht="15" customHeight="1" x14ac:dyDescent="0.45">
      <c r="B139" s="2" t="s">
        <v>303</v>
      </c>
      <c r="D139" s="1" t="s">
        <v>508</v>
      </c>
      <c r="E139" s="25"/>
      <c r="F139" s="25"/>
      <c r="G139" s="25">
        <f>IF('BionTech as reported'!C78="NA",0,'BionTech as reported'!C78)/$D$5</f>
        <v>5.2999999999999999E-2</v>
      </c>
      <c r="H139" s="25">
        <f>IF('BionTech as reported'!D78="NA",0,'BionTech as reported'!D78)/$D$5</f>
        <v>4.8000000000000001E-2</v>
      </c>
      <c r="I139" s="25">
        <f>IF('BionTech as reported'!E78="NA",0,'BionTech as reported'!E78)/$D$5</f>
        <v>2E-3</v>
      </c>
      <c r="J139" s="25">
        <f>IF('BionTech as reported'!F78="NA",0,'BionTech as reported'!F78)</f>
        <v>22.3</v>
      </c>
      <c r="K139" s="25">
        <f>IF('BionTech as reported'!G78="NA",0,'BionTech as reported'!G78)</f>
        <v>305.2</v>
      </c>
      <c r="L139" s="25">
        <f>IF('BionTech as reported'!H78="NA",0,'BionTech as reported'!H78)</f>
        <v>18.899999999999999</v>
      </c>
      <c r="M139" s="25">
        <f>IF('BionTech as reported'!I78="NA",0,'BionTech as reported'!I78)</f>
        <v>7.9</v>
      </c>
      <c r="N139" s="25"/>
      <c r="O139" s="25"/>
      <c r="P139" s="25"/>
      <c r="Q139" s="25"/>
      <c r="R139" s="25"/>
      <c r="S139" s="25"/>
    </row>
    <row r="140" spans="2:19" ht="15" customHeight="1" x14ac:dyDescent="0.45">
      <c r="B140" s="2" t="s">
        <v>303</v>
      </c>
      <c r="D140" s="1" t="s">
        <v>436</v>
      </c>
      <c r="E140" s="25"/>
      <c r="F140" s="25"/>
      <c r="G140" s="25">
        <f>IF('BionTech as reported'!C79="NA",0,'BionTech as reported'!C79)/$D$5</f>
        <v>-2.133</v>
      </c>
      <c r="H140" s="25">
        <f>IF('BionTech as reported'!D79="NA",0,'BionTech as reported'!D79)/$D$5</f>
        <v>-1.996</v>
      </c>
      <c r="I140" s="25">
        <f>IF('BionTech as reported'!E79="NA",0,'BionTech as reported'!E79)/$D$5</f>
        <v>-1.8E-3</v>
      </c>
      <c r="J140" s="25">
        <f>IF('BionTech as reported'!F79="NA",0,'BionTech as reported'!F79)</f>
        <v>-1.6</v>
      </c>
      <c r="K140" s="25">
        <f>IF('BionTech as reported'!G79="NA",0,'BionTech as reported'!G79)</f>
        <v>-1.5</v>
      </c>
      <c r="L140" s="25">
        <f>IF('BionTech as reported'!H79="NA",0,'BionTech as reported'!H79)</f>
        <v>-265.3</v>
      </c>
      <c r="M140" s="25">
        <f>IF('BionTech as reported'!I79="NA",0,'BionTech as reported'!I79)</f>
        <v>-519.6</v>
      </c>
      <c r="N140" s="25"/>
      <c r="O140" s="25"/>
      <c r="P140" s="25"/>
      <c r="Q140" s="25"/>
      <c r="R140" s="25"/>
      <c r="S140" s="25"/>
    </row>
    <row r="141" spans="2:19" ht="15" customHeight="1" x14ac:dyDescent="0.45">
      <c r="B141" s="2" t="s">
        <v>306</v>
      </c>
      <c r="D141" s="1" t="s">
        <v>509</v>
      </c>
      <c r="E141" s="25"/>
      <c r="F141" s="25"/>
      <c r="G141" s="25">
        <f>IF('BionTech as reported'!C80="NA",0,'BionTech as reported'!C80)/$D$5</f>
        <v>1E-3</v>
      </c>
      <c r="H141" s="25">
        <f>IF('BionTech as reported'!D80="NA",0,'BionTech as reported'!D80)/$D$5</f>
        <v>0</v>
      </c>
      <c r="I141" s="25">
        <f>IF('BionTech as reported'!E80="NA",0,'BionTech as reported'!E80)</f>
        <v>0</v>
      </c>
      <c r="J141" s="25">
        <f>IF('BionTech as reported'!F80="NA",0,'BionTech as reported'!F80)</f>
        <v>0</v>
      </c>
      <c r="K141" s="25">
        <f>IF('BionTech as reported'!G80="NA",0,'BionTech as reported'!G80)</f>
        <v>0</v>
      </c>
      <c r="L141" s="25">
        <f>IF('BionTech as reported'!H80="NA",0,'BionTech as reported'!H80)</f>
        <v>0</v>
      </c>
      <c r="M141" s="25">
        <f>IF('BionTech as reported'!I80="NA",0,'BionTech as reported'!I80)</f>
        <v>0</v>
      </c>
      <c r="N141" s="25"/>
      <c r="O141" s="25"/>
      <c r="P141" s="25"/>
      <c r="Q141" s="25"/>
      <c r="R141" s="25"/>
      <c r="S141" s="25"/>
    </row>
    <row r="142" spans="2:19" ht="15" customHeight="1" x14ac:dyDescent="0.45">
      <c r="B142" s="2" t="s">
        <v>314</v>
      </c>
      <c r="D142" s="1" t="s">
        <v>510</v>
      </c>
      <c r="E142" s="25"/>
      <c r="F142" s="25"/>
      <c r="G142" s="25">
        <f>IF('BionTech as reported'!C81="NA",0,'BionTech as reported'!C81)/$D$5</f>
        <v>0.67600000000000005</v>
      </c>
      <c r="H142" s="25">
        <f>IF('BionTech as reported'!D81="NA",0,'BionTech as reported'!D81)/$D$5</f>
        <v>1.7210000000000001</v>
      </c>
      <c r="I142" s="25">
        <f>IF('BionTech as reported'!E81="NA",0,'BionTech as reported'!E81)/$D$5</f>
        <v>0</v>
      </c>
      <c r="J142" s="25">
        <f>IF('BionTech as reported'!F81="NA",0,'BionTech as reported'!F81)</f>
        <v>0</v>
      </c>
      <c r="K142" s="25">
        <f>IF('BionTech as reported'!G81="NA",0,'BionTech as reported'!G81)</f>
        <v>0</v>
      </c>
      <c r="L142" s="25">
        <f>IF('BionTech as reported'!H81="NA",0,'BionTech as reported'!H81)</f>
        <v>0</v>
      </c>
      <c r="M142" s="25">
        <f>IF('BionTech as reported'!I81="NA",0,'BionTech as reported'!I81)</f>
        <v>0</v>
      </c>
      <c r="N142" s="25"/>
      <c r="O142" s="25"/>
      <c r="P142" s="25"/>
      <c r="Q142" s="25"/>
      <c r="R142" s="25"/>
      <c r="S142" s="25"/>
    </row>
    <row r="143" spans="2:19" ht="15" customHeight="1" x14ac:dyDescent="0.45">
      <c r="B143" s="2" t="s">
        <v>314</v>
      </c>
      <c r="D143" s="1" t="s">
        <v>511</v>
      </c>
      <c r="E143" s="25"/>
      <c r="F143" s="25"/>
      <c r="G143" s="25">
        <f>IF('BionTech as reported'!C82="NA",0,'BionTech as reported'!C82)/$D$5</f>
        <v>0</v>
      </c>
      <c r="H143" s="25">
        <f>IF('BionTech as reported'!D82="NA",0,'BionTech as reported'!D82)/$D$5</f>
        <v>0</v>
      </c>
      <c r="I143" s="25">
        <f>IF('BionTech as reported'!E82="NA",0,'BionTech as reported'!E82)/$D$5</f>
        <v>0</v>
      </c>
      <c r="J143" s="25">
        <f>IF('BionTech as reported'!F82="NA",0,'BionTech as reported'!F82)</f>
        <v>0</v>
      </c>
      <c r="K143" s="25">
        <f>IF('BionTech as reported'!G82="NA",0,'BionTech as reported'!G82)</f>
        <v>-12.2</v>
      </c>
      <c r="L143" s="25">
        <f>IF('BionTech as reported'!H82="NA",0,'BionTech as reported'!H82)</f>
        <v>-21.5</v>
      </c>
      <c r="M143" s="25">
        <f>IF('BionTech as reported'!I82="NA",0,'BionTech as reported'!I82)</f>
        <v>-5.4</v>
      </c>
      <c r="N143" s="25"/>
      <c r="O143" s="25"/>
      <c r="P143" s="25"/>
      <c r="Q143" s="25"/>
      <c r="R143" s="25"/>
      <c r="S143" s="25"/>
    </row>
    <row r="144" spans="2:19" ht="15" customHeight="1" x14ac:dyDescent="0.45">
      <c r="B144" s="2" t="s">
        <v>310</v>
      </c>
      <c r="D144" s="1" t="s">
        <v>512</v>
      </c>
      <c r="E144" s="25"/>
      <c r="F144" s="25"/>
      <c r="G144" s="25">
        <f>IF('BionTech as reported'!C83="NA",0,'BionTech as reported'!C83)/$D$5</f>
        <v>0</v>
      </c>
      <c r="H144" s="25">
        <f>IF('BionTech as reported'!D83="NA",0,'BionTech as reported'!D83)/$D$5</f>
        <v>0</v>
      </c>
      <c r="I144" s="25">
        <f>IF('BionTech as reported'!E83="NA",0,'BionTech as reported'!E83)/$D$5</f>
        <v>0</v>
      </c>
      <c r="J144" s="25">
        <f>IF('BionTech as reported'!F83="NA",0,'BionTech as reported'!F83)</f>
        <v>0</v>
      </c>
      <c r="K144" s="25">
        <f>IF('BionTech as reported'!G83="NA",0,'BionTech as reported'!G83)</f>
        <v>1.2</v>
      </c>
      <c r="L144" s="25">
        <f>IF('BionTech as reported'!H83="NA",0,'BionTech as reported'!H83)</f>
        <v>29.3</v>
      </c>
      <c r="M144" s="25">
        <f>IF('BionTech as reported'!I83="NA",0,'BionTech as reported'!I83)</f>
        <v>258.2</v>
      </c>
      <c r="N144" s="25"/>
      <c r="O144" s="25"/>
      <c r="P144" s="25"/>
      <c r="Q144" s="25"/>
      <c r="R144" s="25"/>
      <c r="S144" s="25"/>
    </row>
    <row r="145" spans="1:19" ht="15" customHeight="1" x14ac:dyDescent="0.45">
      <c r="B145" s="2" t="s">
        <v>305</v>
      </c>
      <c r="D145" s="1" t="s">
        <v>513</v>
      </c>
      <c r="E145" s="25"/>
      <c r="F145" s="25"/>
      <c r="G145" s="25">
        <f>IF('BionTech as reported'!C84="NA",0,'BionTech as reported'!C84)/$D$5</f>
        <v>0</v>
      </c>
      <c r="H145" s="25">
        <f>IF('BionTech as reported'!D84="NA",0,'BionTech as reported'!D84)/$D$5</f>
        <v>0</v>
      </c>
      <c r="I145" s="25">
        <f>IF('BionTech as reported'!E84="NA",0,'BionTech as reported'!E84)</f>
        <v>0</v>
      </c>
      <c r="J145" s="25">
        <f>IF('BionTech as reported'!F84="NA",0,'BionTech as reported'!F84)</f>
        <v>1.7</v>
      </c>
      <c r="K145" s="25">
        <f>IF('BionTech as reported'!G84="NA",0,'BionTech as reported'!G84)</f>
        <v>0</v>
      </c>
      <c r="L145" s="25">
        <f>IF('BionTech as reported'!H84="NA",0,'BionTech as reported'!H84)</f>
        <v>0</v>
      </c>
      <c r="M145" s="25">
        <f>IF('BionTech as reported'!I84="NA",0,'BionTech as reported'!I84)</f>
        <v>0</v>
      </c>
      <c r="N145" s="25"/>
      <c r="O145" s="25"/>
      <c r="P145" s="25"/>
      <c r="Q145" s="25"/>
      <c r="R145" s="25"/>
      <c r="S145" s="25"/>
    </row>
    <row r="146" spans="1:19" ht="15" customHeight="1" x14ac:dyDescent="0.45">
      <c r="B146" s="2" t="s">
        <v>308</v>
      </c>
      <c r="D146" s="1" t="s">
        <v>514</v>
      </c>
      <c r="E146" s="25"/>
      <c r="F146" s="25"/>
      <c r="G146" s="25">
        <f>IF('BionTech as reported'!C85="NA",0,'BionTech as reported'!C85)/$D$5</f>
        <v>-2.8159999999999998</v>
      </c>
      <c r="H146" s="25">
        <f>IF('BionTech as reported'!D85="NA",0,'BionTech as reported'!D85)/$D$5</f>
        <v>-18.731999999999999</v>
      </c>
      <c r="I146" s="25">
        <f>IF('BionTech as reported'!E85="NA",0,'BionTech as reported'!E85)</f>
        <v>0</v>
      </c>
      <c r="J146" s="25">
        <f>IF('BionTech as reported'!F85="NA",0,'BionTech as reported'!F85)</f>
        <v>0</v>
      </c>
      <c r="K146" s="25">
        <f>IF('BionTech as reported'!G85="NA",0,'BionTech as reported'!G85)</f>
        <v>0</v>
      </c>
      <c r="L146" s="25">
        <f>IF('BionTech as reported'!H85="NA",0,'BionTech as reported'!H85)</f>
        <v>0</v>
      </c>
      <c r="M146" s="25">
        <f>IF('BionTech as reported'!I85="NA",0,'BionTech as reported'!I85)</f>
        <v>0</v>
      </c>
      <c r="N146" s="25"/>
      <c r="O146" s="25"/>
      <c r="P146" s="25"/>
      <c r="Q146" s="25"/>
      <c r="R146" s="25"/>
      <c r="S146" s="25"/>
    </row>
    <row r="147" spans="1:19" ht="15" customHeight="1" x14ac:dyDescent="0.45">
      <c r="B147" s="2" t="s">
        <v>308</v>
      </c>
      <c r="D147" s="1" t="s">
        <v>515</v>
      </c>
      <c r="E147" s="25"/>
      <c r="F147" s="25"/>
      <c r="G147" s="25">
        <f>IF('BionTech as reported'!C86="NA",0,'BionTech as reported'!C86)/$D$5</f>
        <v>0</v>
      </c>
      <c r="H147" s="25">
        <f>IF('BionTech as reported'!D86="NA",0,'BionTech as reported'!D86)/$D$5</f>
        <v>0</v>
      </c>
      <c r="I147" s="25">
        <f>IF('BionTech as reported'!E86="NA",0,'BionTech as reported'!E86)</f>
        <v>2.9</v>
      </c>
      <c r="J147" s="25">
        <f>IF('BionTech as reported'!F86="NA",0,'BionTech as reported'!F86)</f>
        <v>-247.9</v>
      </c>
      <c r="K147" s="25">
        <f>IF('BionTech as reported'!G86="NA",0,'BionTech as reported'!G86)</f>
        <v>-11808.1</v>
      </c>
      <c r="L147" s="25">
        <f>IF('BionTech as reported'!H86="NA",0,'BionTech as reported'!H86)</f>
        <v>4369.8999999999996</v>
      </c>
      <c r="M147" s="25">
        <f>IF('BionTech as reported'!I86="NA",0,'BionTech as reported'!I86)</f>
        <v>5374</v>
      </c>
      <c r="N147" s="25"/>
      <c r="O147" s="25"/>
      <c r="P147" s="25"/>
      <c r="Q147" s="25"/>
      <c r="R147" s="25"/>
      <c r="S147" s="25"/>
    </row>
    <row r="148" spans="1:19" ht="15" customHeight="1" x14ac:dyDescent="0.45">
      <c r="B148" s="2" t="s">
        <v>308</v>
      </c>
      <c r="D148" s="1" t="s">
        <v>516</v>
      </c>
      <c r="E148" s="25"/>
      <c r="F148" s="25"/>
      <c r="G148" s="25">
        <f>IF('BionTech as reported'!C87="NA",0,'BionTech as reported'!C87)/$D$5</f>
        <v>-0.57399999999999995</v>
      </c>
      <c r="H148" s="25">
        <f>IF('BionTech as reported'!D87="NA",0,'BionTech as reported'!D87)/$D$5</f>
        <v>-1.2529999999999999</v>
      </c>
      <c r="I148" s="25">
        <f>IF('BionTech as reported'!E87="NA",0,'BionTech as reported'!E87)</f>
        <v>-5.8</v>
      </c>
      <c r="J148" s="25">
        <f>IF('BionTech as reported'!F87="NA",0,'BionTech as reported'!F87)</f>
        <v>-49.8</v>
      </c>
      <c r="K148" s="25">
        <f>IF('BionTech as reported'!G87="NA",0,'BionTech as reported'!G87)</f>
        <v>-438.4</v>
      </c>
      <c r="L148" s="25">
        <f>IF('BionTech as reported'!H87="NA",0,'BionTech as reported'!H87)</f>
        <v>62.9</v>
      </c>
      <c r="M148" s="25">
        <f>IF('BionTech as reported'!I87="NA",0,'BionTech as reported'!I87)</f>
        <v>81.900000000000006</v>
      </c>
      <c r="N148" s="25"/>
      <c r="O148" s="25"/>
      <c r="P148" s="25"/>
      <c r="Q148" s="25"/>
      <c r="R148" s="25"/>
      <c r="S148" s="25"/>
    </row>
    <row r="149" spans="1:19" ht="15" customHeight="1" x14ac:dyDescent="0.45">
      <c r="B149" s="2" t="s">
        <v>308</v>
      </c>
      <c r="D149" s="1" t="s">
        <v>517</v>
      </c>
      <c r="E149" s="25"/>
      <c r="F149" s="25"/>
      <c r="G149" s="25">
        <f>IF('BionTech as reported'!C88="NA",0,'BionTech as reported'!C88)/$D$5</f>
        <v>-4.5739999999999998</v>
      </c>
      <c r="H149" s="25">
        <f>IF('BionTech as reported'!D88="NA",0,'BionTech as reported'!D88)/$D$5</f>
        <v>-21.08</v>
      </c>
      <c r="I149" s="25">
        <f>IF('BionTech as reported'!E88="NA",0,'BionTech as reported'!E88)</f>
        <v>0</v>
      </c>
      <c r="J149" s="25">
        <f>IF('BionTech as reported'!F88="NA",0,'BionTech as reported'!F88)</f>
        <v>0</v>
      </c>
      <c r="K149" s="25">
        <f>IF('BionTech as reported'!G88="NA",0,'BionTech as reported'!G88)</f>
        <v>0</v>
      </c>
      <c r="L149" s="25">
        <f>IF('BionTech as reported'!H88="NA",0,'BionTech as reported'!H88)</f>
        <v>0</v>
      </c>
      <c r="M149" s="25">
        <f>IF('BionTech as reported'!I88="NA",0,'BionTech as reported'!I88)</f>
        <v>0</v>
      </c>
      <c r="N149" s="25"/>
      <c r="O149" s="25"/>
      <c r="P149" s="25"/>
      <c r="Q149" s="25"/>
      <c r="R149" s="25"/>
      <c r="S149" s="25"/>
    </row>
    <row r="150" spans="1:19" ht="15" customHeight="1" x14ac:dyDescent="0.45">
      <c r="B150" s="2" t="s">
        <v>308</v>
      </c>
      <c r="D150" s="1" t="s">
        <v>518</v>
      </c>
      <c r="E150" s="25"/>
      <c r="F150" s="25"/>
      <c r="G150" s="25">
        <f>IF('BionTech as reported'!C89="NA",0,'BionTech as reported'!C89)/$D$5</f>
        <v>0</v>
      </c>
      <c r="H150" s="25">
        <f>IF('BionTech as reported'!D89="NA",0,'BionTech as reported'!D89)/$D$5</f>
        <v>0</v>
      </c>
      <c r="I150" s="25">
        <f>IF('BionTech as reported'!E89="NA",0,'BionTech as reported'!E89)</f>
        <v>-80.599999999999994</v>
      </c>
      <c r="J150" s="25">
        <f>IF('BionTech as reported'!F89="NA",0,'BionTech as reported'!F89)</f>
        <v>204.6</v>
      </c>
      <c r="K150" s="25">
        <f>IF('BionTech as reported'!G89="NA",0,'BionTech as reported'!G89)</f>
        <v>1516.1</v>
      </c>
      <c r="L150" s="25">
        <f>IF('BionTech as reported'!H89="NA",0,'BionTech as reported'!H89)</f>
        <v>85.7</v>
      </c>
      <c r="M150" s="25">
        <f>IF('BionTech as reported'!I89="NA",0,'BionTech as reported'!I89)</f>
        <v>118.9</v>
      </c>
      <c r="N150" s="25"/>
      <c r="O150" s="25"/>
      <c r="P150" s="25"/>
      <c r="Q150" s="25"/>
      <c r="R150" s="25"/>
      <c r="S150" s="25"/>
    </row>
    <row r="151" spans="1:19" s="29" customFormat="1" ht="15" customHeight="1" x14ac:dyDescent="0.45">
      <c r="A151" s="1"/>
      <c r="B151" s="2"/>
      <c r="C151" s="1"/>
      <c r="D151" s="478" t="s">
        <v>519</v>
      </c>
      <c r="E151" s="477"/>
      <c r="F151" s="477"/>
      <c r="G151" s="477">
        <f t="shared" ref="G151:M151" si="14">SUM(G123:G150)</f>
        <v>-52.562000000000005</v>
      </c>
      <c r="H151" s="477">
        <f t="shared" si="14"/>
        <v>-58.876999999999995</v>
      </c>
      <c r="I151" s="477">
        <f t="shared" si="14"/>
        <v>-197.80070000000001</v>
      </c>
      <c r="J151" s="477">
        <f t="shared" si="14"/>
        <v>-13.500000000000028</v>
      </c>
      <c r="K151" s="477">
        <f t="shared" si="14"/>
        <v>889.69999999999993</v>
      </c>
      <c r="L151" s="477">
        <f t="shared" si="14"/>
        <v>13577.399999999998</v>
      </c>
      <c r="M151" s="477">
        <f t="shared" si="14"/>
        <v>5371.4</v>
      </c>
      <c r="N151" s="477"/>
      <c r="O151" s="477"/>
      <c r="P151" s="477"/>
      <c r="Q151" s="477"/>
      <c r="R151" s="477"/>
      <c r="S151" s="477"/>
    </row>
    <row r="152" spans="1:19" ht="15" customHeight="1" x14ac:dyDescent="0.45">
      <c r="B152" s="2"/>
      <c r="D152" s="479"/>
      <c r="E152" s="23"/>
      <c r="F152" s="23"/>
      <c r="G152" s="23"/>
      <c r="H152" s="23"/>
      <c r="I152" s="23"/>
      <c r="J152" s="23"/>
      <c r="K152" s="23"/>
      <c r="L152" s="23"/>
      <c r="M152" s="23"/>
      <c r="N152" s="23"/>
      <c r="O152" s="23"/>
      <c r="P152" s="23"/>
      <c r="Q152" s="23"/>
      <c r="R152" s="23"/>
      <c r="S152" s="23"/>
    </row>
    <row r="153" spans="1:19" s="481" customFormat="1" ht="15" customHeight="1" x14ac:dyDescent="0.45">
      <c r="A153" s="484"/>
      <c r="B153" s="6"/>
      <c r="C153" s="484"/>
      <c r="E153" s="482"/>
      <c r="F153" s="482"/>
      <c r="G153" s="483"/>
      <c r="H153" s="483"/>
      <c r="I153" s="483"/>
      <c r="J153" s="483"/>
      <c r="K153" s="483"/>
      <c r="L153" s="483"/>
      <c r="M153" s="483"/>
      <c r="N153" s="482"/>
      <c r="O153" s="482"/>
      <c r="P153" s="482"/>
      <c r="Q153" s="482"/>
      <c r="R153" s="482"/>
      <c r="S153" s="482"/>
    </row>
    <row r="154" spans="1:19" ht="15" customHeight="1" x14ac:dyDescent="0.45">
      <c r="B154" s="2"/>
      <c r="D154" s="480" t="s">
        <v>520</v>
      </c>
      <c r="E154" s="25"/>
      <c r="F154" s="25"/>
      <c r="G154" s="25"/>
      <c r="H154" s="25"/>
      <c r="I154" s="25"/>
      <c r="J154" s="25"/>
      <c r="K154" s="25"/>
      <c r="L154" s="25"/>
      <c r="M154" s="25"/>
      <c r="N154" s="25"/>
      <c r="O154" s="25"/>
      <c r="P154" s="25"/>
      <c r="Q154" s="25"/>
      <c r="R154" s="25"/>
      <c r="S154" s="25"/>
    </row>
    <row r="155" spans="1:19" ht="15" customHeight="1" x14ac:dyDescent="0.45">
      <c r="B155" s="2" t="s">
        <v>312</v>
      </c>
      <c r="D155" s="1" t="s">
        <v>521</v>
      </c>
      <c r="E155" s="25"/>
      <c r="F155" s="25"/>
      <c r="G155" s="25">
        <f>IF('BionTech as reported'!C92="NA",0,'BionTech as reported'!C92)/$D$5</f>
        <v>-24.32</v>
      </c>
      <c r="H155" s="25">
        <f>IF('BionTech as reported'!D92="NA",0,'BionTech as reported'!D92)/$D$5</f>
        <v>-29.901</v>
      </c>
      <c r="I155" s="25">
        <f>IF('BionTech as reported'!E92="NA",0,'BionTech as reported'!E92)</f>
        <v>-38.6</v>
      </c>
      <c r="J155" s="25">
        <f>IF('BionTech as reported'!F92="NA",0,'BionTech as reported'!F92)</f>
        <v>-66</v>
      </c>
      <c r="K155" s="25">
        <f>IF('BionTech as reported'!G92="NA",0,'BionTech as reported'!G92)</f>
        <v>-127.5</v>
      </c>
      <c r="L155" s="25">
        <f>IF('BionTech as reported'!H92="NA",0,'BionTech as reported'!H92)</f>
        <v>-329.2</v>
      </c>
      <c r="M155" s="25">
        <f>IF('BionTech as reported'!I92="NA",0,'BionTech as reported'!I92)</f>
        <v>-249.4</v>
      </c>
      <c r="N155" s="25"/>
      <c r="O155" s="25"/>
      <c r="P155" s="25"/>
      <c r="Q155" s="25"/>
      <c r="R155" s="25"/>
      <c r="S155" s="25"/>
    </row>
    <row r="156" spans="1:19" ht="15" customHeight="1" x14ac:dyDescent="0.45">
      <c r="B156" s="2" t="s">
        <v>312</v>
      </c>
      <c r="D156" s="1" t="s">
        <v>522</v>
      </c>
      <c r="E156" s="25"/>
      <c r="F156" s="25"/>
      <c r="G156" s="25">
        <f>IF('BionTech as reported'!C93="NA",0,'BionTech as reported'!C93)/$D$5</f>
        <v>5.1929999999999996</v>
      </c>
      <c r="H156" s="25">
        <f>IF('BionTech as reported'!D93="NA",0,'BionTech as reported'!D93)/$D$5</f>
        <v>0.70499999999999996</v>
      </c>
      <c r="I156" s="25">
        <f>IF('BionTech as reported'!E93="NA",0,'BionTech as reported'!E93)</f>
        <v>0</v>
      </c>
      <c r="J156" s="25">
        <f>IF('BionTech as reported'!F93="NA",0,'BionTech as reported'!F93)</f>
        <v>1.2</v>
      </c>
      <c r="K156" s="25">
        <f>IF('BionTech as reported'!G93="NA",0,'BionTech as reported'!G93)</f>
        <v>3.4</v>
      </c>
      <c r="L156" s="25">
        <f>IF('BionTech as reported'!H93="NA",0,'BionTech as reported'!H93)</f>
        <v>0.6</v>
      </c>
      <c r="M156" s="25">
        <f>IF('BionTech as reported'!I93="NA",0,'BionTech as reported'!I93)</f>
        <v>-0.7</v>
      </c>
      <c r="N156" s="25"/>
      <c r="O156" s="25"/>
      <c r="P156" s="25"/>
      <c r="Q156" s="25"/>
      <c r="R156" s="25"/>
      <c r="S156" s="25"/>
    </row>
    <row r="157" spans="1:19" ht="15" customHeight="1" x14ac:dyDescent="0.45">
      <c r="B157" s="2" t="s">
        <v>312</v>
      </c>
      <c r="D157" s="1" t="s">
        <v>523</v>
      </c>
      <c r="E157" s="25"/>
      <c r="F157" s="25"/>
      <c r="G157" s="25">
        <f>IF('BionTech as reported'!C94="NA",0,'BionTech as reported'!C94)/$D$5</f>
        <v>0</v>
      </c>
      <c r="H157" s="25">
        <f>IF('BionTech as reported'!D94="NA",0,'BionTech as reported'!D94)/$D$5</f>
        <v>0</v>
      </c>
      <c r="I157" s="25">
        <f>IF('BionTech as reported'!E94="NA",0,'BionTech as reported'!E94)</f>
        <v>-6.1</v>
      </c>
      <c r="J157" s="25">
        <f>IF('BionTech as reported'!F94="NA",0,'BionTech as reported'!F94)</f>
        <v>-60.6</v>
      </c>
      <c r="K157" s="25">
        <f>IF('BionTech as reported'!G94="NA",0,'BionTech as reported'!G94)</f>
        <v>-20.8</v>
      </c>
      <c r="L157" s="25">
        <f>IF('BionTech as reported'!H94="NA",0,'BionTech as reported'!H94)</f>
        <v>0</v>
      </c>
      <c r="M157" s="25">
        <f>IF('BionTech as reported'!I94="NA",0,'BionTech as reported'!I94)</f>
        <v>-336.9</v>
      </c>
      <c r="N157" s="25"/>
      <c r="O157" s="25"/>
      <c r="P157" s="25"/>
      <c r="Q157" s="25"/>
      <c r="R157" s="25"/>
      <c r="S157" s="25"/>
    </row>
    <row r="158" spans="1:19" ht="15" customHeight="1" x14ac:dyDescent="0.45">
      <c r="B158" s="2" t="s">
        <v>312</v>
      </c>
      <c r="D158" s="1" t="s">
        <v>524</v>
      </c>
      <c r="E158" s="25"/>
      <c r="F158" s="25"/>
      <c r="G158" s="25">
        <f>IF('BionTech as reported'!C95="NA",0,'BionTech as reported'!C95)/$D$5</f>
        <v>-33.421999999999997</v>
      </c>
      <c r="H158" s="25">
        <f>IF('BionTech as reported'!D95="NA",0,'BionTech as reported'!D95)/$D$5</f>
        <v>0</v>
      </c>
      <c r="I158" s="25">
        <f>IF('BionTech as reported'!E95="NA",0,'BionTech as reported'!E95)</f>
        <v>0</v>
      </c>
      <c r="J158" s="25">
        <f>IF('BionTech as reported'!F95="NA",0,'BionTech as reported'!F95)</f>
        <v>0</v>
      </c>
      <c r="K158" s="25">
        <f>IF('BionTech as reported'!G95="NA",0,'BionTech as reported'!G95)</f>
        <v>0</v>
      </c>
      <c r="L158" s="25">
        <f>IF('BionTech as reported'!H95="NA",0,'BionTech as reported'!H95)</f>
        <v>0</v>
      </c>
      <c r="M158" s="25">
        <f>IF('BionTech as reported'!I95="NA",0,'BionTech as reported'!I95)</f>
        <v>0</v>
      </c>
      <c r="N158" s="25"/>
      <c r="O158" s="25"/>
      <c r="P158" s="25"/>
      <c r="Q158" s="25"/>
      <c r="R158" s="25"/>
      <c r="S158" s="25"/>
    </row>
    <row r="159" spans="1:19" ht="15" customHeight="1" x14ac:dyDescent="0.45">
      <c r="B159" s="2" t="s">
        <v>312</v>
      </c>
      <c r="D159" s="1" t="s">
        <v>525</v>
      </c>
      <c r="E159" s="25"/>
      <c r="F159" s="25"/>
      <c r="G159" s="25">
        <f>IF('BionTech as reported'!C96="NA",0,'BionTech as reported'!C96)/$D$5</f>
        <v>0</v>
      </c>
      <c r="H159" s="25">
        <f>IF('BionTech as reported'!D96="NA",0,'BionTech as reported'!D96)/$D$5</f>
        <v>-37.256</v>
      </c>
      <c r="I159" s="25">
        <f>IF('BionTech as reported'!E96="NA",0,'BionTech as reported'!E96)</f>
        <v>-32.5</v>
      </c>
      <c r="J159" s="25">
        <f>IF('BionTech as reported'!F96="NA",0,'BionTech as reported'!F96)</f>
        <v>0</v>
      </c>
      <c r="K159" s="25">
        <f>IF('BionTech as reported'!G96="NA",0,'BionTech as reported'!G96)</f>
        <v>-26.5</v>
      </c>
      <c r="L159" s="25">
        <f>IF('BionTech as reported'!H96="NA",0,'BionTech as reported'!H96)</f>
        <v>-34.1</v>
      </c>
      <c r="M159" s="25">
        <f>IF('BionTech as reported'!I96="NA",0,'BionTech as reported'!I96)</f>
        <v>-455.4</v>
      </c>
      <c r="N159" s="25"/>
      <c r="O159" s="25"/>
      <c r="P159" s="25"/>
      <c r="Q159" s="25"/>
      <c r="R159" s="25"/>
      <c r="S159" s="25"/>
    </row>
    <row r="160" spans="1:19" ht="15" customHeight="1" x14ac:dyDescent="0.45">
      <c r="B160" s="2" t="s">
        <v>312</v>
      </c>
      <c r="D160" s="1" t="s">
        <v>526</v>
      </c>
      <c r="E160" s="25"/>
      <c r="F160" s="25"/>
      <c r="G160" s="25">
        <f>IF('BionTech as reported'!C97="NA",0,'BionTech as reported'!C97)/$D$5</f>
        <v>0</v>
      </c>
      <c r="H160" s="25">
        <f>IF('BionTech as reported'!D97="NA",0,'BionTech as reported'!D97)/$D$5</f>
        <v>0</v>
      </c>
      <c r="I160" s="25">
        <f>IF('BionTech as reported'!E97="NA",0,'BionTech as reported'!E97)</f>
        <v>0</v>
      </c>
      <c r="J160" s="25">
        <f>IF('BionTech as reported'!F97="NA",0,'BionTech as reported'!F97)</f>
        <v>0</v>
      </c>
      <c r="K160" s="25">
        <f>IF('BionTech as reported'!G97="NA",0,'BionTech as reported'!G97)</f>
        <v>-19.5</v>
      </c>
      <c r="L160" s="25">
        <f>IF('BionTech as reported'!H97="NA",0,'BionTech as reported'!H97)</f>
        <v>-47.8</v>
      </c>
      <c r="M160" s="25">
        <f>IF('BionTech as reported'!I97="NA",0,'BionTech as reported'!I97)</f>
        <v>-7128.4</v>
      </c>
      <c r="N160" s="25"/>
      <c r="O160" s="25"/>
      <c r="P160" s="25"/>
      <c r="Q160" s="25"/>
      <c r="R160" s="25"/>
      <c r="S160" s="25"/>
    </row>
    <row r="161" spans="1:19" ht="15" customHeight="1" x14ac:dyDescent="0.45">
      <c r="B161" s="2" t="s">
        <v>312</v>
      </c>
      <c r="D161" s="1" t="s">
        <v>527</v>
      </c>
      <c r="E161" s="25"/>
      <c r="F161" s="25"/>
      <c r="G161" s="25">
        <f>IF('BionTech as reported'!C98="NA",0,'BionTech as reported'!C98)/$D$5</f>
        <v>0</v>
      </c>
      <c r="H161" s="25">
        <f>IF('BionTech as reported'!D98="NA",0,'BionTech as reported'!D98)/$D$5</f>
        <v>0</v>
      </c>
      <c r="I161" s="25">
        <f>IF('BionTech as reported'!E98="NA",0,'BionTech as reported'!E98)</f>
        <v>0</v>
      </c>
      <c r="J161" s="25">
        <f>IF('BionTech as reported'!F98="NA",0,'BionTech as reported'!F98)</f>
        <v>0</v>
      </c>
      <c r="K161" s="25">
        <f>IF('BionTech as reported'!G98="NA",0,'BionTech as reported'!G98)</f>
        <v>-375.2</v>
      </c>
      <c r="L161" s="25">
        <f>IF('BionTech as reported'!H98="NA",0,'BionTech as reported'!H98)</f>
        <v>375.2</v>
      </c>
      <c r="M161" s="25">
        <f>IF('BionTech as reported'!I98="NA",0,'BionTech as reported'!I98)</f>
        <v>1216.3</v>
      </c>
      <c r="N161" s="25"/>
      <c r="O161" s="25"/>
      <c r="P161" s="25"/>
      <c r="Q161" s="25"/>
      <c r="R161" s="25"/>
      <c r="S161" s="25"/>
    </row>
    <row r="162" spans="1:19" ht="15" customHeight="1" x14ac:dyDescent="0.45">
      <c r="B162" s="2" t="s">
        <v>312</v>
      </c>
      <c r="D162" s="1" t="s">
        <v>528</v>
      </c>
      <c r="E162" s="25"/>
      <c r="F162" s="25"/>
      <c r="G162" s="25">
        <f>IF('BionTech as reported'!C99="NA",0,'BionTech as reported'!C99)/$D$5</f>
        <v>0</v>
      </c>
      <c r="H162" s="25">
        <f>IF('BionTech as reported'!D99="NA",0,'BionTech as reported'!D99)/$D$5</f>
        <v>0</v>
      </c>
      <c r="I162" s="25">
        <f>IF('BionTech as reported'!E99="NA",0,'BionTech as reported'!E99)</f>
        <v>0</v>
      </c>
      <c r="J162" s="25">
        <f>IF('BionTech as reported'!F99="NA",0,'BionTech as reported'!F99)</f>
        <v>-19.399999999999999</v>
      </c>
      <c r="K162" s="25">
        <f>IF('BionTech as reported'!G99="NA",0,'BionTech as reported'!G99)</f>
        <v>0</v>
      </c>
      <c r="L162" s="25">
        <f>IF('BionTech as reported'!H99="NA",0,'BionTech as reported'!H99)</f>
        <v>0</v>
      </c>
      <c r="M162" s="25">
        <f>IF('BionTech as reported'!I99="NA",0,'BionTech as reported'!I99)</f>
        <v>0</v>
      </c>
      <c r="N162" s="25"/>
      <c r="O162" s="25"/>
      <c r="P162" s="25"/>
      <c r="Q162" s="25"/>
      <c r="R162" s="25"/>
      <c r="S162" s="25"/>
    </row>
    <row r="163" spans="1:19" s="29" customFormat="1" ht="15" customHeight="1" x14ac:dyDescent="0.45">
      <c r="A163" s="1"/>
      <c r="B163" s="2"/>
      <c r="C163" s="1"/>
      <c r="D163" s="478" t="s">
        <v>529</v>
      </c>
      <c r="E163" s="477"/>
      <c r="F163" s="477"/>
      <c r="G163" s="477">
        <f t="shared" ref="G163:M163" si="15">SUM(G155:G162)</f>
        <v>-52.548999999999999</v>
      </c>
      <c r="H163" s="477">
        <f t="shared" si="15"/>
        <v>-66.451999999999998</v>
      </c>
      <c r="I163" s="477">
        <f t="shared" si="15"/>
        <v>-77.2</v>
      </c>
      <c r="J163" s="477">
        <f t="shared" si="15"/>
        <v>-144.80000000000001</v>
      </c>
      <c r="K163" s="477">
        <f t="shared" si="15"/>
        <v>-566.1</v>
      </c>
      <c r="L163" s="477">
        <f t="shared" si="15"/>
        <v>-35.300000000000011</v>
      </c>
      <c r="M163" s="477">
        <f t="shared" si="15"/>
        <v>-6954.4999999999991</v>
      </c>
      <c r="N163" s="477"/>
      <c r="O163" s="477"/>
      <c r="P163" s="477"/>
      <c r="Q163" s="477"/>
      <c r="R163" s="477"/>
      <c r="S163" s="477"/>
    </row>
    <row r="164" spans="1:19" ht="15" customHeight="1" x14ac:dyDescent="0.45">
      <c r="B164" s="2"/>
      <c r="D164" s="31"/>
      <c r="E164" s="25"/>
      <c r="F164" s="25"/>
      <c r="G164" s="25"/>
      <c r="H164" s="25"/>
      <c r="I164" s="25"/>
      <c r="J164" s="25"/>
      <c r="K164" s="25"/>
      <c r="L164" s="25"/>
      <c r="M164" s="25"/>
      <c r="N164" s="25"/>
      <c r="O164" s="25"/>
      <c r="P164" s="25"/>
      <c r="Q164" s="25"/>
      <c r="R164" s="25"/>
      <c r="S164" s="25"/>
    </row>
    <row r="165" spans="1:19" ht="15" customHeight="1" x14ac:dyDescent="0.45">
      <c r="B165" s="2" t="s">
        <v>315</v>
      </c>
      <c r="D165" s="1" t="s">
        <v>530</v>
      </c>
      <c r="E165" s="25"/>
      <c r="F165" s="25"/>
      <c r="G165" s="25">
        <f>IF('BionTech as reported'!C102="NA",0,'BionTech as reported'!C102)/$D$5</f>
        <v>0</v>
      </c>
      <c r="H165" s="25">
        <f>IF('BionTech as reported'!D102="NA",0,'BionTech as reported'!D102)/$D$5</f>
        <v>0</v>
      </c>
      <c r="I165" s="25">
        <f>IF('BionTech as reported'!E102="NA",0,'BionTech as reported'!E102)</f>
        <v>0</v>
      </c>
      <c r="J165" s="25">
        <f>IF('BionTech as reported'!F102="NA",0,'BionTech as reported'!F102)</f>
        <v>-1.6</v>
      </c>
      <c r="K165" s="25">
        <f>IF('BionTech as reported'!G102="NA",0,'BionTech as reported'!G102)</f>
        <v>-52.6</v>
      </c>
      <c r="L165" s="25">
        <f>IF('BionTech as reported'!H102="NA",0,'BionTech as reported'!H102)</f>
        <v>-18.8</v>
      </c>
      <c r="M165" s="25">
        <f>IF('BionTech as reported'!I102="NA",0,'BionTech as reported'!I102)</f>
        <v>-0.1</v>
      </c>
      <c r="N165" s="25"/>
      <c r="O165" s="25"/>
      <c r="P165" s="25"/>
      <c r="Q165" s="25"/>
      <c r="R165" s="25"/>
      <c r="S165" s="25"/>
    </row>
    <row r="166" spans="1:19" ht="15" customHeight="1" x14ac:dyDescent="0.45">
      <c r="B166" s="2" t="s">
        <v>315</v>
      </c>
      <c r="D166" s="1" t="s">
        <v>531</v>
      </c>
      <c r="E166" s="25"/>
      <c r="F166" s="25"/>
      <c r="G166" s="25">
        <f>IF('BionTech as reported'!C103="NA",0,'BionTech as reported'!C103)/$D$5</f>
        <v>0</v>
      </c>
      <c r="H166" s="25">
        <f>IF('BionTech as reported'!D103="NA",0,'BionTech as reported'!D103)/$D$5</f>
        <v>5.6</v>
      </c>
      <c r="I166" s="25">
        <f>IF('BionTech as reported'!E103="NA",0,'BionTech as reported'!E103)</f>
        <v>11</v>
      </c>
      <c r="J166" s="25">
        <f>IF('BionTech as reported'!F103="NA",0,'BionTech as reported'!F103)</f>
        <v>156</v>
      </c>
      <c r="K166" s="25">
        <f>IF('BionTech as reported'!G103="NA",0,'BionTech as reported'!G103)</f>
        <v>0</v>
      </c>
      <c r="L166" s="25">
        <f>IF('BionTech as reported'!H103="NA",0,'BionTech as reported'!H103)</f>
        <v>0.8</v>
      </c>
      <c r="M166" s="25">
        <f>IF('BionTech as reported'!I103="NA",0,'BionTech as reported'!I103)</f>
        <v>0.3</v>
      </c>
      <c r="N166" s="25"/>
      <c r="O166" s="25"/>
      <c r="P166" s="25"/>
      <c r="Q166" s="25"/>
      <c r="R166" s="25"/>
      <c r="S166" s="25"/>
    </row>
    <row r="167" spans="1:19" ht="15" customHeight="1" x14ac:dyDescent="0.45">
      <c r="B167" s="2" t="s">
        <v>315</v>
      </c>
      <c r="D167" s="1" t="s">
        <v>532</v>
      </c>
      <c r="E167" s="25"/>
      <c r="F167" s="25"/>
      <c r="G167" s="25">
        <f>IF('BionTech as reported'!C104="NA",0,'BionTech as reported'!C104)/$D$5</f>
        <v>-1.643</v>
      </c>
      <c r="H167" s="25">
        <f>IF('BionTech as reported'!D104="NA",0,'BionTech as reported'!D104)/$D$5</f>
        <v>0</v>
      </c>
      <c r="I167" s="25">
        <f>IF('BionTech as reported'!E104="NA",0,'BionTech as reported'!E104)</f>
        <v>0</v>
      </c>
      <c r="J167" s="25">
        <f>IF('BionTech as reported'!F104="NA",0,'BionTech as reported'!F104)</f>
        <v>0</v>
      </c>
      <c r="K167" s="25">
        <f>IF('BionTech as reported'!G104="NA",0,'BionTech as reported'!G104)</f>
        <v>0</v>
      </c>
      <c r="L167" s="25">
        <f>IF('BionTech as reported'!H104="NA",0,'BionTech as reported'!H104)</f>
        <v>0</v>
      </c>
      <c r="M167" s="25">
        <f>IF('BionTech as reported'!I104="NA",0,'BionTech as reported'!I104)</f>
        <v>0</v>
      </c>
      <c r="N167" s="25"/>
      <c r="O167" s="25"/>
      <c r="P167" s="25"/>
      <c r="Q167" s="25"/>
      <c r="R167" s="25"/>
      <c r="S167" s="25"/>
    </row>
    <row r="168" spans="1:19" ht="15" customHeight="1" x14ac:dyDescent="0.45">
      <c r="B168" s="2" t="s">
        <v>315</v>
      </c>
      <c r="D168" s="1" t="s">
        <v>533</v>
      </c>
      <c r="E168" s="25"/>
      <c r="F168" s="25"/>
      <c r="G168" s="25">
        <f>IF('BionTech as reported'!C105="NA",0,'BionTech as reported'!C105)/$D$5</f>
        <v>0</v>
      </c>
      <c r="H168" s="25">
        <f>IF('BionTech as reported'!D105="NA",0,'BionTech as reported'!D105)/$D$5</f>
        <v>-2.1480000000000001</v>
      </c>
      <c r="I168" s="25">
        <f>IF('BionTech as reported'!E105="NA",0,'BionTech as reported'!E105)</f>
        <v>-3.1</v>
      </c>
      <c r="J168" s="25">
        <f>IF('BionTech as reported'!F105="NA",0,'BionTech as reported'!F105)</f>
        <v>-12.7</v>
      </c>
      <c r="K168" s="25">
        <f>IF('BionTech as reported'!G105="NA",0,'BionTech as reported'!G105)</f>
        <v>-14.1</v>
      </c>
      <c r="L168" s="25">
        <f>IF('BionTech as reported'!H105="NA",0,'BionTech as reported'!H105)</f>
        <v>-41.1</v>
      </c>
      <c r="M168" s="25">
        <f>IF('BionTech as reported'!I105="NA",0,'BionTech as reported'!I105)</f>
        <v>-40.299999999999997</v>
      </c>
      <c r="N168" s="25"/>
      <c r="O168" s="25"/>
      <c r="P168" s="25"/>
      <c r="Q168" s="25"/>
      <c r="R168" s="25"/>
      <c r="S168" s="25"/>
    </row>
    <row r="169" spans="1:19" ht="15" customHeight="1" x14ac:dyDescent="0.45">
      <c r="B169" s="2" t="s">
        <v>418</v>
      </c>
      <c r="D169" s="1" t="s">
        <v>534</v>
      </c>
      <c r="E169" s="25"/>
      <c r="F169" s="25"/>
      <c r="G169" s="25">
        <f>IF('BionTech as reported'!C106="NA",0,'BionTech as reported'!C106)/$D$5</f>
        <v>0</v>
      </c>
      <c r="H169" s="25">
        <f>IF('BionTech as reported'!D106="NA",0,'BionTech as reported'!D106)/$D$5</f>
        <v>361.72500000000002</v>
      </c>
      <c r="I169" s="25">
        <f>IF('BionTech as reported'!E106="NA",0,'BionTech as reported'!E106)</f>
        <v>0</v>
      </c>
      <c r="J169" s="25">
        <f>IF('BionTech as reported'!F106="NA",0,'BionTech as reported'!F106)</f>
        <v>0</v>
      </c>
      <c r="K169" s="25">
        <f>IF('BionTech as reported'!G106="NA",0,'BionTech as reported'!G106)</f>
        <v>0</v>
      </c>
      <c r="L169" s="25">
        <f>IF('BionTech as reported'!H106="NA",0,'BionTech as reported'!H106)</f>
        <v>0</v>
      </c>
      <c r="M169" s="25">
        <f>IF('BionTech as reported'!I106="NA",0,'BionTech as reported'!I106)</f>
        <v>0</v>
      </c>
      <c r="N169" s="25"/>
      <c r="O169" s="25"/>
      <c r="P169" s="25"/>
      <c r="Q169" s="25"/>
      <c r="R169" s="25"/>
      <c r="S169" s="25"/>
    </row>
    <row r="170" spans="1:19" ht="15" customHeight="1" x14ac:dyDescent="0.45">
      <c r="B170" s="2" t="s">
        <v>418</v>
      </c>
      <c r="D170" s="1" t="s">
        <v>535</v>
      </c>
      <c r="E170" s="25"/>
      <c r="F170" s="25"/>
      <c r="G170" s="25">
        <f>IF('BionTech as reported'!C107="NA",0,'BionTech as reported'!C107)/$D$5</f>
        <v>0</v>
      </c>
      <c r="H170" s="25">
        <f>IF('BionTech as reported'!D107="NA",0,'BionTech as reported'!D107)/$D$5</f>
        <v>0</v>
      </c>
      <c r="I170" s="25">
        <f>IF('BionTech as reported'!E107="NA",0,'BionTech as reported'!E107)</f>
        <v>375.4</v>
      </c>
      <c r="J170" s="25">
        <f>IF('BionTech as reported'!F107="NA",0,'BionTech as reported'!F107)</f>
        <v>753</v>
      </c>
      <c r="K170" s="25">
        <f>IF('BionTech as reported'!G107="NA",0,'BionTech as reported'!G107)</f>
        <v>160.9</v>
      </c>
      <c r="L170" s="25">
        <f>IF('BionTech as reported'!H107="NA",0,'BionTech as reported'!H107)</f>
        <v>110.5</v>
      </c>
      <c r="M170" s="25">
        <f>IF('BionTech as reported'!I107="NA",0,'BionTech as reported'!I107)</f>
        <v>0</v>
      </c>
      <c r="N170" s="25"/>
      <c r="O170" s="25"/>
      <c r="P170" s="25"/>
      <c r="Q170" s="25"/>
      <c r="R170" s="25"/>
      <c r="S170" s="25"/>
    </row>
    <row r="171" spans="1:19" ht="15" customHeight="1" x14ac:dyDescent="0.45">
      <c r="B171" s="2" t="s">
        <v>418</v>
      </c>
      <c r="D171" s="1" t="s">
        <v>536</v>
      </c>
      <c r="E171" s="25"/>
      <c r="F171" s="25"/>
      <c r="G171" s="25">
        <f>IF('BionTech as reported'!C108="NA",0,'BionTech as reported'!C108)/$D$5</f>
        <v>0</v>
      </c>
      <c r="H171" s="25">
        <f>IF('BionTech as reported'!D108="NA",0,'BionTech as reported'!D108)/$D$5</f>
        <v>0</v>
      </c>
      <c r="I171" s="25">
        <f>IF('BionTech as reported'!E108="NA",0,'BionTech as reported'!E108)</f>
        <v>0</v>
      </c>
      <c r="J171" s="25">
        <f>IF('BionTech as reported'!F108="NA",0,'BionTech as reported'!F108)</f>
        <v>0</v>
      </c>
      <c r="K171" s="25">
        <f>IF('BionTech as reported'!G108="NA",0,'BionTech as reported'!G108)</f>
        <v>0</v>
      </c>
      <c r="L171" s="25">
        <f>IF('BionTech as reported'!H108="NA",0,'BionTech as reported'!H108)</f>
        <v>-986.4</v>
      </c>
      <c r="M171" s="25">
        <f>IF('BionTech as reported'!I108="NA",0,'BionTech as reported'!I108)</f>
        <v>-738.5</v>
      </c>
      <c r="N171" s="25"/>
      <c r="O171" s="25"/>
      <c r="P171" s="25"/>
      <c r="Q171" s="25"/>
      <c r="R171" s="25"/>
      <c r="S171" s="25"/>
    </row>
    <row r="172" spans="1:19" ht="15" customHeight="1" x14ac:dyDescent="0.45">
      <c r="B172" s="2" t="s">
        <v>317</v>
      </c>
      <c r="D172" s="1" t="s">
        <v>537</v>
      </c>
      <c r="E172" s="25"/>
      <c r="F172" s="25"/>
      <c r="G172" s="25">
        <f>IF('BionTech as reported'!C109="NA",0,'BionTech as reported'!C109)/$D$5</f>
        <v>0</v>
      </c>
      <c r="H172" s="25">
        <f>IF('BionTech as reported'!D109="NA",0,'BionTech as reported'!D109)/$D$5</f>
        <v>0</v>
      </c>
      <c r="I172" s="25">
        <f>IF('BionTech as reported'!E109="NA",0,'BionTech as reported'!E109)</f>
        <v>0</v>
      </c>
      <c r="J172" s="25">
        <f>IF('BionTech as reported'!F109="NA",0,'BionTech as reported'!F109)</f>
        <v>0</v>
      </c>
      <c r="K172" s="25">
        <f>IF('BionTech as reported'!G109="NA",0,'BionTech as reported'!G109)</f>
        <v>0</v>
      </c>
      <c r="L172" s="25">
        <f>IF('BionTech as reported'!H109="NA",0,'BionTech as reported'!H109)</f>
        <v>-484.3</v>
      </c>
      <c r="M172" s="25">
        <f>IF('BionTech as reported'!I109="NA",0,'BionTech as reported'!I109)</f>
        <v>0</v>
      </c>
      <c r="N172" s="25"/>
      <c r="O172" s="25"/>
      <c r="P172" s="25"/>
      <c r="Q172" s="25"/>
      <c r="R172" s="25"/>
      <c r="S172" s="25"/>
    </row>
    <row r="173" spans="1:19" s="29" customFormat="1" ht="15" customHeight="1" x14ac:dyDescent="0.45">
      <c r="A173" s="1"/>
      <c r="B173" s="2"/>
      <c r="C173" s="1"/>
      <c r="D173" s="478" t="s">
        <v>538</v>
      </c>
      <c r="E173" s="477"/>
      <c r="F173" s="477"/>
      <c r="G173" s="477">
        <f t="shared" ref="G173:M173" si="16">SUM(G165:G172)</f>
        <v>-1.643</v>
      </c>
      <c r="H173" s="477">
        <f t="shared" si="16"/>
        <v>365.17700000000002</v>
      </c>
      <c r="I173" s="477">
        <f t="shared" si="16"/>
        <v>383.29999999999995</v>
      </c>
      <c r="J173" s="477">
        <f t="shared" si="16"/>
        <v>894.7</v>
      </c>
      <c r="K173" s="477">
        <f t="shared" si="16"/>
        <v>94.2</v>
      </c>
      <c r="L173" s="477">
        <f t="shared" si="16"/>
        <v>-1419.3</v>
      </c>
      <c r="M173" s="477">
        <f t="shared" si="16"/>
        <v>-778.6</v>
      </c>
      <c r="N173" s="477"/>
      <c r="O173" s="477"/>
      <c r="P173" s="477"/>
      <c r="Q173" s="477"/>
      <c r="R173" s="477"/>
      <c r="S173" s="477"/>
    </row>
    <row r="174" spans="1:19" ht="15" customHeight="1" x14ac:dyDescent="0.45">
      <c r="B174" s="2"/>
      <c r="D174" s="31"/>
      <c r="E174" s="25"/>
      <c r="F174" s="25"/>
      <c r="G174" s="25"/>
      <c r="H174" s="25"/>
      <c r="I174" s="25"/>
      <c r="J174" s="25"/>
      <c r="K174" s="25"/>
      <c r="L174" s="25"/>
      <c r="M174" s="25"/>
      <c r="N174" s="25"/>
      <c r="O174" s="25"/>
      <c r="P174" s="25"/>
      <c r="Q174" s="25"/>
      <c r="R174" s="25"/>
      <c r="S174" s="25"/>
    </row>
    <row r="175" spans="1:19" ht="15" customHeight="1" x14ac:dyDescent="0.45">
      <c r="B175" s="2"/>
      <c r="D175" s="31"/>
      <c r="E175" s="25"/>
      <c r="F175" s="25"/>
      <c r="G175" s="25"/>
      <c r="H175" s="25"/>
      <c r="I175" s="25"/>
      <c r="J175" s="25"/>
      <c r="K175" s="25"/>
      <c r="L175" s="25"/>
      <c r="M175" s="25"/>
      <c r="N175" s="25"/>
      <c r="O175" s="25"/>
      <c r="P175" s="25"/>
      <c r="Q175" s="25"/>
      <c r="R175" s="25"/>
      <c r="S175" s="25"/>
    </row>
    <row r="176" spans="1:19" s="26" customFormat="1" ht="15" customHeight="1" x14ac:dyDescent="0.45">
      <c r="A176" s="4"/>
      <c r="B176" s="5"/>
      <c r="C176" s="4"/>
      <c r="D176" s="479" t="s">
        <v>539</v>
      </c>
      <c r="E176" s="23"/>
      <c r="F176" s="23"/>
      <c r="G176" s="23">
        <f t="shared" ref="G176:M176" si="17">F61</f>
        <v>303.68</v>
      </c>
      <c r="H176" s="23">
        <f t="shared" si="17"/>
        <v>172.10599999999999</v>
      </c>
      <c r="I176" s="23">
        <f t="shared" si="17"/>
        <v>411.495</v>
      </c>
      <c r="J176" s="23">
        <f t="shared" si="17"/>
        <v>519.149</v>
      </c>
      <c r="K176" s="23">
        <f t="shared" si="17"/>
        <v>1210.2</v>
      </c>
      <c r="L176" s="23">
        <f t="shared" si="17"/>
        <v>1692.7</v>
      </c>
      <c r="M176" s="23">
        <f t="shared" si="17"/>
        <v>13875.1</v>
      </c>
      <c r="N176" s="23"/>
      <c r="O176" s="23"/>
      <c r="P176" s="23"/>
      <c r="Q176" s="23"/>
      <c r="R176" s="23"/>
      <c r="S176" s="23"/>
    </row>
    <row r="177" spans="1:19" ht="15" customHeight="1" x14ac:dyDescent="0.45">
      <c r="B177" s="2"/>
      <c r="D177" s="31" t="s">
        <v>540</v>
      </c>
      <c r="E177" s="25"/>
      <c r="F177" s="25"/>
      <c r="G177" s="25">
        <f t="shared" ref="G177:M177" si="18">SUM(G151,G163,G173)</f>
        <v>-106.754</v>
      </c>
      <c r="H177" s="25">
        <f t="shared" si="18"/>
        <v>239.84800000000001</v>
      </c>
      <c r="I177" s="25">
        <f t="shared" si="18"/>
        <v>108.29929999999996</v>
      </c>
      <c r="J177" s="25">
        <f t="shared" si="18"/>
        <v>736.4</v>
      </c>
      <c r="K177" s="25">
        <f t="shared" si="18"/>
        <v>417.7999999999999</v>
      </c>
      <c r="L177" s="25">
        <f t="shared" si="18"/>
        <v>12122.8</v>
      </c>
      <c r="M177" s="25">
        <f t="shared" si="18"/>
        <v>-2361.6999999999994</v>
      </c>
      <c r="N177" s="25"/>
      <c r="O177" s="25"/>
      <c r="P177" s="25"/>
      <c r="Q177" s="25"/>
      <c r="R177" s="25"/>
      <c r="S177" s="25"/>
    </row>
    <row r="178" spans="1:19" ht="15" customHeight="1" x14ac:dyDescent="0.45">
      <c r="B178" s="2"/>
      <c r="D178" s="31" t="s">
        <v>541</v>
      </c>
      <c r="E178" s="25"/>
      <c r="F178" s="25"/>
      <c r="G178" s="25">
        <v>-24.82</v>
      </c>
      <c r="H178" s="25">
        <v>-0.45900000000000002</v>
      </c>
      <c r="I178" s="25">
        <v>0</v>
      </c>
      <c r="J178" s="25">
        <v>-45.3</v>
      </c>
      <c r="K178" s="25">
        <v>64.7</v>
      </c>
      <c r="L178" s="25">
        <v>60.1</v>
      </c>
      <c r="M178" s="25">
        <v>-14.5</v>
      </c>
      <c r="N178" s="25"/>
      <c r="O178" s="25"/>
      <c r="P178" s="25"/>
      <c r="Q178" s="25"/>
      <c r="R178" s="25"/>
      <c r="S178" s="25"/>
    </row>
    <row r="179" spans="1:19" ht="15" customHeight="1" x14ac:dyDescent="0.45">
      <c r="B179" s="2"/>
      <c r="D179" s="31" t="s">
        <v>542</v>
      </c>
      <c r="E179" s="25"/>
      <c r="F179" s="25"/>
      <c r="G179" s="25">
        <v>1E-3</v>
      </c>
      <c r="H179" s="25">
        <v>0</v>
      </c>
      <c r="I179" s="25">
        <v>0</v>
      </c>
      <c r="J179" s="25">
        <v>0</v>
      </c>
      <c r="K179" s="25">
        <v>0</v>
      </c>
      <c r="L179" s="25">
        <v>-0.5</v>
      </c>
      <c r="M179" s="25">
        <v>164.8</v>
      </c>
      <c r="N179" s="25"/>
      <c r="O179" s="25"/>
      <c r="P179" s="25"/>
      <c r="Q179" s="25"/>
      <c r="R179" s="25"/>
      <c r="S179" s="25"/>
    </row>
    <row r="180" spans="1:19" s="29" customFormat="1" ht="15" customHeight="1" x14ac:dyDescent="0.45">
      <c r="A180" s="1"/>
      <c r="B180" s="2"/>
      <c r="C180" s="1"/>
      <c r="D180" s="478" t="s">
        <v>543</v>
      </c>
      <c r="E180" s="477"/>
      <c r="F180" s="477"/>
      <c r="G180" s="477">
        <f t="shared" ref="G180:M180" si="19">+SUM(G176:G179)</f>
        <v>172.107</v>
      </c>
      <c r="H180" s="477">
        <f t="shared" si="19"/>
        <v>411.495</v>
      </c>
      <c r="I180" s="477">
        <f t="shared" si="19"/>
        <v>519.79430000000002</v>
      </c>
      <c r="J180" s="477">
        <f t="shared" si="19"/>
        <v>1210.249</v>
      </c>
      <c r="K180" s="477">
        <f t="shared" si="19"/>
        <v>1692.7</v>
      </c>
      <c r="L180" s="477">
        <f t="shared" si="19"/>
        <v>13875.1</v>
      </c>
      <c r="M180" s="477">
        <f t="shared" si="19"/>
        <v>11663.7</v>
      </c>
      <c r="N180" s="477"/>
      <c r="O180" s="477"/>
      <c r="P180" s="477"/>
      <c r="Q180" s="477"/>
      <c r="R180" s="477"/>
      <c r="S180" s="477"/>
    </row>
    <row r="181" spans="1:19" s="472" customFormat="1" ht="15" customHeight="1" x14ac:dyDescent="0.45">
      <c r="A181" s="475"/>
      <c r="B181" s="476"/>
      <c r="C181" s="475"/>
      <c r="D181" s="474" t="s">
        <v>301</v>
      </c>
      <c r="E181" s="473"/>
      <c r="F181" s="473"/>
      <c r="G181" s="473">
        <f t="shared" ref="G181:M181" si="20">G180-G61</f>
        <v>1.0000000000047748E-3</v>
      </c>
      <c r="H181" s="473">
        <f t="shared" si="20"/>
        <v>0</v>
      </c>
      <c r="I181" s="473">
        <f t="shared" si="20"/>
        <v>0.64530000000002019</v>
      </c>
      <c r="J181" s="473">
        <f t="shared" si="20"/>
        <v>4.8999999999978172E-2</v>
      </c>
      <c r="K181" s="473">
        <f t="shared" si="20"/>
        <v>0</v>
      </c>
      <c r="L181" s="473">
        <f t="shared" si="20"/>
        <v>0</v>
      </c>
      <c r="M181" s="473">
        <f t="shared" si="20"/>
        <v>0</v>
      </c>
      <c r="N181" s="473"/>
      <c r="O181" s="473"/>
      <c r="P181" s="473"/>
      <c r="Q181" s="473"/>
      <c r="R181" s="473"/>
      <c r="S181" s="473"/>
    </row>
    <row r="182" spans="1:19" ht="15" customHeight="1" x14ac:dyDescent="0.45">
      <c r="B182" s="2"/>
      <c r="D182" s="31"/>
      <c r="E182" s="25"/>
      <c r="F182" s="25"/>
      <c r="G182" s="25"/>
      <c r="H182" s="25"/>
      <c r="I182" s="25"/>
      <c r="J182" s="25"/>
      <c r="K182" s="25"/>
      <c r="L182" s="25"/>
      <c r="M182" s="25"/>
      <c r="N182" s="25"/>
      <c r="O182" s="25"/>
      <c r="P182" s="25"/>
      <c r="Q182" s="25"/>
      <c r="R182" s="25"/>
      <c r="S182" s="25"/>
    </row>
    <row r="183" spans="1:19" ht="15" customHeight="1" x14ac:dyDescent="0.45">
      <c r="B183" s="2"/>
      <c r="D183" s="31"/>
      <c r="E183" s="25"/>
      <c r="F183" s="25"/>
      <c r="G183" s="25"/>
      <c r="H183" s="25"/>
      <c r="I183" s="25"/>
      <c r="J183" s="25"/>
      <c r="K183" s="25"/>
      <c r="L183" s="25"/>
      <c r="M183" s="25"/>
      <c r="N183" s="25"/>
      <c r="O183" s="25"/>
      <c r="P183" s="25"/>
      <c r="Q183" s="25"/>
      <c r="R183" s="25"/>
      <c r="S183" s="25"/>
    </row>
    <row r="184" spans="1:19" ht="15" customHeight="1" x14ac:dyDescent="0.45">
      <c r="B184" s="2"/>
      <c r="D184" s="31"/>
      <c r="E184" s="25"/>
      <c r="F184" s="25"/>
      <c r="G184" s="25"/>
      <c r="H184" s="25"/>
      <c r="I184" s="25"/>
      <c r="J184" s="25"/>
      <c r="K184" s="25"/>
      <c r="L184" s="25"/>
      <c r="M184" s="25"/>
      <c r="N184" s="25"/>
      <c r="O184" s="25"/>
      <c r="P184" s="25"/>
      <c r="Q184" s="25"/>
      <c r="R184" s="25"/>
      <c r="S184" s="25"/>
    </row>
    <row r="185" spans="1:19" ht="15" customHeight="1" x14ac:dyDescent="0.45">
      <c r="B185" s="2"/>
      <c r="D185" s="31"/>
      <c r="E185" s="25"/>
      <c r="F185" s="25"/>
      <c r="G185" s="25"/>
      <c r="H185" s="25"/>
      <c r="I185" s="25"/>
      <c r="J185" s="25"/>
      <c r="K185" s="25"/>
      <c r="L185" s="25"/>
      <c r="M185" s="25"/>
      <c r="N185" s="25"/>
      <c r="O185" s="25"/>
      <c r="P185" s="25"/>
      <c r="Q185" s="25"/>
      <c r="R185" s="25"/>
      <c r="S185" s="25"/>
    </row>
    <row r="186" spans="1:19" ht="15" customHeight="1" x14ac:dyDescent="0.45">
      <c r="B186" s="2"/>
      <c r="D186" s="31"/>
      <c r="E186" s="25"/>
      <c r="F186" s="25"/>
      <c r="G186" s="25"/>
      <c r="H186" s="25"/>
      <c r="I186" s="25"/>
      <c r="J186" s="25"/>
      <c r="K186" s="25"/>
      <c r="L186" s="25"/>
      <c r="M186" s="25"/>
      <c r="N186" s="25"/>
      <c r="O186" s="25"/>
      <c r="P186" s="25"/>
      <c r="Q186" s="25"/>
      <c r="R186" s="25"/>
      <c r="S186" s="25"/>
    </row>
    <row r="187" spans="1:19" ht="15" customHeight="1" x14ac:dyDescent="0.45">
      <c r="B187" s="2"/>
      <c r="D187" s="31"/>
      <c r="E187" s="25"/>
      <c r="F187" s="25"/>
      <c r="G187" s="25"/>
      <c r="H187" s="25"/>
      <c r="I187" s="25"/>
      <c r="J187" s="25"/>
      <c r="K187" s="25"/>
      <c r="L187" s="25"/>
      <c r="M187" s="25"/>
      <c r="N187" s="25"/>
      <c r="O187" s="25"/>
      <c r="P187" s="25"/>
      <c r="Q187" s="25"/>
      <c r="R187" s="25"/>
      <c r="S187" s="25"/>
    </row>
    <row r="188" spans="1:19" ht="15" customHeight="1" x14ac:dyDescent="0.45">
      <c r="B188" s="2"/>
      <c r="D188" s="31"/>
      <c r="E188" s="25"/>
      <c r="F188" s="25"/>
      <c r="G188" s="25"/>
      <c r="H188" s="25"/>
      <c r="I188" s="25"/>
      <c r="J188" s="25"/>
      <c r="K188" s="25"/>
      <c r="L188" s="25"/>
      <c r="M188" s="25"/>
      <c r="N188" s="25"/>
      <c r="O188" s="25"/>
      <c r="P188" s="25"/>
      <c r="Q188" s="25"/>
      <c r="R188" s="25"/>
      <c r="S188" s="25"/>
    </row>
    <row r="189" spans="1:19" ht="15" customHeight="1" x14ac:dyDescent="0.45">
      <c r="B189" s="2"/>
      <c r="D189" s="31"/>
      <c r="E189" s="25"/>
      <c r="F189" s="25"/>
      <c r="G189" s="25"/>
      <c r="H189" s="25"/>
      <c r="I189" s="25"/>
      <c r="J189" s="25"/>
      <c r="K189" s="25"/>
      <c r="L189" s="25"/>
      <c r="M189" s="25"/>
      <c r="N189" s="25"/>
      <c r="O189" s="25"/>
      <c r="P189" s="25"/>
      <c r="Q189" s="25"/>
      <c r="R189" s="25"/>
      <c r="S189" s="25"/>
    </row>
    <row r="190" spans="1:19" ht="15" customHeight="1" x14ac:dyDescent="0.45">
      <c r="B190" s="2"/>
      <c r="D190" s="471"/>
      <c r="E190" s="470"/>
      <c r="F190" s="470"/>
      <c r="G190" s="470"/>
      <c r="H190" s="470"/>
      <c r="I190" s="470"/>
      <c r="J190" s="470"/>
      <c r="K190" s="470"/>
      <c r="L190" s="25"/>
      <c r="M190" s="25"/>
      <c r="N190" s="25"/>
      <c r="O190" s="25"/>
      <c r="P190" s="25"/>
      <c r="Q190" s="25"/>
      <c r="R190" s="25"/>
      <c r="S190" s="25"/>
    </row>
    <row r="191" spans="1:19" ht="15" customHeight="1" x14ac:dyDescent="0.45">
      <c r="B191" s="2"/>
      <c r="D191" s="468"/>
      <c r="G191" s="469"/>
      <c r="H191" s="469"/>
      <c r="I191" s="470"/>
      <c r="J191" s="469"/>
      <c r="K191" s="469"/>
      <c r="L191" s="469"/>
      <c r="M191" s="469"/>
      <c r="N191" s="25"/>
      <c r="O191" s="25"/>
      <c r="P191" s="25"/>
      <c r="Q191" s="25"/>
      <c r="R191" s="25"/>
      <c r="S191" s="25"/>
    </row>
    <row r="192" spans="1:19" ht="15" customHeight="1" x14ac:dyDescent="0.45">
      <c r="B192" s="2"/>
      <c r="D192" s="468"/>
      <c r="G192" s="469"/>
      <c r="H192" s="470"/>
      <c r="I192" s="470"/>
      <c r="J192" s="470"/>
      <c r="K192" s="470"/>
      <c r="L192" s="469"/>
      <c r="M192" s="469"/>
      <c r="N192" s="25"/>
      <c r="O192" s="25"/>
      <c r="P192" s="25"/>
      <c r="Q192" s="25"/>
      <c r="R192" s="25"/>
      <c r="S192" s="25"/>
    </row>
    <row r="193" spans="2:19" ht="15" customHeight="1" x14ac:dyDescent="0.45">
      <c r="B193" s="2"/>
      <c r="D193" s="31"/>
      <c r="E193" s="25"/>
      <c r="F193" s="25"/>
      <c r="G193" s="25"/>
      <c r="H193" s="25"/>
      <c r="I193" s="25"/>
      <c r="J193" s="25"/>
      <c r="K193" s="25"/>
      <c r="L193" s="25"/>
      <c r="M193" s="25"/>
      <c r="N193" s="25"/>
      <c r="O193" s="25"/>
      <c r="P193" s="25"/>
      <c r="Q193" s="25"/>
      <c r="R193" s="25"/>
      <c r="S193" s="25"/>
    </row>
    <row r="194" spans="2:19" ht="15" customHeight="1" x14ac:dyDescent="0.45">
      <c r="B194" s="2"/>
      <c r="D194" s="468"/>
      <c r="E194" s="25"/>
      <c r="F194" s="25"/>
      <c r="G194" s="25"/>
      <c r="H194" s="25"/>
      <c r="I194" s="25"/>
      <c r="J194" s="25"/>
      <c r="K194" s="25"/>
      <c r="L194" s="25"/>
      <c r="M194" s="25"/>
      <c r="N194" s="25"/>
      <c r="O194" s="25"/>
      <c r="P194" s="25"/>
      <c r="Q194" s="25"/>
      <c r="R194" s="25"/>
      <c r="S194" s="25"/>
    </row>
    <row r="195" spans="2:19" ht="15" customHeight="1" x14ac:dyDescent="0.45">
      <c r="B195" s="2"/>
      <c r="D195" s="468"/>
      <c r="E195" s="25"/>
      <c r="F195" s="25"/>
      <c r="G195" s="25"/>
      <c r="H195" s="25"/>
      <c r="I195" s="25"/>
      <c r="J195" s="25"/>
      <c r="K195" s="25"/>
      <c r="L195" s="25"/>
      <c r="M195" s="25"/>
      <c r="N195" s="25"/>
      <c r="O195" s="25"/>
      <c r="P195" s="25"/>
      <c r="Q195" s="25"/>
      <c r="R195" s="25"/>
      <c r="S195" s="25"/>
    </row>
    <row r="196" spans="2:19" ht="15" customHeight="1" x14ac:dyDescent="0.45">
      <c r="B196" s="2"/>
      <c r="D196" s="31"/>
      <c r="E196" s="25"/>
      <c r="F196" s="25"/>
      <c r="G196" s="25"/>
      <c r="H196" s="25"/>
      <c r="I196" s="25"/>
      <c r="J196" s="25"/>
      <c r="K196" s="25"/>
      <c r="L196" s="25"/>
      <c r="M196" s="25"/>
      <c r="N196" s="25"/>
      <c r="O196" s="25"/>
      <c r="P196" s="25"/>
      <c r="Q196" s="25"/>
      <c r="R196" s="25"/>
      <c r="S196" s="25"/>
    </row>
    <row r="197" spans="2:19" ht="15" customHeight="1" x14ac:dyDescent="0.45">
      <c r="B197" s="2"/>
      <c r="D197" s="31"/>
      <c r="E197" s="25"/>
      <c r="F197" s="25"/>
      <c r="G197" s="25"/>
      <c r="H197" s="25"/>
      <c r="I197" s="25"/>
      <c r="J197" s="25"/>
      <c r="K197" s="25"/>
      <c r="L197" s="25"/>
      <c r="M197" s="25"/>
      <c r="N197" s="25"/>
      <c r="O197" s="25"/>
      <c r="P197" s="25"/>
      <c r="Q197" s="25"/>
      <c r="R197" s="25"/>
      <c r="S197" s="25"/>
    </row>
    <row r="198" spans="2:19" ht="15" customHeight="1" x14ac:dyDescent="0.45">
      <c r="B198" s="2"/>
      <c r="E198" s="25"/>
      <c r="F198" s="25"/>
      <c r="G198" s="25"/>
      <c r="H198" s="25"/>
      <c r="I198" s="25"/>
      <c r="J198" s="25"/>
      <c r="K198" s="25"/>
      <c r="L198" s="25"/>
      <c r="M198" s="25"/>
      <c r="N198" s="25"/>
      <c r="O198" s="25"/>
      <c r="P198" s="25"/>
      <c r="Q198" s="25"/>
      <c r="R198" s="25"/>
      <c r="S198" s="25"/>
    </row>
    <row r="199" spans="2:19" ht="15" customHeight="1" x14ac:dyDescent="0.45">
      <c r="B199" s="2"/>
      <c r="D199" s="31"/>
      <c r="E199" s="25"/>
      <c r="F199" s="25"/>
      <c r="G199" s="25"/>
      <c r="H199" s="25"/>
      <c r="I199" s="25"/>
      <c r="J199" s="25"/>
      <c r="K199" s="25"/>
      <c r="L199" s="25"/>
      <c r="M199" s="25"/>
      <c r="N199" s="25"/>
      <c r="O199" s="25"/>
      <c r="P199" s="25"/>
      <c r="Q199" s="25"/>
      <c r="R199" s="25"/>
      <c r="S199" s="25"/>
    </row>
    <row r="200" spans="2:19" ht="15" customHeight="1" x14ac:dyDescent="0.45">
      <c r="B200" s="2"/>
      <c r="D200" s="31"/>
      <c r="E200" s="25"/>
      <c r="F200" s="25"/>
      <c r="G200" s="25"/>
      <c r="H200" s="25"/>
      <c r="I200" s="25"/>
      <c r="J200" s="25"/>
      <c r="K200" s="25"/>
      <c r="L200" s="25"/>
      <c r="M200" s="25"/>
      <c r="N200" s="25"/>
      <c r="O200" s="25"/>
      <c r="P200" s="25"/>
      <c r="Q200" s="25"/>
      <c r="R200" s="25"/>
      <c r="S200" s="25"/>
    </row>
    <row r="201" spans="2:19" ht="15" customHeight="1" x14ac:dyDescent="0.45">
      <c r="B201" s="2"/>
      <c r="D201" s="31"/>
      <c r="E201" s="25"/>
      <c r="F201" s="25"/>
      <c r="G201" s="25"/>
      <c r="H201" s="25"/>
      <c r="I201" s="25"/>
      <c r="J201" s="25"/>
      <c r="K201" s="25"/>
      <c r="L201" s="25"/>
      <c r="M201" s="25"/>
      <c r="N201" s="25"/>
      <c r="O201" s="25"/>
      <c r="P201" s="25"/>
      <c r="Q201" s="25"/>
      <c r="R201" s="25"/>
      <c r="S201" s="25"/>
    </row>
    <row r="202" spans="2:19" ht="15" customHeight="1" x14ac:dyDescent="0.45">
      <c r="B202" s="2"/>
      <c r="D202" s="31"/>
      <c r="E202" s="25"/>
      <c r="F202" s="25"/>
      <c r="G202" s="25"/>
      <c r="H202" s="25"/>
      <c r="I202" s="25"/>
      <c r="J202" s="25"/>
      <c r="K202" s="25"/>
      <c r="L202" s="25"/>
      <c r="M202" s="25"/>
      <c r="N202" s="25"/>
      <c r="O202" s="25"/>
      <c r="P202" s="25"/>
      <c r="Q202" s="25"/>
      <c r="R202" s="25"/>
      <c r="S202" s="25"/>
    </row>
    <row r="203" spans="2:19" ht="15" customHeight="1" x14ac:dyDescent="0.45">
      <c r="B203" s="2"/>
    </row>
    <row r="204" spans="2:19" ht="15" customHeight="1" x14ac:dyDescent="0.45">
      <c r="B204" s="2"/>
      <c r="D204" s="31"/>
      <c r="E204" s="25"/>
      <c r="F204" s="25"/>
      <c r="G204" s="25"/>
      <c r="H204" s="25"/>
      <c r="I204" s="25"/>
      <c r="J204" s="25"/>
      <c r="K204" s="25"/>
      <c r="L204" s="25"/>
      <c r="M204" s="25"/>
      <c r="N204" s="25"/>
      <c r="O204" s="25"/>
      <c r="P204" s="25"/>
      <c r="Q204" s="25"/>
      <c r="R204" s="25"/>
      <c r="S204" s="25"/>
    </row>
    <row r="205" spans="2:19" ht="15" customHeight="1" x14ac:dyDescent="0.45">
      <c r="B205" s="2"/>
      <c r="D205" s="31"/>
      <c r="E205" s="25"/>
      <c r="F205" s="25"/>
      <c r="G205" s="25"/>
      <c r="H205" s="25"/>
      <c r="I205" s="25"/>
      <c r="J205" s="25"/>
      <c r="K205" s="25"/>
      <c r="L205" s="25"/>
      <c r="M205" s="25"/>
      <c r="N205" s="25"/>
      <c r="O205" s="25"/>
      <c r="P205" s="25"/>
      <c r="Q205" s="25"/>
      <c r="R205" s="25"/>
      <c r="S205" s="25"/>
    </row>
    <row r="206" spans="2:19" ht="15" customHeight="1" x14ac:dyDescent="0.45">
      <c r="B206" s="2"/>
      <c r="D206" s="31"/>
      <c r="E206" s="25"/>
      <c r="F206" s="25"/>
      <c r="G206" s="25"/>
      <c r="H206" s="25"/>
      <c r="I206" s="25"/>
      <c r="J206" s="25"/>
      <c r="K206" s="25"/>
      <c r="L206" s="25"/>
      <c r="M206" s="25"/>
      <c r="N206" s="25"/>
      <c r="O206" s="25"/>
      <c r="P206" s="25"/>
      <c r="Q206" s="25"/>
      <c r="R206" s="25"/>
      <c r="S206" s="25"/>
    </row>
    <row r="207" spans="2:19" ht="15" customHeight="1" x14ac:dyDescent="0.45">
      <c r="B207" s="2"/>
      <c r="D207" s="31"/>
      <c r="E207" s="25"/>
      <c r="F207" s="25"/>
      <c r="G207" s="25"/>
      <c r="H207" s="25"/>
      <c r="I207" s="25"/>
      <c r="J207" s="25"/>
      <c r="K207" s="25"/>
      <c r="L207" s="25"/>
      <c r="M207" s="25"/>
      <c r="N207" s="25"/>
      <c r="O207" s="25"/>
      <c r="P207" s="25"/>
      <c r="Q207" s="25"/>
      <c r="R207" s="25"/>
      <c r="S207" s="25"/>
    </row>
    <row r="208" spans="2:19" ht="15" customHeight="1" x14ac:dyDescent="0.45">
      <c r="B208" s="2"/>
      <c r="D208" s="31"/>
      <c r="E208" s="25"/>
      <c r="F208" s="25"/>
      <c r="G208" s="25"/>
      <c r="H208" s="25"/>
      <c r="I208" s="25"/>
      <c r="J208" s="25"/>
      <c r="K208" s="25"/>
      <c r="L208" s="25"/>
      <c r="M208" s="25"/>
      <c r="N208" s="25"/>
      <c r="O208" s="25"/>
      <c r="P208" s="25"/>
      <c r="Q208" s="25"/>
      <c r="R208" s="25"/>
      <c r="S208" s="25"/>
    </row>
    <row r="209" spans="2:19" ht="15" customHeight="1" x14ac:dyDescent="0.45">
      <c r="B209" s="2"/>
      <c r="D209" s="31"/>
      <c r="E209" s="25"/>
      <c r="F209" s="25"/>
      <c r="G209" s="25"/>
      <c r="H209" s="25"/>
      <c r="I209" s="25"/>
      <c r="J209" s="25"/>
      <c r="K209" s="25"/>
      <c r="L209" s="25"/>
      <c r="M209" s="25"/>
      <c r="N209" s="25"/>
      <c r="O209" s="25"/>
      <c r="P209" s="25"/>
      <c r="Q209" s="25"/>
      <c r="R209" s="25"/>
      <c r="S209" s="25"/>
    </row>
    <row r="210" spans="2:19" ht="15" customHeight="1" x14ac:dyDescent="0.45">
      <c r="B210" s="2"/>
      <c r="D210" s="31"/>
      <c r="E210" s="25"/>
      <c r="F210" s="25"/>
      <c r="G210" s="25"/>
      <c r="H210" s="25"/>
      <c r="I210" s="25"/>
      <c r="J210" s="25"/>
      <c r="K210" s="25"/>
      <c r="L210" s="25"/>
      <c r="M210" s="25"/>
      <c r="N210" s="25"/>
      <c r="O210" s="25"/>
      <c r="P210" s="25"/>
      <c r="Q210" s="25"/>
      <c r="R210" s="25"/>
      <c r="S210" s="25"/>
    </row>
    <row r="211" spans="2:19" ht="15" customHeight="1" x14ac:dyDescent="0.45">
      <c r="B211" s="2"/>
      <c r="D211" s="31"/>
      <c r="E211" s="25"/>
      <c r="F211" s="25"/>
      <c r="G211" s="25"/>
      <c r="H211" s="25"/>
      <c r="I211" s="25"/>
      <c r="J211" s="25"/>
      <c r="K211" s="25"/>
      <c r="L211" s="25"/>
      <c r="M211" s="25"/>
      <c r="N211" s="25"/>
      <c r="O211" s="25"/>
      <c r="P211" s="25"/>
      <c r="Q211" s="25"/>
      <c r="R211" s="25"/>
      <c r="S211" s="25"/>
    </row>
    <row r="212" spans="2:19" ht="15" customHeight="1" x14ac:dyDescent="0.45">
      <c r="B212" s="2"/>
      <c r="D212" s="31"/>
      <c r="E212" s="25"/>
      <c r="F212" s="25"/>
      <c r="G212" s="25"/>
      <c r="H212" s="25"/>
      <c r="I212" s="25"/>
      <c r="J212" s="25"/>
      <c r="K212" s="25"/>
      <c r="L212" s="25"/>
      <c r="M212" s="25"/>
      <c r="N212" s="25"/>
      <c r="O212" s="25"/>
      <c r="P212" s="25"/>
      <c r="Q212" s="25"/>
      <c r="R212" s="25"/>
      <c r="S212" s="25"/>
    </row>
    <row r="213" spans="2:19" ht="15" customHeight="1" x14ac:dyDescent="0.45">
      <c r="B213" s="2"/>
      <c r="D213" s="31"/>
      <c r="E213" s="25"/>
      <c r="F213" s="25"/>
      <c r="G213" s="25"/>
      <c r="H213" s="25"/>
      <c r="I213" s="25"/>
      <c r="J213" s="25"/>
      <c r="K213" s="25"/>
      <c r="L213" s="25"/>
      <c r="M213" s="25"/>
      <c r="N213" s="25"/>
      <c r="O213" s="25"/>
      <c r="P213" s="25"/>
      <c r="Q213" s="25"/>
      <c r="R213" s="25"/>
      <c r="S213" s="25"/>
    </row>
    <row r="214" spans="2:19" ht="15" customHeight="1" x14ac:dyDescent="0.45">
      <c r="B214" s="2"/>
      <c r="D214" s="31"/>
      <c r="E214" s="25"/>
      <c r="F214" s="25"/>
      <c r="G214" s="25"/>
      <c r="H214" s="25"/>
      <c r="I214" s="25"/>
      <c r="J214" s="25"/>
      <c r="K214" s="25"/>
      <c r="L214" s="25"/>
      <c r="M214" s="25"/>
      <c r="N214" s="25"/>
      <c r="O214" s="25"/>
      <c r="P214" s="25"/>
      <c r="Q214" s="25"/>
      <c r="R214" s="25"/>
      <c r="S214" s="25"/>
    </row>
    <row r="215" spans="2:19" ht="15" customHeight="1" x14ac:dyDescent="0.45">
      <c r="B215" s="2"/>
      <c r="D215" s="31"/>
      <c r="E215" s="25"/>
      <c r="F215" s="25"/>
      <c r="G215" s="25"/>
      <c r="H215" s="25"/>
      <c r="I215" s="25"/>
      <c r="J215" s="25"/>
      <c r="K215" s="25"/>
      <c r="L215" s="25"/>
      <c r="M215" s="25"/>
      <c r="N215" s="25"/>
      <c r="O215" s="25"/>
      <c r="P215" s="25"/>
      <c r="Q215" s="25"/>
      <c r="R215" s="25"/>
      <c r="S215" s="25"/>
    </row>
    <row r="216" spans="2:19" ht="15" customHeight="1" x14ac:dyDescent="0.45">
      <c r="B216" s="2"/>
      <c r="D216" s="31"/>
      <c r="E216" s="25"/>
      <c r="F216" s="25"/>
      <c r="G216" s="25"/>
      <c r="H216" s="25"/>
      <c r="I216" s="25"/>
      <c r="J216" s="25"/>
      <c r="K216" s="25"/>
      <c r="L216" s="25"/>
      <c r="M216" s="25"/>
      <c r="N216" s="25"/>
      <c r="O216" s="25"/>
      <c r="P216" s="25"/>
      <c r="Q216" s="25"/>
      <c r="R216" s="25"/>
      <c r="S216" s="25"/>
    </row>
    <row r="217" spans="2:19" ht="15" customHeight="1" x14ac:dyDescent="0.45">
      <c r="B217" s="2"/>
      <c r="D217" s="31"/>
      <c r="E217" s="25"/>
      <c r="F217" s="25"/>
      <c r="G217" s="25"/>
      <c r="H217" s="25"/>
      <c r="I217" s="25"/>
      <c r="J217" s="25"/>
      <c r="K217" s="25"/>
      <c r="L217" s="25"/>
      <c r="M217" s="25"/>
      <c r="N217" s="25"/>
      <c r="O217" s="25"/>
      <c r="P217" s="25"/>
      <c r="Q217" s="25"/>
      <c r="R217" s="25"/>
      <c r="S217" s="25"/>
    </row>
    <row r="218" spans="2:19" ht="15" customHeight="1" x14ac:dyDescent="0.45">
      <c r="B218" s="2"/>
      <c r="D218" s="31"/>
      <c r="E218" s="25"/>
      <c r="F218" s="25"/>
      <c r="G218" s="25"/>
      <c r="H218" s="25"/>
      <c r="I218" s="25"/>
      <c r="J218" s="25"/>
      <c r="K218" s="25"/>
      <c r="L218" s="25"/>
      <c r="M218" s="25"/>
      <c r="N218" s="25"/>
      <c r="O218" s="25"/>
      <c r="P218" s="25"/>
      <c r="Q218" s="25"/>
      <c r="R218" s="25"/>
      <c r="S218" s="25"/>
    </row>
    <row r="219" spans="2:19" ht="15" customHeight="1" x14ac:dyDescent="0.45">
      <c r="B219" s="2"/>
      <c r="D219" s="31"/>
      <c r="E219" s="25"/>
      <c r="F219" s="25"/>
      <c r="G219" s="25"/>
      <c r="H219" s="25"/>
      <c r="I219" s="25"/>
      <c r="J219" s="25"/>
      <c r="K219" s="25"/>
      <c r="L219" s="25"/>
      <c r="M219" s="25"/>
      <c r="N219" s="25"/>
      <c r="O219" s="25"/>
      <c r="P219" s="25"/>
      <c r="Q219" s="25"/>
      <c r="R219" s="25"/>
      <c r="S219" s="25"/>
    </row>
    <row r="220" spans="2:19" ht="15" customHeight="1" x14ac:dyDescent="0.45">
      <c r="B220" s="2"/>
      <c r="D220" s="31"/>
      <c r="E220" s="25"/>
      <c r="F220" s="25"/>
      <c r="G220" s="25"/>
      <c r="H220" s="25"/>
      <c r="I220" s="25"/>
      <c r="J220" s="25"/>
      <c r="K220" s="25"/>
      <c r="L220" s="25"/>
      <c r="M220" s="25"/>
      <c r="N220" s="25"/>
      <c r="O220" s="25"/>
      <c r="P220" s="25"/>
      <c r="Q220" s="25"/>
      <c r="R220" s="25"/>
      <c r="S220" s="25"/>
    </row>
    <row r="221" spans="2:19" ht="15" customHeight="1" x14ac:dyDescent="0.45">
      <c r="B221" s="2"/>
      <c r="D221" s="31"/>
      <c r="E221" s="25"/>
      <c r="F221" s="25"/>
      <c r="G221" s="25"/>
      <c r="H221" s="25"/>
      <c r="I221" s="25"/>
      <c r="J221" s="25"/>
      <c r="K221" s="25"/>
      <c r="L221" s="25"/>
      <c r="M221" s="25"/>
      <c r="N221" s="25"/>
      <c r="O221" s="25"/>
      <c r="P221" s="25"/>
      <c r="Q221" s="25"/>
      <c r="R221" s="25"/>
      <c r="S221" s="25"/>
    </row>
    <row r="222" spans="2:19" ht="15" customHeight="1" x14ac:dyDescent="0.45">
      <c r="B222" s="2"/>
      <c r="D222" s="31"/>
      <c r="E222" s="25"/>
      <c r="F222" s="25"/>
      <c r="G222" s="25"/>
      <c r="H222" s="25"/>
      <c r="I222" s="25"/>
      <c r="J222" s="25"/>
      <c r="K222" s="25"/>
      <c r="L222" s="25"/>
      <c r="M222" s="25"/>
      <c r="N222" s="25"/>
      <c r="O222" s="25"/>
      <c r="P222" s="25"/>
      <c r="Q222" s="25"/>
      <c r="R222" s="25"/>
      <c r="S222" s="25"/>
    </row>
    <row r="223" spans="2:19" ht="15" customHeight="1" x14ac:dyDescent="0.45">
      <c r="B223" s="2"/>
      <c r="D223" s="31"/>
      <c r="E223" s="25"/>
      <c r="F223" s="25"/>
      <c r="G223" s="25"/>
      <c r="H223" s="25"/>
      <c r="I223" s="25"/>
      <c r="J223" s="25"/>
      <c r="K223" s="25"/>
      <c r="L223" s="25"/>
      <c r="M223" s="25"/>
      <c r="N223" s="25"/>
      <c r="O223" s="25"/>
      <c r="P223" s="25"/>
      <c r="Q223" s="25"/>
      <c r="R223" s="25"/>
      <c r="S223" s="25"/>
    </row>
    <row r="224" spans="2:19" ht="15" customHeight="1" x14ac:dyDescent="0.45">
      <c r="B224" s="2"/>
      <c r="D224" s="31"/>
      <c r="E224" s="25"/>
      <c r="F224" s="25"/>
      <c r="G224" s="25"/>
      <c r="H224" s="25"/>
      <c r="I224" s="25"/>
      <c r="J224" s="25"/>
      <c r="K224" s="25"/>
      <c r="L224" s="25"/>
      <c r="M224" s="25"/>
      <c r="N224" s="25"/>
      <c r="O224" s="25"/>
      <c r="P224" s="25"/>
      <c r="Q224" s="25"/>
      <c r="R224" s="25"/>
      <c r="S224" s="25"/>
    </row>
    <row r="225" spans="2:19" ht="15" customHeight="1" x14ac:dyDescent="0.45">
      <c r="B225" s="2"/>
      <c r="D225" s="31"/>
      <c r="E225" s="25"/>
      <c r="F225" s="25"/>
      <c r="G225" s="25"/>
      <c r="H225" s="25"/>
      <c r="I225" s="25"/>
      <c r="J225" s="25"/>
      <c r="K225" s="25"/>
      <c r="L225" s="25"/>
      <c r="M225" s="25"/>
      <c r="N225" s="25"/>
      <c r="O225" s="25"/>
      <c r="P225" s="25"/>
      <c r="Q225" s="25"/>
      <c r="R225" s="25"/>
      <c r="S225" s="25"/>
    </row>
    <row r="226" spans="2:19" ht="15" customHeight="1" x14ac:dyDescent="0.45">
      <c r="B226" s="2"/>
      <c r="D226" s="31"/>
      <c r="E226" s="25"/>
      <c r="F226" s="25"/>
      <c r="G226" s="25"/>
      <c r="H226" s="25"/>
      <c r="I226" s="25"/>
      <c r="J226" s="25"/>
      <c r="K226" s="25"/>
      <c r="L226" s="25"/>
      <c r="M226" s="25"/>
      <c r="N226" s="25"/>
      <c r="O226" s="25"/>
      <c r="P226" s="25"/>
      <c r="Q226" s="25"/>
      <c r="R226" s="25"/>
      <c r="S226" s="25"/>
    </row>
    <row r="227" spans="2:19" ht="15" customHeight="1" x14ac:dyDescent="0.45">
      <c r="B227" s="2"/>
      <c r="D227" s="31"/>
      <c r="E227" s="25"/>
      <c r="F227" s="25"/>
      <c r="G227" s="25"/>
      <c r="H227" s="25"/>
      <c r="I227" s="25"/>
      <c r="J227" s="25"/>
      <c r="K227" s="25"/>
      <c r="L227" s="25"/>
      <c r="M227" s="25"/>
      <c r="N227" s="25"/>
      <c r="O227" s="25"/>
      <c r="P227" s="25"/>
      <c r="Q227" s="25"/>
      <c r="R227" s="25"/>
      <c r="S227" s="25"/>
    </row>
    <row r="228" spans="2:19" ht="15" customHeight="1" x14ac:dyDescent="0.45">
      <c r="B228" s="2"/>
      <c r="D228" s="31"/>
      <c r="E228" s="25"/>
      <c r="F228" s="25"/>
      <c r="G228" s="25"/>
      <c r="H228" s="25"/>
      <c r="I228" s="25"/>
      <c r="J228" s="25"/>
      <c r="K228" s="25"/>
      <c r="L228" s="25"/>
      <c r="M228" s="25"/>
      <c r="N228" s="25"/>
      <c r="O228" s="25"/>
      <c r="P228" s="25"/>
      <c r="Q228" s="25"/>
      <c r="R228" s="25"/>
      <c r="S228" s="25"/>
    </row>
    <row r="229" spans="2:19" ht="15" customHeight="1" x14ac:dyDescent="0.45">
      <c r="B229" s="2"/>
      <c r="D229" s="31"/>
      <c r="E229" s="25"/>
      <c r="F229" s="25"/>
      <c r="G229" s="25"/>
      <c r="H229" s="25"/>
      <c r="I229" s="25"/>
      <c r="J229" s="25"/>
      <c r="K229" s="25"/>
      <c r="L229" s="25"/>
      <c r="M229" s="25"/>
      <c r="N229" s="25"/>
      <c r="O229" s="25"/>
      <c r="P229" s="25"/>
      <c r="Q229" s="25"/>
      <c r="R229" s="25"/>
      <c r="S229" s="25"/>
    </row>
    <row r="230" spans="2:19" ht="15" customHeight="1" x14ac:dyDescent="0.45">
      <c r="B230" s="2"/>
      <c r="D230" s="31"/>
      <c r="E230" s="25"/>
      <c r="F230" s="25"/>
      <c r="G230" s="25"/>
      <c r="H230" s="25"/>
      <c r="I230" s="25"/>
      <c r="J230" s="25"/>
      <c r="K230" s="25"/>
      <c r="L230" s="25"/>
      <c r="M230" s="25"/>
      <c r="N230" s="25"/>
      <c r="O230" s="25"/>
      <c r="P230" s="25"/>
      <c r="Q230" s="25"/>
      <c r="R230" s="25"/>
      <c r="S230" s="25"/>
    </row>
    <row r="231" spans="2:19" ht="15" customHeight="1" x14ac:dyDescent="0.45">
      <c r="B231" s="2"/>
      <c r="D231" s="31"/>
      <c r="E231" s="25"/>
      <c r="F231" s="25"/>
      <c r="G231" s="25"/>
      <c r="H231" s="25"/>
      <c r="I231" s="25"/>
      <c r="J231" s="25"/>
      <c r="K231" s="25"/>
      <c r="L231" s="25"/>
      <c r="M231" s="25"/>
      <c r="N231" s="25"/>
      <c r="O231" s="25"/>
      <c r="P231" s="25"/>
      <c r="Q231" s="25"/>
      <c r="R231" s="25"/>
      <c r="S231" s="25"/>
    </row>
    <row r="232" spans="2:19" ht="15" customHeight="1" x14ac:dyDescent="0.45">
      <c r="B232" s="2"/>
      <c r="D232" s="31"/>
      <c r="E232" s="25"/>
      <c r="F232" s="25"/>
      <c r="G232" s="25"/>
      <c r="H232" s="25"/>
      <c r="I232" s="25"/>
      <c r="J232" s="25"/>
      <c r="K232" s="25"/>
      <c r="L232" s="25"/>
      <c r="M232" s="25"/>
      <c r="N232" s="25"/>
      <c r="O232" s="25"/>
      <c r="P232" s="25"/>
      <c r="Q232" s="25"/>
      <c r="R232" s="25"/>
      <c r="S232" s="25"/>
    </row>
    <row r="233" spans="2:19" ht="15" customHeight="1" x14ac:dyDescent="0.45">
      <c r="B233" s="2"/>
      <c r="D233" s="31"/>
      <c r="E233" s="25"/>
      <c r="F233" s="25"/>
      <c r="G233" s="25"/>
      <c r="H233" s="25"/>
      <c r="I233" s="25"/>
      <c r="J233" s="25"/>
      <c r="K233" s="25"/>
      <c r="L233" s="25"/>
      <c r="M233" s="25"/>
      <c r="N233" s="25"/>
      <c r="O233" s="25"/>
      <c r="P233" s="25"/>
      <c r="Q233" s="25"/>
      <c r="R233" s="25"/>
      <c r="S233" s="25"/>
    </row>
    <row r="247" spans="2:3" ht="15" customHeight="1" x14ac:dyDescent="0.45">
      <c r="B247" s="2" t="s">
        <v>406</v>
      </c>
      <c r="C247" s="2"/>
    </row>
    <row r="248" spans="2:3" ht="15" customHeight="1" x14ac:dyDescent="0.45">
      <c r="B248" s="2" t="s">
        <v>267</v>
      </c>
      <c r="C248" s="2"/>
    </row>
    <row r="249" spans="2:3" ht="15" customHeight="1" x14ac:dyDescent="0.45">
      <c r="B249" s="2" t="s">
        <v>268</v>
      </c>
      <c r="C249" s="2"/>
    </row>
    <row r="250" spans="2:3" ht="15" customHeight="1" x14ac:dyDescent="0.45">
      <c r="B250" s="2" t="s">
        <v>269</v>
      </c>
      <c r="C250" s="2"/>
    </row>
    <row r="251" spans="2:3" ht="15" customHeight="1" x14ac:dyDescent="0.45">
      <c r="B251" s="2" t="s">
        <v>272</v>
      </c>
      <c r="C251" s="2"/>
    </row>
    <row r="252" spans="2:3" ht="15" customHeight="1" x14ac:dyDescent="0.45">
      <c r="B252" s="2" t="s">
        <v>273</v>
      </c>
      <c r="C252" s="2"/>
    </row>
    <row r="253" spans="2:3" ht="15" customHeight="1" x14ac:dyDescent="0.45">
      <c r="B253" s="2" t="s">
        <v>274</v>
      </c>
      <c r="C253" s="2"/>
    </row>
    <row r="254" spans="2:3" ht="15" customHeight="1" x14ac:dyDescent="0.45">
      <c r="B254" s="2" t="s">
        <v>270</v>
      </c>
      <c r="C254" s="2"/>
    </row>
    <row r="255" spans="2:3" ht="15" customHeight="1" x14ac:dyDescent="0.45">
      <c r="B255" s="2" t="s">
        <v>275</v>
      </c>
      <c r="C255" s="2"/>
    </row>
    <row r="256" spans="2:3" ht="15" customHeight="1" x14ac:dyDescent="0.45">
      <c r="B256" s="2" t="s">
        <v>255</v>
      </c>
      <c r="C256" s="2"/>
    </row>
    <row r="257" spans="2:3" ht="15" customHeight="1" x14ac:dyDescent="0.45">
      <c r="B257" s="2" t="s">
        <v>407</v>
      </c>
      <c r="C257" s="2"/>
    </row>
    <row r="258" spans="2:3" ht="15" customHeight="1" x14ac:dyDescent="0.45">
      <c r="B258" s="2" t="s">
        <v>408</v>
      </c>
      <c r="C258" s="2"/>
    </row>
    <row r="259" spans="2:3" ht="15" customHeight="1" x14ac:dyDescent="0.45">
      <c r="B259" s="2" t="s">
        <v>409</v>
      </c>
      <c r="C259" s="2"/>
    </row>
    <row r="260" spans="2:3" ht="15" customHeight="1" x14ac:dyDescent="0.45">
      <c r="B260" s="2" t="s">
        <v>410</v>
      </c>
      <c r="C260" s="2"/>
    </row>
    <row r="261" spans="2:3" ht="15" customHeight="1" x14ac:dyDescent="0.45">
      <c r="B261" s="2" t="s">
        <v>411</v>
      </c>
      <c r="C261" s="2"/>
    </row>
    <row r="262" spans="2:3" ht="15" customHeight="1" x14ac:dyDescent="0.45">
      <c r="B262" s="2" t="s">
        <v>263</v>
      </c>
      <c r="C262" s="2"/>
    </row>
    <row r="263" spans="2:3" ht="15" customHeight="1" x14ac:dyDescent="0.45">
      <c r="B263" s="2" t="s">
        <v>412</v>
      </c>
      <c r="C263" s="2"/>
    </row>
    <row r="265" spans="2:3" ht="15" customHeight="1" x14ac:dyDescent="0.45">
      <c r="B265" s="2" t="s">
        <v>285</v>
      </c>
    </row>
    <row r="266" spans="2:3" ht="15" customHeight="1" x14ac:dyDescent="0.45">
      <c r="B266" s="2" t="s">
        <v>283</v>
      </c>
    </row>
    <row r="267" spans="2:3" ht="15" customHeight="1" x14ac:dyDescent="0.45">
      <c r="B267" s="2" t="s">
        <v>136</v>
      </c>
    </row>
    <row r="268" spans="2:3" ht="15" customHeight="1" x14ac:dyDescent="0.45">
      <c r="B268" s="2" t="s">
        <v>284</v>
      </c>
    </row>
    <row r="269" spans="2:3" ht="15" customHeight="1" x14ac:dyDescent="0.45">
      <c r="B269" s="2" t="s">
        <v>278</v>
      </c>
    </row>
    <row r="270" spans="2:3" ht="15" customHeight="1" x14ac:dyDescent="0.45">
      <c r="B270" s="2" t="s">
        <v>279</v>
      </c>
    </row>
    <row r="271" spans="2:3" ht="15" customHeight="1" x14ac:dyDescent="0.45">
      <c r="B271" s="2" t="s">
        <v>544</v>
      </c>
    </row>
    <row r="272" spans="2:3" ht="15" customHeight="1" x14ac:dyDescent="0.45">
      <c r="B272" s="2" t="s">
        <v>280</v>
      </c>
    </row>
    <row r="273" spans="2:2" ht="15" customHeight="1" x14ac:dyDescent="0.45">
      <c r="B273" s="2" t="s">
        <v>281</v>
      </c>
    </row>
    <row r="274" spans="2:2" ht="15" customHeight="1" x14ac:dyDescent="0.45">
      <c r="B274" s="2" t="s">
        <v>545</v>
      </c>
    </row>
    <row r="275" spans="2:2" ht="15" customHeight="1" x14ac:dyDescent="0.45">
      <c r="B275" s="2" t="s">
        <v>546</v>
      </c>
    </row>
    <row r="276" spans="2:2" ht="15" customHeight="1" x14ac:dyDescent="0.45">
      <c r="B276" s="2" t="s">
        <v>287</v>
      </c>
    </row>
    <row r="277" spans="2:2" ht="15" customHeight="1" x14ac:dyDescent="0.45">
      <c r="B277" s="2" t="s">
        <v>298</v>
      </c>
    </row>
    <row r="278" spans="2:2" ht="15" customHeight="1" x14ac:dyDescent="0.45">
      <c r="B278" s="2" t="s">
        <v>296</v>
      </c>
    </row>
    <row r="279" spans="2:2" ht="15" customHeight="1" x14ac:dyDescent="0.45">
      <c r="B279" s="2" t="s">
        <v>297</v>
      </c>
    </row>
    <row r="280" spans="2:2" ht="15" customHeight="1" x14ac:dyDescent="0.45">
      <c r="B280" s="2" t="s">
        <v>292</v>
      </c>
    </row>
    <row r="281" spans="2:2" ht="15" customHeight="1" x14ac:dyDescent="0.45">
      <c r="B281" s="2" t="s">
        <v>293</v>
      </c>
    </row>
    <row r="282" spans="2:2" ht="15" customHeight="1" x14ac:dyDescent="0.45">
      <c r="B282" s="2" t="s">
        <v>547</v>
      </c>
    </row>
    <row r="283" spans="2:2" ht="15" customHeight="1" x14ac:dyDescent="0.45">
      <c r="B283" s="2" t="s">
        <v>294</v>
      </c>
    </row>
    <row r="284" spans="2:2" ht="15" customHeight="1" x14ac:dyDescent="0.45">
      <c r="B284" s="2" t="s">
        <v>291</v>
      </c>
    </row>
    <row r="285" spans="2:2" ht="15" customHeight="1" x14ac:dyDescent="0.45">
      <c r="B285" s="2" t="s">
        <v>290</v>
      </c>
    </row>
    <row r="286" spans="2:2" ht="15" customHeight="1" x14ac:dyDescent="0.45">
      <c r="B286" s="2" t="s">
        <v>289</v>
      </c>
    </row>
    <row r="287" spans="2:2" ht="15" customHeight="1" x14ac:dyDescent="0.45">
      <c r="B287" s="2" t="s">
        <v>548</v>
      </c>
    </row>
    <row r="288" spans="2:2" ht="15" customHeight="1" x14ac:dyDescent="0.45">
      <c r="B288" s="2" t="s">
        <v>300</v>
      </c>
    </row>
    <row r="290" spans="2:2" ht="15" customHeight="1" x14ac:dyDescent="0.45">
      <c r="B290" s="2" t="s">
        <v>303</v>
      </c>
    </row>
    <row r="291" spans="2:2" ht="15" customHeight="1" x14ac:dyDescent="0.45">
      <c r="B291" s="2" t="s">
        <v>304</v>
      </c>
    </row>
    <row r="292" spans="2:2" ht="15" customHeight="1" x14ac:dyDescent="0.45">
      <c r="B292" s="2" t="s">
        <v>314</v>
      </c>
    </row>
    <row r="293" spans="2:2" ht="15" customHeight="1" x14ac:dyDescent="0.45">
      <c r="B293" s="2" t="s">
        <v>310</v>
      </c>
    </row>
    <row r="294" spans="2:2" ht="15" customHeight="1" x14ac:dyDescent="0.45">
      <c r="B294" s="2" t="s">
        <v>311</v>
      </c>
    </row>
    <row r="295" spans="2:2" ht="15" customHeight="1" x14ac:dyDescent="0.45">
      <c r="B295" s="2" t="s">
        <v>305</v>
      </c>
    </row>
    <row r="296" spans="2:2" ht="15" customHeight="1" x14ac:dyDescent="0.45">
      <c r="B296" s="2" t="s">
        <v>306</v>
      </c>
    </row>
    <row r="297" spans="2:2" ht="15" customHeight="1" x14ac:dyDescent="0.45">
      <c r="B297" s="2" t="s">
        <v>308</v>
      </c>
    </row>
    <row r="298" spans="2:2" ht="15" customHeight="1" x14ac:dyDescent="0.45">
      <c r="B298" s="2" t="s">
        <v>312</v>
      </c>
    </row>
    <row r="299" spans="2:2" ht="15" customHeight="1" x14ac:dyDescent="0.45">
      <c r="B299" s="2" t="s">
        <v>315</v>
      </c>
    </row>
    <row r="300" spans="2:2" ht="15" customHeight="1" x14ac:dyDescent="0.45">
      <c r="B300" s="2" t="s">
        <v>317</v>
      </c>
    </row>
    <row r="301" spans="2:2" ht="15" customHeight="1" x14ac:dyDescent="0.45">
      <c r="B301" s="2" t="s">
        <v>418</v>
      </c>
    </row>
    <row r="302" spans="2:2" ht="15" customHeight="1" x14ac:dyDescent="0.45">
      <c r="B302" s="2"/>
    </row>
    <row r="303" spans="2:2" ht="15" customHeight="1" x14ac:dyDescent="0.45">
      <c r="B303" s="2"/>
    </row>
  </sheetData>
  <dataValidations count="3">
    <dataValidation type="list" allowBlank="1" showInputMessage="1" showErrorMessage="1" sqref="B122:B233" xr:uid="{433A4E8F-5C81-472F-81D2-1792D14CFC44}">
      <formula1>$B$290:$B$304</formula1>
    </dataValidation>
    <dataValidation type="list" allowBlank="1" showInputMessage="1" showErrorMessage="1" sqref="B48:B118" xr:uid="{062D0765-BFD5-4868-9600-8212607687A0}">
      <formula1>$B$265:$B$288</formula1>
    </dataValidation>
    <dataValidation type="list" allowBlank="1" showInputMessage="1" showErrorMessage="1" sqref="B37:B44 B30:B34 B8:B20 B22 B24:B28" xr:uid="{F6EAA5D1-27F7-4987-B1F8-64A1F893177A}">
      <formula1>B$247:B$264</formula1>
    </dataValidation>
  </dataValidations>
  <pageMargins left="0.75" right="0.75" top="1" bottom="1" header="0.5" footer="0.5"/>
  <pageSetup orientation="portrait" horizontalDpi="4294967293" verticalDpi="0"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236E5-6816-4CC7-8074-B656536CD398}">
  <dimension ref="A1:S257"/>
  <sheetViews>
    <sheetView showGridLines="0" topLeftCell="A125" workbookViewId="0">
      <selection activeCell="D83" sqref="B83:D83"/>
    </sheetView>
  </sheetViews>
  <sheetFormatPr defaultColWidth="9.1328125" defaultRowHeight="14.25" x14ac:dyDescent="0.45"/>
  <cols>
    <col min="1" max="1" width="3.46484375" style="1" customWidth="1"/>
    <col min="2" max="2" width="37.33203125" style="1" customWidth="1"/>
    <col min="3" max="3" width="3.46484375" style="1" customWidth="1"/>
    <col min="4" max="4" width="48" style="1" customWidth="1"/>
    <col min="5" max="5" width="11.46484375" style="24" bestFit="1" customWidth="1"/>
    <col min="6" max="6" width="13.796875" style="24" customWidth="1"/>
    <col min="7" max="7" width="10.6640625" style="24" bestFit="1" customWidth="1"/>
    <col min="8" max="8" width="11.46484375" style="24" bestFit="1" customWidth="1"/>
    <col min="9" max="11" width="10.6640625" style="24" bestFit="1" customWidth="1"/>
    <col min="12" max="12" width="10.6640625" style="24" customWidth="1"/>
    <col min="13" max="14" width="11.46484375" style="24" bestFit="1" customWidth="1"/>
    <col min="15" max="17" width="10.6640625" style="24" bestFit="1" customWidth="1"/>
    <col min="18" max="19" width="10.1328125" style="24" bestFit="1" customWidth="1"/>
    <col min="20" max="16384" width="9.1328125" style="24"/>
  </cols>
  <sheetData>
    <row r="1" spans="2:19" s="1" customFormat="1" x14ac:dyDescent="0.45"/>
    <row r="2" spans="2:19" s="1" customFormat="1" x14ac:dyDescent="0.45">
      <c r="B2" s="1" t="s">
        <v>421</v>
      </c>
      <c r="D2" s="1" t="s">
        <v>422</v>
      </c>
    </row>
    <row r="3" spans="2:19" s="1" customFormat="1" x14ac:dyDescent="0.45">
      <c r="B3" s="1" t="s">
        <v>423</v>
      </c>
      <c r="D3" s="508">
        <v>1000</v>
      </c>
    </row>
    <row r="4" spans="2:19" s="1" customFormat="1" x14ac:dyDescent="0.45"/>
    <row r="5" spans="2:19" s="1" customFormat="1" x14ac:dyDescent="0.45">
      <c r="B5" s="3" t="s">
        <v>405</v>
      </c>
      <c r="C5" s="3"/>
      <c r="D5" s="4" t="s">
        <v>424</v>
      </c>
      <c r="E5" s="21">
        <v>2015</v>
      </c>
      <c r="F5" s="21">
        <f t="shared" ref="F5:S5" si="0">E5+1</f>
        <v>2016</v>
      </c>
      <c r="G5" s="21">
        <f t="shared" si="0"/>
        <v>2017</v>
      </c>
      <c r="H5" s="21">
        <f t="shared" si="0"/>
        <v>2018</v>
      </c>
      <c r="I5" s="21">
        <f t="shared" si="0"/>
        <v>2019</v>
      </c>
      <c r="J5" s="21">
        <f t="shared" si="0"/>
        <v>2020</v>
      </c>
      <c r="K5" s="21">
        <f t="shared" si="0"/>
        <v>2021</v>
      </c>
      <c r="L5" s="21">
        <f t="shared" si="0"/>
        <v>2022</v>
      </c>
      <c r="M5" s="21">
        <f t="shared" si="0"/>
        <v>2023</v>
      </c>
      <c r="N5" s="21">
        <f t="shared" si="0"/>
        <v>2024</v>
      </c>
      <c r="O5" s="22">
        <f t="shared" si="0"/>
        <v>2025</v>
      </c>
      <c r="P5" s="22">
        <f t="shared" si="0"/>
        <v>2026</v>
      </c>
      <c r="Q5" s="22">
        <f t="shared" si="0"/>
        <v>2027</v>
      </c>
      <c r="R5" s="22">
        <f t="shared" si="0"/>
        <v>2028</v>
      </c>
      <c r="S5" s="22">
        <f t="shared" si="0"/>
        <v>2029</v>
      </c>
    </row>
    <row r="6" spans="2:19" s="1" customFormat="1" x14ac:dyDescent="0.45">
      <c r="B6" s="2"/>
      <c r="D6" s="4"/>
      <c r="E6" s="507"/>
      <c r="F6" s="507"/>
      <c r="G6" s="507"/>
      <c r="H6" s="507"/>
      <c r="I6" s="507"/>
      <c r="J6" s="507"/>
      <c r="K6" s="507"/>
      <c r="L6" s="507"/>
      <c r="M6" s="507"/>
      <c r="N6" s="507"/>
      <c r="O6" s="507"/>
      <c r="P6" s="507"/>
      <c r="Q6" s="507"/>
      <c r="R6" s="507"/>
      <c r="S6" s="507"/>
    </row>
    <row r="7" spans="2:19" x14ac:dyDescent="0.45">
      <c r="B7" s="2" t="s">
        <v>406</v>
      </c>
      <c r="D7" s="2" t="str">
        <f>+AstraZeneca!A23</f>
        <v>Total Revenue</v>
      </c>
      <c r="E7" s="25">
        <f>+AstraZeneca!B23/$D$3</f>
        <v>22275.974999999999</v>
      </c>
      <c r="F7" s="25">
        <f>+AstraZeneca!C23/$D$3</f>
        <v>20799.792000000001</v>
      </c>
      <c r="G7" s="25">
        <f>+AstraZeneca!D23/$D$3</f>
        <v>19923.863000000001</v>
      </c>
      <c r="H7" s="25">
        <f>+AstraZeneca!E23/$D$3</f>
        <v>18722.875</v>
      </c>
      <c r="I7" s="25">
        <f>+AstraZeneca!F23/$D$3</f>
        <v>21783.048999999999</v>
      </c>
      <c r="J7" s="25">
        <f>+AstraZeneca!G23/$D$3</f>
        <v>23346.582999999999</v>
      </c>
      <c r="K7" s="25">
        <f>+AstraZeneca!H23/$D$3</f>
        <v>31653.118999999999</v>
      </c>
      <c r="L7" s="25">
        <f>+AstraZeneca!I23/$D$3</f>
        <v>42191.754999999997</v>
      </c>
      <c r="M7" s="25">
        <f>+AstraZeneca!J23/$D$3</f>
        <v>42368.92</v>
      </c>
      <c r="N7" s="25">
        <f>+AstraZeneca!K23/$D$3</f>
        <v>49995.091</v>
      </c>
      <c r="O7" s="25"/>
      <c r="P7" s="25"/>
      <c r="Q7" s="25"/>
      <c r="R7" s="25"/>
      <c r="S7" s="25"/>
    </row>
    <row r="8" spans="2:19" x14ac:dyDescent="0.45">
      <c r="B8" s="2" t="s">
        <v>267</v>
      </c>
      <c r="D8" s="2" t="str">
        <f>AstraZeneca!A24</f>
        <v>Cost Of Goods Sold</v>
      </c>
      <c r="E8" s="27">
        <f>AstraZeneca!B24/$D$3</f>
        <v>4046.2429999999999</v>
      </c>
      <c r="F8" s="27">
        <f>AstraZeneca!C24/$D$3</f>
        <v>3613.424</v>
      </c>
      <c r="G8" s="27">
        <f>AstraZeneca!D24/$D$3</f>
        <v>3669.0419999999999</v>
      </c>
      <c r="H8" s="27">
        <f>AstraZeneca!E24/$D$3</f>
        <v>3817.4659999999999</v>
      </c>
      <c r="I8" s="27">
        <f>AstraZeneca!F24/$D$3</f>
        <v>4330.8819999999996</v>
      </c>
      <c r="J8" s="27">
        <f>AstraZeneca!G24/$D$3</f>
        <v>4601.4269999999997</v>
      </c>
      <c r="K8" s="27">
        <f>AstraZeneca!H24/$D$3</f>
        <v>10155.696</v>
      </c>
      <c r="L8" s="27">
        <f>AstraZeneca!I24/$D$3</f>
        <v>8220.31</v>
      </c>
      <c r="M8" s="27">
        <f>AstraZeneca!J24/$D$3</f>
        <v>7435.902</v>
      </c>
      <c r="N8" s="27">
        <f>AstraZeneca!K24/$D$3</f>
        <v>8911.1509999999998</v>
      </c>
      <c r="O8" s="27"/>
      <c r="P8" s="27"/>
      <c r="Q8" s="27"/>
      <c r="R8" s="27"/>
      <c r="S8" s="27"/>
    </row>
    <row r="9" spans="2:19" x14ac:dyDescent="0.45">
      <c r="B9" s="2"/>
      <c r="D9" s="5" t="s">
        <v>430</v>
      </c>
      <c r="E9" s="23">
        <f t="shared" ref="E9:N9" si="1">E7-E8</f>
        <v>18229.732</v>
      </c>
      <c r="F9" s="23">
        <f t="shared" si="1"/>
        <v>17186.368000000002</v>
      </c>
      <c r="G9" s="23">
        <f t="shared" si="1"/>
        <v>16254.821000000002</v>
      </c>
      <c r="H9" s="23">
        <f t="shared" si="1"/>
        <v>14905.409</v>
      </c>
      <c r="I9" s="23">
        <f t="shared" si="1"/>
        <v>17452.167000000001</v>
      </c>
      <c r="J9" s="23">
        <f t="shared" si="1"/>
        <v>18745.155999999999</v>
      </c>
      <c r="K9" s="23">
        <f t="shared" si="1"/>
        <v>21497.422999999999</v>
      </c>
      <c r="L9" s="23">
        <f t="shared" si="1"/>
        <v>33971.445</v>
      </c>
      <c r="M9" s="23">
        <f t="shared" si="1"/>
        <v>34933.017999999996</v>
      </c>
      <c r="N9" s="23">
        <f t="shared" si="1"/>
        <v>41083.94</v>
      </c>
      <c r="O9" s="23"/>
      <c r="P9" s="23"/>
      <c r="Q9" s="23"/>
      <c r="R9" s="23"/>
      <c r="S9" s="23"/>
    </row>
    <row r="10" spans="2:19" x14ac:dyDescent="0.45">
      <c r="B10" s="2"/>
      <c r="D10" s="2"/>
      <c r="E10" s="25"/>
      <c r="F10" s="25"/>
      <c r="G10" s="25"/>
      <c r="H10" s="25"/>
      <c r="I10" s="25"/>
      <c r="J10" s="25"/>
      <c r="K10" s="25"/>
      <c r="L10" s="25"/>
      <c r="M10" s="25"/>
      <c r="N10" s="25"/>
      <c r="O10" s="25"/>
      <c r="P10" s="25"/>
      <c r="Q10" s="25"/>
      <c r="R10" s="25"/>
      <c r="S10" s="25"/>
    </row>
    <row r="11" spans="2:19" x14ac:dyDescent="0.45">
      <c r="B11" s="2" t="s">
        <v>268</v>
      </c>
      <c r="D11" s="2" t="str">
        <f>AstraZeneca!A27</f>
        <v>Selling General &amp; Admin Exp.</v>
      </c>
      <c r="E11" s="25">
        <f>-AstraZeneca!B27/$D$3</f>
        <v>-9938.9</v>
      </c>
      <c r="F11" s="25">
        <f>-AstraZeneca!C27/$D$3</f>
        <v>-8810.2070000000003</v>
      </c>
      <c r="G11" s="25">
        <f>-AstraZeneca!D27/$D$3</f>
        <v>-8342.0370000000003</v>
      </c>
      <c r="H11" s="25">
        <f>-AstraZeneca!E27/$D$3</f>
        <v>-9172.4290000000001</v>
      </c>
      <c r="I11" s="25">
        <f>-AstraZeneca!F27/$D$3</f>
        <v>-10217.950999999999</v>
      </c>
      <c r="J11" s="25">
        <f>-AstraZeneca!G27/$D$3</f>
        <v>-10162.433999999999</v>
      </c>
      <c r="K11" s="25">
        <f>-AstraZeneca!H27/$D$3</f>
        <v>-12412.706</v>
      </c>
      <c r="L11" s="25">
        <f>-AstraZeneca!I27/$D$3</f>
        <v>-16609.953000000001</v>
      </c>
      <c r="M11" s="25">
        <f>-AstraZeneca!J27/$D$3</f>
        <v>-16670.664000000001</v>
      </c>
      <c r="N11" s="25">
        <f>-AstraZeneca!K27/$D$3</f>
        <v>-17985.954000000002</v>
      </c>
      <c r="O11" s="25"/>
      <c r="P11" s="25"/>
      <c r="Q11" s="25"/>
      <c r="R11" s="25"/>
      <c r="S11" s="25"/>
    </row>
    <row r="12" spans="2:19" x14ac:dyDescent="0.45">
      <c r="B12" s="2" t="s">
        <v>269</v>
      </c>
      <c r="D12" s="2" t="str">
        <f>AstraZeneca!A28</f>
        <v>R &amp; D Exp.</v>
      </c>
      <c r="E12" s="25">
        <f>-AstraZeneca!B28/$D$3</f>
        <v>-5102.8829999999998</v>
      </c>
      <c r="F12" s="25">
        <f>-AstraZeneca!C28/$D$3</f>
        <v>-5135.2929999999997</v>
      </c>
      <c r="G12" s="25">
        <f>-AstraZeneca!D28/$D$3</f>
        <v>-4837.9560000000001</v>
      </c>
      <c r="H12" s="25">
        <f>-AstraZeneca!E28/$D$3</f>
        <v>-4491.2860000000001</v>
      </c>
      <c r="I12" s="25">
        <f>-AstraZeneca!F28/$D$3</f>
        <v>-4778.442</v>
      </c>
      <c r="J12" s="25">
        <f>-AstraZeneca!G28/$D$3</f>
        <v>-5175.9470000000001</v>
      </c>
      <c r="K12" s="25">
        <f>-AstraZeneca!H28/$D$3</f>
        <v>-6809.0959999999995</v>
      </c>
      <c r="L12" s="25">
        <f>-AstraZeneca!I28/$D$3</f>
        <v>-9198.2610000000004</v>
      </c>
      <c r="M12" s="25">
        <f>-AstraZeneca!J28/$D$3</f>
        <v>-9593.6090000000004</v>
      </c>
      <c r="N12" s="25">
        <f>-AstraZeneca!K28/$D$3</f>
        <v>-11319.696</v>
      </c>
      <c r="O12" s="25"/>
      <c r="P12" s="25"/>
      <c r="Q12" s="25"/>
      <c r="R12" s="25"/>
      <c r="S12" s="25"/>
    </row>
    <row r="13" spans="2:19" ht="28.5" x14ac:dyDescent="0.45">
      <c r="B13" s="2" t="s">
        <v>275</v>
      </c>
      <c r="D13" s="2" t="str">
        <f>AstraZeneca!A29</f>
        <v>Other Operating Expense</v>
      </c>
      <c r="E13" s="27">
        <f>-AstraZeneca!B29/$D$3</f>
        <v>482.34</v>
      </c>
      <c r="F13" s="27">
        <f>-AstraZeneca!C29/$D$3</f>
        <v>291.17200000000003</v>
      </c>
      <c r="G13" s="27">
        <f>-AstraZeneca!D29/$D$3</f>
        <v>194.22800000000001</v>
      </c>
      <c r="H13" s="27">
        <f>-AstraZeneca!E29/$D$3</f>
        <v>225.45400000000001</v>
      </c>
      <c r="I13" s="27">
        <f>-AstraZeneca!F29/$D$3</f>
        <v>284.97300000000001</v>
      </c>
      <c r="J13" s="27">
        <f>-AstraZeneca!G29/$D$3</f>
        <v>426.28500000000003</v>
      </c>
      <c r="K13" s="27">
        <f>-AstraZeneca!H29/$D$3</f>
        <v>175.113</v>
      </c>
      <c r="L13" s="27">
        <f>-AstraZeneca!I29/$D$3</f>
        <v>219.75399999999999</v>
      </c>
      <c r="M13" s="27">
        <f>-AstraZeneca!J29/$D$3</f>
        <v>254.33699999999999</v>
      </c>
      <c r="N13" s="27">
        <f>-AstraZeneca!K29/$D$3</f>
        <v>175.67099999999999</v>
      </c>
      <c r="O13" s="27"/>
      <c r="P13" s="27"/>
      <c r="Q13" s="27"/>
      <c r="R13" s="27"/>
      <c r="S13" s="27"/>
    </row>
    <row r="14" spans="2:19" x14ac:dyDescent="0.45">
      <c r="B14" s="2"/>
      <c r="D14" s="5" t="str">
        <f>AstraZeneca!A31</f>
        <v>Operating Income</v>
      </c>
      <c r="E14" s="23">
        <f t="shared" ref="E14:N14" si="2">SUM(E9:E13)</f>
        <v>3670.2890000000007</v>
      </c>
      <c r="F14" s="23">
        <f t="shared" si="2"/>
        <v>3532.0400000000022</v>
      </c>
      <c r="G14" s="23">
        <f t="shared" si="2"/>
        <v>3269.0560000000014</v>
      </c>
      <c r="H14" s="23">
        <f t="shared" si="2"/>
        <v>1467.1479999999995</v>
      </c>
      <c r="I14" s="23">
        <f t="shared" si="2"/>
        <v>2740.7470000000021</v>
      </c>
      <c r="J14" s="23">
        <f t="shared" si="2"/>
        <v>3833.0599999999995</v>
      </c>
      <c r="K14" s="23">
        <f t="shared" si="2"/>
        <v>2450.733999999999</v>
      </c>
      <c r="L14" s="23">
        <f t="shared" si="2"/>
        <v>8382.9849999999988</v>
      </c>
      <c r="M14" s="23">
        <f t="shared" si="2"/>
        <v>8923.0819999999949</v>
      </c>
      <c r="N14" s="23">
        <f t="shared" si="2"/>
        <v>11953.961000000001</v>
      </c>
      <c r="O14" s="23"/>
      <c r="P14" s="23"/>
      <c r="Q14" s="23"/>
      <c r="R14" s="23"/>
      <c r="S14" s="23"/>
    </row>
    <row r="15" spans="2:19" x14ac:dyDescent="0.45">
      <c r="B15" s="2"/>
      <c r="D15" s="5"/>
      <c r="E15" s="23"/>
      <c r="F15" s="23"/>
      <c r="G15" s="23"/>
      <c r="H15" s="23"/>
      <c r="I15" s="23"/>
      <c r="J15" s="23"/>
      <c r="K15" s="23"/>
      <c r="L15" s="23"/>
      <c r="M15" s="23"/>
      <c r="N15" s="23"/>
      <c r="O15" s="23"/>
      <c r="P15" s="23"/>
      <c r="Q15" s="23"/>
      <c r="R15" s="23"/>
      <c r="S15" s="23"/>
    </row>
    <row r="16" spans="2:19" x14ac:dyDescent="0.45">
      <c r="B16" s="2" t="s">
        <v>407</v>
      </c>
      <c r="D16" s="2" t="str">
        <f>AstraZeneca!A34</f>
        <v>Interest and Invest. Income</v>
      </c>
      <c r="E16" s="25">
        <f>AstraZeneca!B34/$D$3</f>
        <v>32.456000000000003</v>
      </c>
      <c r="F16" s="25">
        <f>AstraZeneca!C34/$D$3</f>
        <v>38.883000000000003</v>
      </c>
      <c r="G16" s="25">
        <f>AstraZeneca!D34/$D$3</f>
        <v>87.802000000000007</v>
      </c>
      <c r="H16" s="25">
        <f>AstraZeneca!E34/$D$3</f>
        <v>111.88</v>
      </c>
      <c r="I16" s="25">
        <f>AstraZeneca!F34/$D$3</f>
        <v>129.53299999999999</v>
      </c>
      <c r="J16" s="25">
        <f>AstraZeneca!G34/$D$3</f>
        <v>67.539000000000001</v>
      </c>
      <c r="K16" s="25">
        <f>AstraZeneca!H34/$D$3</f>
        <v>36.375999999999998</v>
      </c>
      <c r="L16" s="25">
        <f>AstraZeneca!I34/$D$3</f>
        <v>77.055999999999997</v>
      </c>
      <c r="M16" s="25">
        <f>AstraZeneca!J34/$D$3</f>
        <v>278.38400000000001</v>
      </c>
      <c r="N16" s="25">
        <f>AstraZeneca!K34/$D$3</f>
        <v>318.98200000000003</v>
      </c>
      <c r="O16" s="25"/>
      <c r="P16" s="25"/>
      <c r="Q16" s="25"/>
      <c r="R16" s="25"/>
      <c r="S16" s="25"/>
    </row>
    <row r="17" spans="2:19" x14ac:dyDescent="0.45">
      <c r="B17" s="2" t="s">
        <v>408</v>
      </c>
      <c r="D17" s="2" t="str">
        <f>AstraZeneca!A33</f>
        <v>Interest Expense</v>
      </c>
      <c r="E17" s="25">
        <f>AstraZeneca!B33/$D$3</f>
        <v>-353.41500000000002</v>
      </c>
      <c r="F17" s="25">
        <f>AstraZeneca!C33/$D$3</f>
        <v>-557.92899999999997</v>
      </c>
      <c r="G17" s="25">
        <f>AstraZeneca!D33/$D$3</f>
        <v>-588.89099999999996</v>
      </c>
      <c r="H17" s="25">
        <f>AstraZeneca!E33/$D$3</f>
        <v>-630.59400000000005</v>
      </c>
      <c r="I17" s="25">
        <f>AstraZeneca!F33/$D$3</f>
        <v>-696.8</v>
      </c>
      <c r="J17" s="25">
        <f>AstraZeneca!G33/$D$3</f>
        <v>-647.322</v>
      </c>
      <c r="K17" s="25">
        <f>AstraZeneca!H33/$D$3</f>
        <v>-656.46199999999999</v>
      </c>
      <c r="L17" s="25">
        <f>AstraZeneca!I33/$D$3</f>
        <v>-872.35599999999999</v>
      </c>
      <c r="M17" s="25">
        <f>AstraZeneca!J33/$D$3</f>
        <v>-1127.4090000000001</v>
      </c>
      <c r="N17" s="25">
        <f>AstraZeneca!K33/$D$3</f>
        <v>-1297.193</v>
      </c>
      <c r="O17" s="25"/>
      <c r="P17" s="25"/>
      <c r="Q17" s="25"/>
      <c r="R17" s="25"/>
      <c r="S17" s="25"/>
    </row>
    <row r="18" spans="2:19" x14ac:dyDescent="0.45">
      <c r="B18" s="2" t="s">
        <v>255</v>
      </c>
      <c r="D18" s="2" t="str">
        <f>AstraZeneca!A36</f>
        <v>Income from Affiliates</v>
      </c>
      <c r="E18" s="25">
        <f>AstraZeneca!B36/$D$3</f>
        <v>-14.425000000000001</v>
      </c>
      <c r="F18" s="25">
        <f>AstraZeneca!C36/$D$3</f>
        <v>-29.841000000000001</v>
      </c>
      <c r="G18" s="25">
        <f>AstraZeneca!D36/$D$3</f>
        <v>-48.779000000000003</v>
      </c>
      <c r="H18" s="25">
        <f>AstraZeneca!E36/$D$3</f>
        <v>-95.775999999999996</v>
      </c>
      <c r="I18" s="25">
        <f>AstraZeneca!F36/$D$3</f>
        <v>-103.627</v>
      </c>
      <c r="J18" s="25">
        <f>AstraZeneca!G36/$D$3</f>
        <v>-23.683</v>
      </c>
      <c r="K18" s="25">
        <f>AstraZeneca!H36/$D$3</f>
        <v>-54.140999999999998</v>
      </c>
      <c r="L18" s="25">
        <f>AstraZeneca!I36/$D$3</f>
        <v>-4.7569999999999997</v>
      </c>
      <c r="M18" s="25">
        <f>AstraZeneca!J36/$D$3</f>
        <v>-11.098000000000001</v>
      </c>
      <c r="N18" s="25">
        <f>AstraZeneca!K36/$D$3</f>
        <v>-25.888000000000002</v>
      </c>
      <c r="O18" s="25"/>
      <c r="P18" s="25"/>
      <c r="Q18" s="25"/>
      <c r="R18" s="25"/>
      <c r="S18" s="25"/>
    </row>
    <row r="19" spans="2:19" ht="28.5" x14ac:dyDescent="0.45">
      <c r="B19" s="2" t="s">
        <v>275</v>
      </c>
      <c r="D19" s="2" t="str">
        <f>AstraZeneca!A37</f>
        <v>Currency Exchange Gains</v>
      </c>
      <c r="E19" s="25">
        <f>AstraZeneca!B37/$D$3</f>
        <v>-32.456000000000003</v>
      </c>
      <c r="F19" s="25">
        <f>AstraZeneca!C37/$D$3</f>
        <v>7.234</v>
      </c>
      <c r="G19" s="25">
        <f>AstraZeneca!D37/$D$3</f>
        <v>-131.25899999999999</v>
      </c>
      <c r="H19" s="25">
        <f>AstraZeneca!E37/$D$3</f>
        <v>-43.225999999999999</v>
      </c>
      <c r="I19" s="25">
        <f>AstraZeneca!F37/$D$3</f>
        <v>-26.8</v>
      </c>
      <c r="J19" s="25">
        <f>AstraZeneca!G37/$D$3</f>
        <v>-29.821999999999999</v>
      </c>
      <c r="K19" s="25">
        <f>AstraZeneca!H37/$D$3</f>
        <v>-16.919</v>
      </c>
      <c r="L19" s="25">
        <f>AstraZeneca!I37/$D$3</f>
        <v>-15.221</v>
      </c>
      <c r="M19" s="25">
        <f>AstraZeneca!J37/$D$3</f>
        <v>-31.445</v>
      </c>
      <c r="N19" s="25">
        <f>AstraZeneca!K37/$D$3</f>
        <v>-38.832999999999998</v>
      </c>
      <c r="O19" s="25"/>
      <c r="P19" s="25"/>
      <c r="Q19" s="25"/>
      <c r="R19" s="25"/>
      <c r="S19" s="25"/>
    </row>
    <row r="20" spans="2:19" ht="28.5" x14ac:dyDescent="0.45">
      <c r="B20" s="2" t="s">
        <v>275</v>
      </c>
      <c r="D20" s="2" t="str">
        <f>AstraZeneca!A38</f>
        <v>Other Non-Operating Inc.</v>
      </c>
      <c r="E20" s="24">
        <f>AstraZeneca!B38/$D$3</f>
        <v>-504.87900000000002</v>
      </c>
      <c r="F20" s="24">
        <f>AstraZeneca!C38/$D$3</f>
        <v>-622.13099999999997</v>
      </c>
      <c r="G20" s="24">
        <f>AstraZeneca!D38/$D$3</f>
        <v>-561.39800000000002</v>
      </c>
      <c r="H20" s="24">
        <f>AstraZeneca!E38/$D$3</f>
        <v>-479.726</v>
      </c>
      <c r="I20" s="24">
        <f>AstraZeneca!F38/$D$3</f>
        <v>-484.18700000000001</v>
      </c>
      <c r="J20" s="24">
        <f>AstraZeneca!G38/$D$3</f>
        <v>-427.16300000000001</v>
      </c>
      <c r="K20" s="24">
        <f>AstraZeneca!H38/$D$3</f>
        <v>-404.36700000000002</v>
      </c>
      <c r="L20" s="24">
        <f>AstraZeneca!I38/$D$3</f>
        <v>-351.98599999999999</v>
      </c>
      <c r="M20" s="24">
        <f>AstraZeneca!J38/$D$3</f>
        <v>-270.06</v>
      </c>
      <c r="N20" s="24">
        <f>AstraZeneca!K38/$D$3</f>
        <v>-123.89400000000001</v>
      </c>
      <c r="O20" s="25"/>
      <c r="P20" s="25"/>
      <c r="Q20" s="25"/>
      <c r="R20" s="25"/>
      <c r="S20" s="25"/>
    </row>
    <row r="21" spans="2:19" x14ac:dyDescent="0.45">
      <c r="B21" s="2"/>
      <c r="D21" s="5" t="str">
        <f>AstraZeneca!A39</f>
        <v>EBT Excl Unusual Items</v>
      </c>
      <c r="E21" s="28">
        <f t="shared" ref="E21:N21" si="3">E14+SUM(E16:E20)</f>
        <v>2797.5700000000006</v>
      </c>
      <c r="F21" s="28">
        <f t="shared" si="3"/>
        <v>2368.2560000000021</v>
      </c>
      <c r="G21" s="28">
        <f t="shared" si="3"/>
        <v>2026.5310000000013</v>
      </c>
      <c r="H21" s="28">
        <f t="shared" si="3"/>
        <v>329.70599999999945</v>
      </c>
      <c r="I21" s="28">
        <f t="shared" si="3"/>
        <v>1558.8660000000023</v>
      </c>
      <c r="J21" s="28">
        <f t="shared" si="3"/>
        <v>2772.6089999999995</v>
      </c>
      <c r="K21" s="28">
        <f t="shared" si="3"/>
        <v>1355.2209999999991</v>
      </c>
      <c r="L21" s="28">
        <f t="shared" si="3"/>
        <v>7215.7209999999986</v>
      </c>
      <c r="M21" s="28">
        <f t="shared" si="3"/>
        <v>7761.4539999999943</v>
      </c>
      <c r="N21" s="28">
        <f t="shared" si="3"/>
        <v>10787.135000000002</v>
      </c>
      <c r="O21" s="28"/>
      <c r="P21" s="28"/>
      <c r="Q21" s="28"/>
      <c r="R21" s="28"/>
      <c r="S21" s="28"/>
    </row>
    <row r="22" spans="2:19" x14ac:dyDescent="0.45">
      <c r="B22" s="2"/>
      <c r="D22" s="5"/>
      <c r="E22" s="23"/>
      <c r="F22" s="23"/>
      <c r="G22" s="23"/>
      <c r="H22" s="23"/>
      <c r="I22" s="23"/>
      <c r="J22" s="23"/>
      <c r="K22" s="23"/>
      <c r="L22" s="23"/>
      <c r="M22" s="23"/>
      <c r="N22" s="23"/>
      <c r="O22" s="23"/>
      <c r="P22" s="23"/>
      <c r="Q22" s="23"/>
      <c r="R22" s="23"/>
      <c r="S22" s="23"/>
    </row>
    <row r="23" spans="2:19" x14ac:dyDescent="0.45">
      <c r="B23" s="2" t="s">
        <v>409</v>
      </c>
      <c r="D23" s="2" t="str">
        <f>AstraZeneca!A40</f>
        <v>Restructuring Charges</v>
      </c>
      <c r="E23" s="23">
        <f>IFERROR(AstraZeneca!B40/$D$3,0)</f>
        <v>-932.22299999999996</v>
      </c>
      <c r="F23" s="23">
        <f>IFERROR(AstraZeneca!C40/$D$3,0)</f>
        <v>-1001.016</v>
      </c>
      <c r="G23" s="23">
        <f>IFERROR(AstraZeneca!D40/$D$3,0)</f>
        <v>-715.71600000000001</v>
      </c>
      <c r="H23" s="23">
        <f>IFERROR(AstraZeneca!E40/$D$3,0)</f>
        <v>-590.75800000000004</v>
      </c>
      <c r="I23" s="23">
        <f>IFERROR(AstraZeneca!F40/$D$3,0)</f>
        <v>-309.98700000000002</v>
      </c>
      <c r="J23" s="23">
        <f>IFERROR(AstraZeneca!G40/$D$3,0)</f>
        <v>-220.16</v>
      </c>
      <c r="K23" s="23">
        <f>IFERROR(AstraZeneca!H40/$D$3,0)</f>
        <v>-1085.3610000000001</v>
      </c>
      <c r="L23" s="23">
        <f>IFERROR(AstraZeneca!I40/$D$3,0)</f>
        <v>-682.09299999999996</v>
      </c>
      <c r="M23" s="23">
        <f>IFERROR(AstraZeneca!J40/$D$3,0)</f>
        <v>-431.911</v>
      </c>
      <c r="N23" s="23">
        <f>IFERROR(AstraZeneca!K40/$D$3,0)</f>
        <v>-1066.971</v>
      </c>
      <c r="O23" s="23"/>
      <c r="P23" s="23"/>
      <c r="Q23" s="23"/>
      <c r="R23" s="23"/>
      <c r="S23" s="23"/>
    </row>
    <row r="24" spans="2:19" x14ac:dyDescent="0.45">
      <c r="B24" s="2" t="s">
        <v>409</v>
      </c>
      <c r="D24" s="2" t="str">
        <f>AstraZeneca!A41</f>
        <v>Merger &amp; Related Restruct. Charges</v>
      </c>
      <c r="E24" s="23">
        <f>IFERROR(AstraZeneca!B41/$D$3,0)</f>
        <v>0</v>
      </c>
      <c r="F24" s="23">
        <f>IFERROR(AstraZeneca!C41/$D$3,0)</f>
        <v>0</v>
      </c>
      <c r="G24" s="23">
        <f>IFERROR(AstraZeneca!D41/$D$3,0)</f>
        <v>0</v>
      </c>
      <c r="H24" s="23">
        <f>IFERROR(AstraZeneca!E41/$D$3,0)</f>
        <v>0</v>
      </c>
      <c r="I24" s="23">
        <f>IFERROR(AstraZeneca!F41/$D$3,0)</f>
        <v>0</v>
      </c>
      <c r="J24" s="23">
        <f>IFERROR(AstraZeneca!G41/$D$3,0)</f>
        <v>0</v>
      </c>
      <c r="K24" s="23">
        <f>IFERROR(AstraZeneca!H41/$D$3,0)</f>
        <v>0</v>
      </c>
      <c r="L24" s="23">
        <f>IFERROR(AstraZeneca!I41/$D$3,0)</f>
        <v>-3314.38</v>
      </c>
      <c r="M24" s="23">
        <f>IFERROR(AstraZeneca!J41/$D$3,0)</f>
        <v>-126.706</v>
      </c>
      <c r="N24" s="23">
        <f>IFERROR(AstraZeneca!K41/$D$3,0)</f>
        <v>0</v>
      </c>
      <c r="O24" s="23"/>
      <c r="P24" s="23"/>
      <c r="Q24" s="23"/>
      <c r="R24" s="23"/>
      <c r="S24" s="23"/>
    </row>
    <row r="25" spans="2:19" x14ac:dyDescent="0.45">
      <c r="B25" s="2" t="s">
        <v>255</v>
      </c>
      <c r="D25" s="2" t="str">
        <f>AstraZeneca!A42</f>
        <v>Gain (Loss) On Sale Of Invest.</v>
      </c>
      <c r="E25" s="23">
        <f>IFERROR(AstraZeneca!B42/$D$3,0)</f>
        <v>-15.327</v>
      </c>
      <c r="F25" s="23">
        <f>IFERROR(AstraZeneca!C42/$D$3,0)</f>
        <v>-18.989000000000001</v>
      </c>
      <c r="G25" s="23">
        <f>IFERROR(AstraZeneca!D42/$D$3,0)</f>
        <v>130.37200000000001</v>
      </c>
      <c r="H25" s="23">
        <f>IFERROR(AstraZeneca!E42/$D$3,0)</f>
        <v>0</v>
      </c>
      <c r="I25" s="23">
        <f>IFERROR(AstraZeneca!F42/$D$3,0)</f>
        <v>0</v>
      </c>
      <c r="J25" s="23">
        <f>IFERROR(AstraZeneca!G42/$D$3,0)</f>
        <v>0</v>
      </c>
      <c r="K25" s="23">
        <f>IFERROR(AstraZeneca!H42/$D$3,0)</f>
        <v>656.46199999999999</v>
      </c>
      <c r="L25" s="23">
        <f>IFERROR(AstraZeneca!I42/$D$3,0)</f>
        <v>0</v>
      </c>
      <c r="M25" s="23">
        <f>IFERROR(AstraZeneca!J42/$D$3,0)</f>
        <v>0</v>
      </c>
      <c r="N25" s="23">
        <f>IFERROR(AstraZeneca!K42/$D$3,0)</f>
        <v>0</v>
      </c>
      <c r="O25" s="23"/>
      <c r="P25" s="23"/>
      <c r="Q25" s="23"/>
      <c r="R25" s="23"/>
      <c r="S25" s="23"/>
    </row>
    <row r="26" spans="2:19" x14ac:dyDescent="0.45">
      <c r="B26" s="2" t="s">
        <v>409</v>
      </c>
      <c r="D26" s="2" t="str">
        <f>AstraZeneca!A43</f>
        <v>Gain (Loss) On Sale Of Assets</v>
      </c>
      <c r="E26" s="23">
        <f>IFERROR(AstraZeneca!B43/$D$3,0)</f>
        <v>943.04200000000003</v>
      </c>
      <c r="F26" s="23">
        <f>IFERROR(AstraZeneca!C43/$D$3,0)</f>
        <v>1202.6659999999999</v>
      </c>
      <c r="G26" s="23">
        <f>IFERROR(AstraZeneca!D43/$D$3,0)</f>
        <v>1367.576</v>
      </c>
      <c r="H26" s="23">
        <f>IFERROR(AstraZeneca!E43/$D$3,0)</f>
        <v>1590.893</v>
      </c>
      <c r="I26" s="23">
        <f>IFERROR(AstraZeneca!F43/$D$3,0)</f>
        <v>1091.654</v>
      </c>
      <c r="J26" s="23">
        <f>IFERROR(AstraZeneca!G43/$D$3,0)</f>
        <v>925.37300000000005</v>
      </c>
      <c r="K26" s="23">
        <f>IFERROR(AstraZeneca!H43/$D$3,0)</f>
        <v>430.59100000000001</v>
      </c>
      <c r="L26" s="23">
        <f>IFERROR(AstraZeneca!I43/$D$3,0)</f>
        <v>205.48400000000001</v>
      </c>
      <c r="M26" s="23">
        <f>IFERROR(AstraZeneca!J43/$D$3,0)</f>
        <v>270.06</v>
      </c>
      <c r="N26" s="23">
        <f>IFERROR(AstraZeneca!K43/$D$3,0)</f>
        <v>55.475000000000001</v>
      </c>
      <c r="O26" s="23"/>
      <c r="P26" s="23"/>
      <c r="Q26" s="23"/>
      <c r="R26" s="23"/>
      <c r="S26" s="23"/>
    </row>
    <row r="27" spans="2:19" x14ac:dyDescent="0.45">
      <c r="B27" s="2" t="s">
        <v>409</v>
      </c>
      <c r="D27" s="2" t="str">
        <f>AstraZeneca!A44</f>
        <v>Asset Writedown</v>
      </c>
      <c r="E27" s="23">
        <f>IFERROR(AstraZeneca!B44/$D$3,0)</f>
        <v>-133.43199999999999</v>
      </c>
      <c r="F27" s="23">
        <f>IFERROR(AstraZeneca!C44/$D$3,0)</f>
        <v>-40.692</v>
      </c>
      <c r="G27" s="23">
        <f>IFERROR(AstraZeneca!D44/$D$3,0)</f>
        <v>-435.46</v>
      </c>
      <c r="H27" s="23">
        <f>IFERROR(AstraZeneca!E44/$D$3,0)</f>
        <v>-578.89200000000005</v>
      </c>
      <c r="I27" s="23">
        <f>IFERROR(AstraZeneca!F44/$D$3,0)</f>
        <v>-925.49400000000003</v>
      </c>
      <c r="J27" s="23">
        <f>IFERROR(AstraZeneca!G44/$D$3,0)</f>
        <v>-221.03700000000001</v>
      </c>
      <c r="K27" s="23">
        <f>IFERROR(AstraZeneca!H44/$D$3,0)</f>
        <v>-1750.2819999999999</v>
      </c>
      <c r="L27" s="23">
        <f>IFERROR(AstraZeneca!I44/$D$3,0)</f>
        <v>-229.267</v>
      </c>
      <c r="M27" s="23">
        <f>IFERROR(AstraZeneca!J44/$D$3,0)</f>
        <v>-401.39100000000002</v>
      </c>
      <c r="N27" s="23">
        <f>IFERROR(AstraZeneca!K44/$D$3,0)</f>
        <v>-1455.297</v>
      </c>
      <c r="O27" s="23"/>
      <c r="P27" s="23"/>
      <c r="Q27" s="23"/>
      <c r="R27" s="23"/>
      <c r="S27" s="23"/>
    </row>
    <row r="28" spans="2:19" x14ac:dyDescent="0.45">
      <c r="B28" s="2" t="s">
        <v>409</v>
      </c>
      <c r="D28" s="2" t="str">
        <f>AstraZeneca!A45</f>
        <v>Legal Settlements</v>
      </c>
      <c r="E28" s="23">
        <f>IFERROR(AstraZeneca!B45/$D$3,0)</f>
        <v>-282.19099999999997</v>
      </c>
      <c r="F28" s="23">
        <f>IFERROR(AstraZeneca!C45/$D$3,0)</f>
        <v>-201.65</v>
      </c>
      <c r="G28" s="23">
        <f>IFERROR(AstraZeneca!D45/$D$3,0)</f>
        <v>-213.739</v>
      </c>
      <c r="H28" s="23">
        <f>IFERROR(AstraZeneca!E45/$D$3,0)</f>
        <v>502.61</v>
      </c>
      <c r="I28" s="23">
        <f>IFERROR(AstraZeneca!F45/$D$3,0)</f>
        <v>-544.93399999999997</v>
      </c>
      <c r="J28" s="23">
        <f>IFERROR(AstraZeneca!G45/$D$3,0)</f>
        <v>7.8940000000000001</v>
      </c>
      <c r="K28" s="23">
        <f>IFERROR(AstraZeneca!H45/$D$3,0)</f>
        <v>-40.606000000000002</v>
      </c>
      <c r="L28" s="23">
        <f>IFERROR(AstraZeneca!I45/$D$3,0)</f>
        <v>-750.58699999999999</v>
      </c>
      <c r="M28" s="23">
        <f>IFERROR(AstraZeneca!J45/$D$3,0)</f>
        <v>-936.88699999999994</v>
      </c>
      <c r="N28" s="23">
        <f>IFERROR(AstraZeneca!K45/$D$3,0)</f>
        <v>-44.38</v>
      </c>
      <c r="O28" s="23"/>
      <c r="P28" s="23"/>
      <c r="Q28" s="23"/>
      <c r="R28" s="23"/>
      <c r="S28" s="23"/>
    </row>
    <row r="29" spans="2:19" x14ac:dyDescent="0.45">
      <c r="B29" s="2" t="s">
        <v>409</v>
      </c>
      <c r="D29" s="2" t="str">
        <f>AstraZeneca!A46</f>
        <v>Other Unusual Items</v>
      </c>
      <c r="E29" s="23">
        <f>IFERROR(AstraZeneca!B46/$D$3,0)</f>
        <v>389.47800000000001</v>
      </c>
      <c r="F29" s="23">
        <f>IFERROR(AstraZeneca!C46/$D$3,0)</f>
        <v>903.35599999999999</v>
      </c>
      <c r="G29" s="23">
        <f>IFERROR(AstraZeneca!D46/$D$3,0)</f>
        <v>-184.47200000000001</v>
      </c>
      <c r="H29" s="23">
        <f>IFERROR(AstraZeneca!E46/$D$3,0)</f>
        <v>435.65199999999999</v>
      </c>
      <c r="I29" s="23">
        <f>IFERROR(AstraZeneca!F46/$D$3,0)</f>
        <v>512.774</v>
      </c>
      <c r="J29" s="23">
        <f>IFERROR(AstraZeneca!G46/$D$3,0)</f>
        <v>170.16300000000001</v>
      </c>
      <c r="K29" s="23">
        <f>IFERROR(AstraZeneca!H46/$D$3,0)</f>
        <v>209.797</v>
      </c>
      <c r="L29" s="23">
        <f>IFERROR(AstraZeneca!I46/$D$3,0)</f>
        <v>-65.641000000000005</v>
      </c>
      <c r="M29" s="23">
        <f>IFERROR(AstraZeneca!J46/$D$3,0)</f>
        <v>246.01400000000001</v>
      </c>
      <c r="N29" s="23">
        <f>IFERROR(AstraZeneca!K46/$D$3,0)</f>
        <v>-240.392</v>
      </c>
      <c r="O29" s="23"/>
      <c r="P29" s="23"/>
      <c r="Q29" s="23"/>
      <c r="R29" s="23"/>
      <c r="S29" s="23"/>
    </row>
    <row r="30" spans="2:19" x14ac:dyDescent="0.45">
      <c r="B30" s="2"/>
      <c r="D30" s="5" t="str">
        <f>AstraZeneca!A47</f>
        <v>EBT Incl. Unusual Items</v>
      </c>
      <c r="E30" s="23">
        <f t="shared" ref="E30:N30" si="4">SUM(E21:E29)</f>
        <v>2766.9170000000013</v>
      </c>
      <c r="F30" s="23">
        <f t="shared" si="4"/>
        <v>3211.9310000000023</v>
      </c>
      <c r="G30" s="23">
        <f t="shared" si="4"/>
        <v>1975.0920000000017</v>
      </c>
      <c r="H30" s="23">
        <f t="shared" si="4"/>
        <v>1689.2109999999993</v>
      </c>
      <c r="I30" s="23">
        <f t="shared" si="4"/>
        <v>1382.8790000000022</v>
      </c>
      <c r="J30" s="23">
        <f t="shared" si="4"/>
        <v>3434.8419999999996</v>
      </c>
      <c r="K30" s="23">
        <f t="shared" si="4"/>
        <v>-224.17800000000082</v>
      </c>
      <c r="L30" s="23">
        <f t="shared" si="4"/>
        <v>2379.2369999999987</v>
      </c>
      <c r="M30" s="23">
        <f t="shared" si="4"/>
        <v>6380.6329999999953</v>
      </c>
      <c r="N30" s="23">
        <f t="shared" si="4"/>
        <v>8035.5700000000033</v>
      </c>
      <c r="O30" s="23"/>
      <c r="P30" s="23"/>
      <c r="Q30" s="23"/>
      <c r="R30" s="23"/>
      <c r="S30" s="23"/>
    </row>
    <row r="31" spans="2:19" x14ac:dyDescent="0.45">
      <c r="B31" s="2"/>
      <c r="D31" s="2"/>
      <c r="E31" s="23"/>
      <c r="F31" s="23"/>
      <c r="G31" s="23"/>
      <c r="H31" s="23"/>
      <c r="I31" s="23"/>
      <c r="J31" s="23"/>
      <c r="K31" s="23"/>
      <c r="L31" s="23"/>
      <c r="M31" s="23"/>
      <c r="N31" s="23"/>
      <c r="O31" s="23"/>
      <c r="P31" s="23"/>
      <c r="Q31" s="23"/>
      <c r="R31" s="23"/>
      <c r="S31" s="23"/>
    </row>
    <row r="32" spans="2:19" x14ac:dyDescent="0.45">
      <c r="B32" s="2" t="s">
        <v>410</v>
      </c>
      <c r="D32" s="2" t="str">
        <f>AstraZeneca!A49</f>
        <v>Income Tax Expense</v>
      </c>
      <c r="E32" s="25">
        <f>AstraZeneca!B49/$D$3</f>
        <v>219.08099999999999</v>
      </c>
      <c r="F32" s="25">
        <f>AstraZeneca!C49/$D$3</f>
        <v>132.02199999999999</v>
      </c>
      <c r="G32" s="25">
        <f>AstraZeneca!D49/$D$3</f>
        <v>-568.49300000000005</v>
      </c>
      <c r="H32" s="25">
        <f>AstraZeneca!E49/$D$3</f>
        <v>-48.311999999999998</v>
      </c>
      <c r="I32" s="25">
        <f>AstraZeneca!F49/$D$3</f>
        <v>286.76</v>
      </c>
      <c r="J32" s="25">
        <f>AstraZeneca!G49/$D$3</f>
        <v>677.14499999999998</v>
      </c>
      <c r="K32" s="25">
        <f>AstraZeneca!H49/$D$3</f>
        <v>-321.46300000000002</v>
      </c>
      <c r="L32" s="25">
        <f>AstraZeneca!I49/$D$3</f>
        <v>-753.44100000000003</v>
      </c>
      <c r="M32" s="25">
        <f>AstraZeneca!J49/$D$3</f>
        <v>867.52200000000005</v>
      </c>
      <c r="N32" s="25">
        <f>AstraZeneca!K49/$D$3</f>
        <v>1525.5650000000001</v>
      </c>
      <c r="O32" s="25"/>
      <c r="P32" s="25"/>
      <c r="Q32" s="25"/>
      <c r="R32" s="25"/>
      <c r="S32" s="25"/>
    </row>
    <row r="33" spans="2:19" x14ac:dyDescent="0.45">
      <c r="B33" s="2" t="s">
        <v>411</v>
      </c>
      <c r="D33" s="2" t="str">
        <f>AstraZeneca!A52</f>
        <v>Minority Int. in Earnings</v>
      </c>
      <c r="E33" s="25">
        <f>AstraZeneca!B52/$D$3</f>
        <v>-0.90200000000000002</v>
      </c>
      <c r="F33" s="25">
        <f>AstraZeneca!C52/$D$3</f>
        <v>84.096000000000004</v>
      </c>
      <c r="G33" s="25">
        <f>AstraZeneca!D52/$D$3</f>
        <v>117.956</v>
      </c>
      <c r="H33" s="25">
        <f>AstraZeneca!E52/$D$3</f>
        <v>88.995000000000005</v>
      </c>
      <c r="I33" s="25">
        <f>AstraZeneca!F52/$D$3</f>
        <v>96.48</v>
      </c>
      <c r="J33" s="25">
        <f>AstraZeneca!G52/$D$3</f>
        <v>45.610999999999997</v>
      </c>
      <c r="K33" s="25">
        <f>AstraZeneca!H52/$D$3</f>
        <v>-2.5379999999999998</v>
      </c>
      <c r="L33" s="25">
        <f>AstraZeneca!I52/$D$3</f>
        <v>-4.7569999999999997</v>
      </c>
      <c r="M33" s="25">
        <f>AstraZeneca!J52/$D$3</f>
        <v>-5.5490000000000004</v>
      </c>
      <c r="N33" s="25">
        <f>AstraZeneca!K52/$D$3</f>
        <v>-5.548</v>
      </c>
      <c r="O33" s="23"/>
      <c r="P33" s="23"/>
      <c r="Q33" s="23"/>
      <c r="R33" s="23"/>
      <c r="S33" s="23"/>
    </row>
    <row r="34" spans="2:19" x14ac:dyDescent="0.45">
      <c r="B34" s="2" t="s">
        <v>412</v>
      </c>
      <c r="D34" s="1" t="str">
        <f>AstraZeneca!A53</f>
        <v>Net Income</v>
      </c>
      <c r="E34" s="24">
        <f t="shared" ref="E34:N34" si="5">E30-E32+E33</f>
        <v>2546.9340000000011</v>
      </c>
      <c r="F34" s="24">
        <f t="shared" si="5"/>
        <v>3164.0050000000024</v>
      </c>
      <c r="G34" s="24">
        <f t="shared" si="5"/>
        <v>2661.541000000002</v>
      </c>
      <c r="H34" s="24">
        <f t="shared" si="5"/>
        <v>1826.5179999999991</v>
      </c>
      <c r="I34" s="24">
        <f t="shared" si="5"/>
        <v>1192.5990000000022</v>
      </c>
      <c r="J34" s="24">
        <f t="shared" si="5"/>
        <v>2803.3079999999995</v>
      </c>
      <c r="K34" s="24">
        <f t="shared" si="5"/>
        <v>94.746999999999204</v>
      </c>
      <c r="L34" s="24">
        <f t="shared" si="5"/>
        <v>3127.9209999999989</v>
      </c>
      <c r="M34" s="24">
        <f t="shared" si="5"/>
        <v>5507.5619999999954</v>
      </c>
      <c r="N34" s="24">
        <f t="shared" si="5"/>
        <v>6504.4570000000031</v>
      </c>
    </row>
    <row r="35" spans="2:19" x14ac:dyDescent="0.45">
      <c r="B35" s="2"/>
      <c r="D35" s="2"/>
      <c r="E35" s="25"/>
      <c r="F35" s="25"/>
      <c r="G35" s="25"/>
      <c r="H35" s="25"/>
      <c r="I35" s="25"/>
      <c r="J35" s="25"/>
      <c r="K35" s="25"/>
      <c r="L35" s="25"/>
      <c r="M35" s="25"/>
      <c r="N35" s="25"/>
      <c r="O35" s="25"/>
      <c r="P35" s="25"/>
      <c r="Q35" s="25"/>
      <c r="R35" s="25"/>
      <c r="S35" s="25"/>
    </row>
    <row r="37" spans="2:19" ht="15" customHeight="1" x14ac:dyDescent="0.45">
      <c r="B37" s="5"/>
      <c r="D37" s="485" t="s">
        <v>442</v>
      </c>
      <c r="E37" s="23"/>
      <c r="F37" s="23"/>
      <c r="G37" s="23"/>
      <c r="H37" s="23"/>
      <c r="I37" s="23"/>
      <c r="J37" s="23"/>
      <c r="K37" s="23"/>
      <c r="L37" s="23"/>
      <c r="M37" s="23"/>
      <c r="N37" s="23"/>
      <c r="O37" s="23"/>
      <c r="P37" s="23"/>
      <c r="Q37" s="23"/>
      <c r="R37" s="23"/>
      <c r="S37" s="23"/>
    </row>
    <row r="38" spans="2:19" ht="15" customHeight="1" x14ac:dyDescent="0.45">
      <c r="B38" s="2"/>
      <c r="D38" s="510" t="s">
        <v>549</v>
      </c>
      <c r="E38" s="25">
        <f>+IFERROR(AstraZeneca!B81/$D$3,0)</f>
        <v>305.63200000000001</v>
      </c>
      <c r="F38" s="25">
        <f>+IFERROR(AstraZeneca!C81/$D$3,0)</f>
        <v>294.78899999999999</v>
      </c>
      <c r="G38" s="25">
        <f>+IFERROR(AstraZeneca!D81/$D$3,0)</f>
        <v>274.93400000000003</v>
      </c>
      <c r="H38" s="25">
        <f>+IFERROR(AstraZeneca!E81/$D$3,0)</f>
        <v>280.54599999999999</v>
      </c>
      <c r="I38" s="25">
        <f>+IFERROR(AstraZeneca!F81/$D$3,0)</f>
        <v>302.83999999999997</v>
      </c>
      <c r="J38" s="25">
        <f>+IFERROR(AstraZeneca!G81/$D$3,0)</f>
        <v>349.97500000000002</v>
      </c>
      <c r="K38" s="25">
        <f>+IFERROR(AstraZeneca!H81/$D$3,0)</f>
        <v>377.29599999999999</v>
      </c>
      <c r="L38" s="25">
        <f>+IFERROR(AstraZeneca!I81/$D$3,0)</f>
        <v>508.00200000000001</v>
      </c>
      <c r="M38" s="25">
        <f>+IFERROR(AstraZeneca!J81/$D$3,0)</f>
        <v>498.50099999999998</v>
      </c>
      <c r="N38" s="25">
        <f>+IFERROR(AstraZeneca!K81/$D$3,0)</f>
        <v>513.14499999999998</v>
      </c>
      <c r="O38" s="25"/>
      <c r="P38" s="25"/>
      <c r="Q38" s="25"/>
      <c r="R38" s="25"/>
      <c r="S38" s="25"/>
    </row>
    <row r="39" spans="2:19" ht="15" customHeight="1" x14ac:dyDescent="0.45">
      <c r="B39" s="2"/>
      <c r="D39" s="510" t="s">
        <v>550</v>
      </c>
      <c r="E39" s="25">
        <f>+IFERROR(AstraZeneca!B82/$D$3,0)</f>
        <v>5507.6869999999999</v>
      </c>
      <c r="F39" s="25">
        <f>+IFERROR(AstraZeneca!C82/$D$3,0)</f>
        <v>5403.8590000000004</v>
      </c>
      <c r="G39" s="25">
        <f>+IFERROR(AstraZeneca!D82/$D$3,0)</f>
        <v>5182.9539999999997</v>
      </c>
      <c r="H39" s="25">
        <f>+IFERROR(AstraZeneca!E82/$D$3,0)</f>
        <v>5095.6049999999996</v>
      </c>
      <c r="I39" s="25">
        <f>+IFERROR(AstraZeneca!F82/$D$3,0)</f>
        <v>5475.2420000000002</v>
      </c>
      <c r="J39" s="25">
        <f>+IFERROR(AstraZeneca!G82/$D$3,0)</f>
        <v>5308.3940000000002</v>
      </c>
      <c r="K39" s="25">
        <f>+IFERROR(AstraZeneca!H82/$D$3,0)</f>
        <v>8304.7459999999992</v>
      </c>
      <c r="L39" s="25">
        <f>+IFERROR(AstraZeneca!I82/$D$3,0)</f>
        <v>9359.0329999999994</v>
      </c>
      <c r="M39" s="25">
        <f>+IFERROR(AstraZeneca!J82/$D$3,0)</f>
        <v>10187.370999999999</v>
      </c>
      <c r="N39" s="25">
        <f>+IFERROR(AstraZeneca!K82/$D$3,0)</f>
        <v>12638.154</v>
      </c>
      <c r="O39" s="25"/>
      <c r="P39" s="25"/>
      <c r="Q39" s="25"/>
      <c r="R39" s="25"/>
      <c r="S39" s="25"/>
    </row>
    <row r="40" spans="2:19" ht="15" customHeight="1" x14ac:dyDescent="0.45">
      <c r="B40" s="2"/>
      <c r="D40" s="510" t="s">
        <v>551</v>
      </c>
      <c r="E40" s="25">
        <f>+IFERROR(AstraZeneca!B83/$D$3,0)</f>
        <v>166.79</v>
      </c>
      <c r="F40" s="25">
        <f>+IFERROR(AstraZeneca!C83/$D$3,0)</f>
        <v>157.34100000000001</v>
      </c>
      <c r="G40" s="25">
        <f>+IFERROR(AstraZeneca!D83/$D$3,0)</f>
        <v>155.20500000000001</v>
      </c>
      <c r="H40" s="25">
        <f>+IFERROR(AstraZeneca!E83/$D$3,0)</f>
        <v>159.34399999999999</v>
      </c>
      <c r="I40" s="25">
        <f>+IFERROR(AstraZeneca!F83/$D$3,0)</f>
        <v>-1.7869999999999999</v>
      </c>
      <c r="J40" s="25">
        <f>+IFERROR(AstraZeneca!G83/$D$3,0)</f>
        <v>0</v>
      </c>
      <c r="K40" s="25">
        <f>+IFERROR(AstraZeneca!H83/$D$3,0)</f>
        <v>0</v>
      </c>
      <c r="L40" s="25">
        <f>+IFERROR(AstraZeneca!I83/$D$3,0)</f>
        <v>0</v>
      </c>
      <c r="M40" s="25">
        <f>+IFERROR(AstraZeneca!J83/$D$3,0)</f>
        <v>0</v>
      </c>
      <c r="N40" s="25">
        <f>+IFERROR(AstraZeneca!K83/$D$3,0)</f>
        <v>0</v>
      </c>
      <c r="O40" s="25"/>
      <c r="P40" s="25"/>
      <c r="Q40" s="25"/>
      <c r="R40" s="25"/>
      <c r="S40" s="25"/>
    </row>
    <row r="41" spans="2:19" ht="15" customHeight="1" x14ac:dyDescent="0.45">
      <c r="B41" s="2"/>
      <c r="D41" s="510" t="s">
        <v>552</v>
      </c>
      <c r="E41" s="25">
        <f>+IFERROR(AstraZeneca!B84/$D$3,0)</f>
        <v>40.347000000000001</v>
      </c>
      <c r="F41" s="25">
        <f>+IFERROR(AstraZeneca!C84/$D$3,0)</f>
        <v>45.808999999999997</v>
      </c>
      <c r="G41" s="25">
        <f>+IFERROR(AstraZeneca!D84/$D$3,0)</f>
        <v>42.825000000000003</v>
      </c>
      <c r="H41" s="25">
        <f>+IFERROR(AstraZeneca!E84/$D$3,0)</f>
        <v>46.673999999999999</v>
      </c>
      <c r="I41" s="25">
        <f>+IFERROR(AstraZeneca!F84/$D$3,0)</f>
        <v>-0.53800000000000003</v>
      </c>
      <c r="J41" s="25">
        <f>+IFERROR(AstraZeneca!G84/$D$3,0)</f>
        <v>0</v>
      </c>
      <c r="K41" s="25">
        <f>+IFERROR(AstraZeneca!H84/$D$3,0)</f>
        <v>0</v>
      </c>
      <c r="L41" s="25">
        <f>+IFERROR(AstraZeneca!I84/$D$3,0)</f>
        <v>0</v>
      </c>
      <c r="M41" s="25">
        <f>+IFERROR(AstraZeneca!J84/$D$3,0)</f>
        <v>0</v>
      </c>
      <c r="N41" s="25">
        <f>+IFERROR(AstraZeneca!K84/$D$3,0)</f>
        <v>0</v>
      </c>
      <c r="O41" s="25"/>
      <c r="P41" s="25"/>
      <c r="Q41" s="25"/>
      <c r="R41" s="25"/>
      <c r="S41" s="25"/>
    </row>
    <row r="42" spans="2:19" ht="15" customHeight="1" x14ac:dyDescent="0.45">
      <c r="B42" s="2"/>
      <c r="D42" s="510" t="s">
        <v>553</v>
      </c>
      <c r="E42" s="25">
        <f>+IFERROR(AstraZeneca!B85/$D$3,0)</f>
        <v>126.443</v>
      </c>
      <c r="F42" s="25">
        <f>+IFERROR(AstraZeneca!C85/$D$3,0)</f>
        <v>111.532</v>
      </c>
      <c r="G42" s="25">
        <f>+IFERROR(AstraZeneca!D85/$D$3,0)</f>
        <v>112.379</v>
      </c>
      <c r="H42" s="25">
        <f>+IFERROR(AstraZeneca!E85/$D$3,0)</f>
        <v>112.67</v>
      </c>
      <c r="I42" s="25">
        <f>+IFERROR(AstraZeneca!F85/$D$3,0)</f>
        <v>-1.248</v>
      </c>
      <c r="J42" s="25">
        <f>+IFERROR(AstraZeneca!G85/$D$3,0)</f>
        <v>0</v>
      </c>
      <c r="K42" s="25">
        <f>+IFERROR(AstraZeneca!H85/$D$3,0)</f>
        <v>0</v>
      </c>
      <c r="L42" s="25">
        <f>+IFERROR(AstraZeneca!I85/$D$3,0)</f>
        <v>0</v>
      </c>
      <c r="M42" s="25">
        <f>+IFERROR(AstraZeneca!J85/$D$3,0)</f>
        <v>0</v>
      </c>
      <c r="N42" s="25">
        <f>+IFERROR(AstraZeneca!K85/$D$3,0)</f>
        <v>0</v>
      </c>
      <c r="O42" s="25"/>
      <c r="P42" s="25"/>
      <c r="Q42" s="25"/>
      <c r="R42" s="25"/>
      <c r="S42" s="25"/>
    </row>
    <row r="43" spans="2:19" ht="15" customHeight="1" x14ac:dyDescent="0.45">
      <c r="B43" s="2"/>
      <c r="D43" s="510" t="s">
        <v>554</v>
      </c>
      <c r="E43" s="25">
        <f>+IFERROR(AstraZeneca!B86/$D$3,0)</f>
        <v>190.23099999999999</v>
      </c>
      <c r="F43" s="25">
        <f>+IFERROR(AstraZeneca!C86/$D$3,0)</f>
        <v>217.92699999999999</v>
      </c>
      <c r="G43" s="25">
        <f>+IFERROR(AstraZeneca!D86/$D$3,0)</f>
        <v>195.11500000000001</v>
      </c>
      <c r="H43" s="25">
        <f>+IFERROR(AstraZeneca!E86/$D$3,0)</f>
        <v>185.61799999999999</v>
      </c>
      <c r="I43" s="25">
        <f>+IFERROR(AstraZeneca!F86/$D$3,0)</f>
        <v>231.37299999999999</v>
      </c>
      <c r="J43" s="25">
        <f>+IFERROR(AstraZeneca!G86/$D$3,0)</f>
        <v>242.965</v>
      </c>
      <c r="K43" s="25">
        <f>+IFERROR(AstraZeneca!H86/$D$3,0)</f>
        <v>520.26300000000003</v>
      </c>
      <c r="L43" s="25">
        <f>+IFERROR(AstraZeneca!I86/$D$3,0)</f>
        <v>588.86400000000003</v>
      </c>
      <c r="M43" s="25">
        <f>+IFERROR(AstraZeneca!J86/$D$3,0)</f>
        <v>535.49599999999998</v>
      </c>
      <c r="N43" s="25">
        <f>+IFERROR(AstraZeneca!K86/$D$3,0)</f>
        <v>610.226</v>
      </c>
      <c r="O43" s="25"/>
      <c r="P43" s="25"/>
      <c r="Q43" s="25"/>
      <c r="R43" s="25"/>
      <c r="S43" s="25"/>
    </row>
    <row r="44" spans="2:19" ht="15" customHeight="1" x14ac:dyDescent="0.45">
      <c r="B44" s="2"/>
      <c r="D44" s="31" t="s">
        <v>555</v>
      </c>
      <c r="E44" s="25">
        <f>+AstraZeneca!B128/$D$3</f>
        <v>2996.817</v>
      </c>
      <c r="F44" s="25">
        <f>+AstraZeneca!C128/$D$3</f>
        <v>3748.1579999999999</v>
      </c>
      <c r="G44" s="25">
        <f>+AstraZeneca!D128/$D$3</f>
        <v>3173.2730000000001</v>
      </c>
      <c r="H44" s="25">
        <f>+AstraZeneca!E128/$D$3</f>
        <v>2218.9450000000002</v>
      </c>
      <c r="I44" s="25">
        <f>+AstraZeneca!F128/$D$3</f>
        <v>2652.308</v>
      </c>
      <c r="J44" s="25">
        <f>+AstraZeneca!G128/$D$3</f>
        <v>4209.3490000000002</v>
      </c>
      <c r="K44" s="25">
        <f>+AstraZeneca!H128/$D$3</f>
        <v>5044.433</v>
      </c>
      <c r="L44" s="25">
        <f>+AstraZeneca!I128/$D$3</f>
        <v>9330.4940000000006</v>
      </c>
      <c r="M44" s="25">
        <f>+AstraZeneca!J128/$D$3</f>
        <v>9567.7129999999997</v>
      </c>
      <c r="N44" s="25">
        <f>+AstraZeneca!K128/$D$3</f>
        <v>10966.504000000001</v>
      </c>
      <c r="O44" s="25"/>
      <c r="P44" s="25"/>
      <c r="Q44" s="25"/>
      <c r="R44" s="25"/>
      <c r="S44" s="25"/>
    </row>
    <row r="45" spans="2:19" ht="15" customHeight="1" x14ac:dyDescent="0.45">
      <c r="B45" s="2"/>
      <c r="D45" s="31" t="s">
        <v>556</v>
      </c>
      <c r="E45" s="25">
        <f>+AstraZeneca!B117/'Astra Zeneca FS'!$D$3</f>
        <v>2268.348</v>
      </c>
      <c r="F45" s="25">
        <f>+AstraZeneca!C117/'Astra Zeneca FS'!$D$3</f>
        <v>1972.191</v>
      </c>
      <c r="G45" s="25">
        <f>+AstraZeneca!D117/'Astra Zeneca FS'!$D$3</f>
        <v>2057.5720000000001</v>
      </c>
      <c r="H45" s="25">
        <f>+AstraZeneca!E117/'Astra Zeneca FS'!$D$3</f>
        <v>2314.7199999999998</v>
      </c>
      <c r="I45" s="25">
        <f>+AstraZeneca!F117/'Astra Zeneca FS'!$D$3</f>
        <v>2424.5079999999998</v>
      </c>
      <c r="J45" s="25">
        <f>+AstraZeneca!G117/'Astra Zeneca FS'!$D$3</f>
        <v>2486.665</v>
      </c>
      <c r="K45" s="25">
        <f>+AstraZeneca!H117/'Astra Zeneca FS'!$D$3</f>
        <v>3416.8139999999999</v>
      </c>
      <c r="L45" s="25">
        <f>+AstraZeneca!I117/'Astra Zeneca FS'!$D$3</f>
        <v>4925.9070000000002</v>
      </c>
      <c r="M45" s="25">
        <f>+AstraZeneca!J117/'Astra Zeneca FS'!$D$3</f>
        <v>4486.5129999999999</v>
      </c>
      <c r="N45" s="25">
        <f>+AstraZeneca!K117/'Astra Zeneca FS'!$D$3</f>
        <v>4605.3580000000002</v>
      </c>
      <c r="O45" s="25"/>
      <c r="P45" s="25"/>
      <c r="Q45" s="25"/>
      <c r="R45" s="25"/>
      <c r="S45" s="25"/>
    </row>
    <row r="46" spans="2:19" ht="15" customHeight="1" x14ac:dyDescent="0.45">
      <c r="B46" s="2"/>
      <c r="D46" s="31"/>
      <c r="E46" s="25"/>
      <c r="F46" s="25"/>
      <c r="G46" s="25"/>
      <c r="H46" s="25"/>
      <c r="I46" s="25"/>
      <c r="J46" s="25"/>
      <c r="K46" s="25"/>
      <c r="L46" s="25"/>
      <c r="M46" s="25"/>
      <c r="N46" s="25"/>
      <c r="O46" s="25"/>
      <c r="P46" s="25"/>
      <c r="Q46" s="25"/>
      <c r="R46" s="25"/>
      <c r="S46" s="25"/>
    </row>
    <row r="47" spans="2:19" ht="15" customHeight="1" x14ac:dyDescent="0.45">
      <c r="B47" s="2"/>
      <c r="D47" s="31"/>
      <c r="E47" s="25"/>
      <c r="F47" s="25"/>
      <c r="G47" s="25"/>
      <c r="H47" s="25"/>
      <c r="I47" s="25"/>
      <c r="J47" s="25"/>
      <c r="K47" s="25"/>
      <c r="L47" s="25"/>
      <c r="M47" s="25"/>
      <c r="N47" s="25"/>
      <c r="O47" s="25"/>
      <c r="P47" s="25"/>
      <c r="Q47" s="25"/>
      <c r="R47" s="25"/>
      <c r="S47" s="25"/>
    </row>
    <row r="48" spans="2:19" x14ac:dyDescent="0.45">
      <c r="B48" s="2"/>
      <c r="D48" s="2"/>
      <c r="E48" s="25"/>
      <c r="F48" s="25"/>
      <c r="G48" s="25"/>
      <c r="H48" s="25"/>
      <c r="I48" s="25"/>
      <c r="J48" s="25"/>
      <c r="K48" s="25"/>
      <c r="L48" s="25"/>
      <c r="M48" s="25"/>
      <c r="N48" s="25"/>
      <c r="O48" s="25"/>
      <c r="P48" s="25"/>
      <c r="Q48" s="25"/>
      <c r="R48" s="25"/>
      <c r="S48" s="25"/>
    </row>
    <row r="50" spans="2:19" x14ac:dyDescent="0.45">
      <c r="B50" s="3"/>
      <c r="D50" s="4" t="s">
        <v>448</v>
      </c>
      <c r="E50" s="23"/>
      <c r="F50" s="23"/>
      <c r="G50" s="23"/>
      <c r="H50" s="23"/>
      <c r="I50" s="23"/>
      <c r="J50" s="23"/>
      <c r="K50" s="23"/>
      <c r="L50" s="23"/>
      <c r="M50" s="23"/>
      <c r="N50" s="23"/>
      <c r="O50" s="23"/>
      <c r="P50" s="23"/>
      <c r="Q50" s="23"/>
      <c r="R50" s="23"/>
      <c r="S50" s="23"/>
    </row>
    <row r="51" spans="2:19" x14ac:dyDescent="0.45">
      <c r="D51" s="484"/>
      <c r="E51" s="23"/>
      <c r="F51" s="23"/>
      <c r="G51" s="23"/>
      <c r="H51" s="23"/>
      <c r="I51" s="23"/>
      <c r="J51" s="23"/>
      <c r="K51" s="23"/>
      <c r="L51" s="23"/>
      <c r="M51" s="23"/>
      <c r="N51" s="23"/>
      <c r="O51" s="23"/>
      <c r="P51" s="23"/>
      <c r="Q51" s="23"/>
      <c r="R51" s="23"/>
      <c r="S51" s="23"/>
    </row>
    <row r="52" spans="2:19" x14ac:dyDescent="0.45">
      <c r="B52" s="2" t="s">
        <v>278</v>
      </c>
      <c r="D52" s="2" t="str">
        <f>AstraZeneca!A199</f>
        <v>Net Property, Plant &amp; Equipment</v>
      </c>
      <c r="E52" s="25">
        <f>AstraZeneca!B199/$D$3</f>
        <v>5904.4489999999996</v>
      </c>
      <c r="F52" s="25">
        <f>AstraZeneca!C199/$D$3</f>
        <v>6493.2740000000003</v>
      </c>
      <c r="G52" s="25">
        <f>AstraZeneca!D199/$D$3</f>
        <v>6341.7719999999999</v>
      </c>
      <c r="H52" s="25">
        <f>AstraZeneca!E199/$D$3</f>
        <v>6481.5010000000002</v>
      </c>
      <c r="I52" s="25">
        <f>AstraZeneca!F199/$D$3</f>
        <v>7427.3190000000004</v>
      </c>
      <c r="J52" s="25">
        <f>AstraZeneca!G199/$D$3</f>
        <v>7289.6480000000001</v>
      </c>
      <c r="K52" s="25">
        <f>AstraZeneca!H199/$D$3</f>
        <v>8943.36</v>
      </c>
      <c r="L52" s="25">
        <f>AstraZeneca!I199/$D$3</f>
        <v>8841.4290000000001</v>
      </c>
      <c r="M52" s="25">
        <f>AstraZeneca!J199/$D$3</f>
        <v>9501.1589999999997</v>
      </c>
      <c r="N52" s="25">
        <f>AstraZeneca!K199/$D$3</f>
        <v>11249.837</v>
      </c>
      <c r="O52" s="25"/>
      <c r="P52" s="25"/>
      <c r="Q52" s="25"/>
      <c r="R52" s="25"/>
      <c r="S52" s="25"/>
    </row>
    <row r="53" spans="2:19" x14ac:dyDescent="0.45">
      <c r="B53" s="2" t="s">
        <v>280</v>
      </c>
      <c r="D53" s="2" t="str">
        <f>AstraZeneca!A200</f>
        <v>Long-term Investments</v>
      </c>
      <c r="E53" s="25">
        <f>AstraZeneca!B200/$D$3</f>
        <v>615.94799999999998</v>
      </c>
      <c r="F53" s="25">
        <f>AstraZeneca!C200/$D$3</f>
        <v>844.846</v>
      </c>
      <c r="G53" s="25">
        <f>AstraZeneca!D200/$D$3</f>
        <v>932.73599999999999</v>
      </c>
      <c r="H53" s="25">
        <f>AstraZeneca!E200/$D$3</f>
        <v>854.18499999999995</v>
      </c>
      <c r="I53" s="25">
        <f>AstraZeneca!F200/$D$3</f>
        <v>1347.3430000000001</v>
      </c>
      <c r="J53" s="25">
        <f>AstraZeneca!G200/$D$3</f>
        <v>974.46</v>
      </c>
      <c r="K53" s="25">
        <f>AstraZeneca!H200/$D$3</f>
        <v>1109.6769999999999</v>
      </c>
      <c r="L53" s="25">
        <f>AstraZeneca!I200/$D$3</f>
        <v>1068.569</v>
      </c>
      <c r="M53" s="25">
        <f>AstraZeneca!J200/$D$3</f>
        <v>1517.182</v>
      </c>
      <c r="N53" s="25">
        <f>AstraZeneca!K200/$D$3</f>
        <v>1835.21</v>
      </c>
      <c r="O53" s="25"/>
      <c r="P53" s="25"/>
      <c r="Q53" s="25"/>
      <c r="R53" s="25"/>
      <c r="S53" s="25"/>
    </row>
    <row r="54" spans="2:19" x14ac:dyDescent="0.45">
      <c r="B54" s="2" t="s">
        <v>279</v>
      </c>
      <c r="D54" s="2" t="str">
        <f>AstraZeneca!A201</f>
        <v>Goodwill</v>
      </c>
      <c r="E54" s="25">
        <f>AstraZeneca!B201/$D$3</f>
        <v>10864.26</v>
      </c>
      <c r="F54" s="25">
        <f>AstraZeneca!C201/$D$3</f>
        <v>11054.116</v>
      </c>
      <c r="G54" s="25">
        <f>AstraZeneca!D201/$D$3</f>
        <v>9847.86</v>
      </c>
      <c r="H54" s="25">
        <f>AstraZeneca!E201/$D$3</f>
        <v>10224.894</v>
      </c>
      <c r="I54" s="25">
        <f>AstraZeneca!F201/$D$3</f>
        <v>10397.355</v>
      </c>
      <c r="J54" s="25">
        <f>AstraZeneca!G201/$D$3</f>
        <v>9683.2880000000005</v>
      </c>
      <c r="K54" s="25">
        <f>AstraZeneca!H201/$D$3</f>
        <v>17583.362000000001</v>
      </c>
      <c r="L54" s="25">
        <f>AstraZeneca!I201/$D$3</f>
        <v>18545.574000000001</v>
      </c>
      <c r="M54" s="25">
        <f>AstraZeneca!J201/$D$3</f>
        <v>18137.425999999999</v>
      </c>
      <c r="N54" s="25">
        <f>AstraZeneca!K201/$D$3</f>
        <v>20308.047999999999</v>
      </c>
      <c r="O54" s="25"/>
      <c r="P54" s="25"/>
      <c r="Q54" s="25"/>
      <c r="R54" s="25"/>
      <c r="S54" s="25"/>
    </row>
    <row r="55" spans="2:19" x14ac:dyDescent="0.45">
      <c r="B55" s="2" t="s">
        <v>279</v>
      </c>
      <c r="D55" s="2" t="str">
        <f>AstraZeneca!A202</f>
        <v>Other Intangibles</v>
      </c>
      <c r="E55" s="25">
        <f>AstraZeneca!B202/$D$3</f>
        <v>20850.171999999999</v>
      </c>
      <c r="F55" s="25">
        <f>AstraZeneca!C202/$D$3</f>
        <v>26157.044999999998</v>
      </c>
      <c r="G55" s="25">
        <f>AstraZeneca!D202/$D$3</f>
        <v>21809.366000000002</v>
      </c>
      <c r="H55" s="25">
        <f>AstraZeneca!E202/$D$3</f>
        <v>19178.991000000002</v>
      </c>
      <c r="I55" s="25">
        <f>AstraZeneca!F202/$D$3</f>
        <v>18564.286</v>
      </c>
      <c r="J55" s="25">
        <f>AstraZeneca!G202/$D$3</f>
        <v>17124.172999999999</v>
      </c>
      <c r="K55" s="25">
        <f>AstraZeneca!H202/$D$3</f>
        <v>37270.889000000003</v>
      </c>
      <c r="L55" s="25">
        <f>AstraZeneca!I202/$D$3</f>
        <v>36779.56</v>
      </c>
      <c r="M55" s="25">
        <f>AstraZeneca!J202/$D$3</f>
        <v>34459.118000000002</v>
      </c>
      <c r="N55" s="25">
        <f>AstraZeneca!K202/$D$3</f>
        <v>35909.264000000003</v>
      </c>
      <c r="O55" s="25"/>
      <c r="P55" s="25"/>
      <c r="Q55" s="25"/>
      <c r="R55" s="25"/>
      <c r="S55" s="25"/>
    </row>
    <row r="56" spans="2:19" x14ac:dyDescent="0.45">
      <c r="B56" s="2" t="s">
        <v>281</v>
      </c>
      <c r="D56" s="2" t="str">
        <f>AstraZeneca!A203</f>
        <v>Deferred Tax Assets, LT</v>
      </c>
      <c r="E56" s="25">
        <f>AstraZeneca!B203/$D$3</f>
        <v>1191.386</v>
      </c>
      <c r="F56" s="25">
        <f>AstraZeneca!C203/$D$3</f>
        <v>1044.9159999999999</v>
      </c>
      <c r="G56" s="25">
        <f>AstraZeneca!D203/$D$3</f>
        <v>1822.999</v>
      </c>
      <c r="H56" s="25">
        <f>AstraZeneca!E203/$D$3</f>
        <v>2077.819</v>
      </c>
      <c r="I56" s="25">
        <f>AstraZeneca!F203/$D$3</f>
        <v>2422.0100000000002</v>
      </c>
      <c r="J56" s="25">
        <f>AstraZeneca!G203/$D$3</f>
        <v>2810.5650000000001</v>
      </c>
      <c r="K56" s="25">
        <f>AstraZeneca!H203/$D$3</f>
        <v>3807.3690000000001</v>
      </c>
      <c r="L56" s="25">
        <f>AstraZeneca!I203/$D$3</f>
        <v>3053.1889999999999</v>
      </c>
      <c r="M56" s="25">
        <f>AstraZeneca!J203/$D$3</f>
        <v>4268.375</v>
      </c>
      <c r="N56" s="25">
        <f>AstraZeneca!K203/$D$3</f>
        <v>5164.6670000000004</v>
      </c>
      <c r="O56" s="25"/>
      <c r="P56" s="25"/>
      <c r="Q56" s="25"/>
      <c r="R56" s="25"/>
      <c r="S56" s="25"/>
    </row>
    <row r="57" spans="2:19" x14ac:dyDescent="0.45">
      <c r="B57" s="2" t="s">
        <v>278</v>
      </c>
      <c r="D57" s="2" t="str">
        <f>AstraZeneca!A204</f>
        <v>Other Long-Term Assets</v>
      </c>
      <c r="E57" s="25">
        <f>AstraZeneca!B204/$D$3</f>
        <v>1129.6990000000001</v>
      </c>
      <c r="F57" s="25">
        <f>AstraZeneca!C204/$D$3</f>
        <v>1117.9280000000001</v>
      </c>
      <c r="G57" s="25">
        <f>AstraZeneca!D204/$D$3</f>
        <v>1055.1579999999999</v>
      </c>
      <c r="H57" s="25">
        <f>AstraZeneca!E204/$D$3</f>
        <v>538.01400000000001</v>
      </c>
      <c r="I57" s="25">
        <f>AstraZeneca!F204/$D$3</f>
        <v>666.54300000000001</v>
      </c>
      <c r="J57" s="25">
        <f>AstraZeneca!G204/$D$3</f>
        <v>691.60500000000002</v>
      </c>
      <c r="K57" s="25">
        <f>AstraZeneca!H204/$D$3</f>
        <v>854.68</v>
      </c>
      <c r="L57" s="25">
        <f>AstraZeneca!I204/$D$3</f>
        <v>850.55100000000004</v>
      </c>
      <c r="M57" s="25">
        <f>AstraZeneca!J204/$D$3</f>
        <v>932.74599999999998</v>
      </c>
      <c r="N57" s="25">
        <f>AstraZeneca!K204/$D$3</f>
        <v>1074.0809999999999</v>
      </c>
      <c r="O57" s="25"/>
      <c r="P57" s="25"/>
      <c r="Q57" s="25"/>
      <c r="R57" s="25"/>
      <c r="S57" s="25"/>
    </row>
    <row r="58" spans="2:19" x14ac:dyDescent="0.45">
      <c r="B58" s="2"/>
      <c r="D58" s="5" t="s">
        <v>460</v>
      </c>
      <c r="E58" s="477">
        <f t="shared" ref="E58:N58" si="6">SUM(E52:E57)</f>
        <v>40555.913999999997</v>
      </c>
      <c r="F58" s="477">
        <f t="shared" si="6"/>
        <v>46712.125</v>
      </c>
      <c r="G58" s="477">
        <f t="shared" si="6"/>
        <v>41809.891000000011</v>
      </c>
      <c r="H58" s="477">
        <f t="shared" si="6"/>
        <v>39355.40400000001</v>
      </c>
      <c r="I58" s="477">
        <f t="shared" si="6"/>
        <v>40824.856</v>
      </c>
      <c r="J58" s="477">
        <f t="shared" si="6"/>
        <v>38573.739000000009</v>
      </c>
      <c r="K58" s="477">
        <f t="shared" si="6"/>
        <v>69569.337</v>
      </c>
      <c r="L58" s="477">
        <f t="shared" si="6"/>
        <v>69138.872000000003</v>
      </c>
      <c r="M58" s="477">
        <f t="shared" si="6"/>
        <v>68816.006000000008</v>
      </c>
      <c r="N58" s="477">
        <f t="shared" si="6"/>
        <v>75541.107000000004</v>
      </c>
      <c r="O58" s="23"/>
      <c r="P58" s="23"/>
      <c r="Q58" s="23"/>
      <c r="R58" s="23"/>
      <c r="S58" s="23"/>
    </row>
    <row r="59" spans="2:19" x14ac:dyDescent="0.45">
      <c r="B59" s="2"/>
      <c r="D59" s="2"/>
      <c r="E59" s="25"/>
      <c r="F59" s="25"/>
      <c r="G59" s="25"/>
      <c r="H59" s="25"/>
      <c r="I59" s="25"/>
      <c r="J59" s="25"/>
      <c r="K59" s="25"/>
      <c r="L59" s="25"/>
      <c r="M59" s="25"/>
      <c r="N59" s="25"/>
      <c r="O59" s="25"/>
      <c r="P59" s="25"/>
      <c r="Q59" s="25"/>
      <c r="R59" s="25"/>
      <c r="S59" s="25"/>
    </row>
    <row r="60" spans="2:19" x14ac:dyDescent="0.45">
      <c r="B60" s="2" t="s">
        <v>285</v>
      </c>
      <c r="D60" s="2" t="str">
        <f>AstraZeneca!A185</f>
        <v>Cash and Equivalents</v>
      </c>
      <c r="E60" s="25">
        <f>IFERROR(AstraZeneca!B185/$D$3,0)</f>
        <v>5745.1679999999997</v>
      </c>
      <c r="F60" s="25">
        <f>IFERROR(AstraZeneca!C185/$D$3,0)</f>
        <v>4758.0680000000002</v>
      </c>
      <c r="G60" s="25">
        <f>IFERROR(AstraZeneca!D185/$D$3,0)</f>
        <v>2768.2269999999999</v>
      </c>
      <c r="H60" s="25">
        <f>IFERROR(AstraZeneca!E185/$D$3,0)</f>
        <v>4219.3950000000004</v>
      </c>
      <c r="I60" s="25">
        <f>IFERROR(AstraZeneca!F185/$D$3,0)</f>
        <v>4784.3159999999998</v>
      </c>
      <c r="J60" s="25">
        <f>IFERROR(AstraZeneca!G185/$D$3,0)</f>
        <v>6402.66</v>
      </c>
      <c r="K60" s="25">
        <f>IFERROR(AstraZeneca!H185/$D$3,0)</f>
        <v>5565.09</v>
      </c>
      <c r="L60" s="25">
        <f>IFERROR(AstraZeneca!I185/$D$3,0)</f>
        <v>5769.5259999999998</v>
      </c>
      <c r="M60" s="25">
        <f>IFERROR(AstraZeneca!J185/$D$3,0)</f>
        <v>5283.4480000000003</v>
      </c>
      <c r="N60" s="25">
        <f>IFERROR(AstraZeneca!K185/$D$3,0)</f>
        <v>5300.8590000000004</v>
      </c>
      <c r="O60" s="25"/>
      <c r="P60" s="25"/>
      <c r="Q60" s="25"/>
      <c r="R60" s="25"/>
      <c r="S60" s="25"/>
    </row>
    <row r="61" spans="2:19" x14ac:dyDescent="0.45">
      <c r="B61" s="2" t="s">
        <v>285</v>
      </c>
      <c r="D61" s="2" t="str">
        <f>AstraZeneca!A186</f>
        <v>Short Term Investments</v>
      </c>
      <c r="E61" s="25">
        <f>IFERROR(AstraZeneca!B186/$D$3,0)</f>
        <v>564.38900000000001</v>
      </c>
      <c r="F61" s="25">
        <f>IFERROR(AstraZeneca!C186/$D$3,0)</f>
        <v>838.20899999999995</v>
      </c>
      <c r="G61" s="25">
        <f>IFERROR(AstraZeneca!D186/$D$3,0)</f>
        <v>1024.3440000000001</v>
      </c>
      <c r="H61" s="25">
        <f>IFERROR(AstraZeneca!E186/$D$3,0)</f>
        <v>34.936</v>
      </c>
      <c r="I61" s="25">
        <f>IFERROR(AstraZeneca!F186/$D$3,0)</f>
        <v>33.862000000000002</v>
      </c>
      <c r="J61" s="25">
        <f>IFERROR(AstraZeneca!G186/$D$3,0)</f>
        <v>34.335000000000001</v>
      </c>
      <c r="K61" s="25">
        <f>IFERROR(AstraZeneca!H186/$D$3,0)</f>
        <v>46.603000000000002</v>
      </c>
      <c r="L61" s="25">
        <f>IFERROR(AstraZeneca!I186/$D$3,0)</f>
        <v>59.884999999999998</v>
      </c>
      <c r="M61" s="25">
        <f>IFERROR(AstraZeneca!J186/$D$3,0)</f>
        <v>0</v>
      </c>
      <c r="N61" s="25">
        <f>IFERROR(AstraZeneca!K186/$D$3,0)</f>
        <v>0</v>
      </c>
      <c r="O61" s="25"/>
      <c r="P61" s="25"/>
      <c r="Q61" s="25"/>
      <c r="R61" s="25"/>
      <c r="S61" s="25"/>
    </row>
    <row r="62" spans="2:19" x14ac:dyDescent="0.45">
      <c r="B62" s="2" t="s">
        <v>284</v>
      </c>
      <c r="D62" s="2" t="str">
        <f>AstraZeneca!A187</f>
        <v>Trading Asset Securities</v>
      </c>
      <c r="E62" s="25">
        <f>IFERROR(AstraZeneca!B187/$D$3,0)</f>
        <v>0</v>
      </c>
      <c r="F62" s="25">
        <f>IFERROR(AstraZeneca!C187/$D$3,0)</f>
        <v>18.015999999999998</v>
      </c>
      <c r="G62" s="25">
        <f>IFERROR(AstraZeneca!D187/$D$3,0)</f>
        <v>0</v>
      </c>
      <c r="H62" s="25">
        <f>IFERROR(AstraZeneca!E187/$D$3,0)</f>
        <v>706.58100000000002</v>
      </c>
      <c r="I62" s="25">
        <f>IFERROR(AstraZeneca!F187/$D$3,0)</f>
        <v>722.68200000000002</v>
      </c>
      <c r="J62" s="25">
        <f>IFERROR(AstraZeneca!G187/$D$3,0)</f>
        <v>131.61799999999999</v>
      </c>
      <c r="K62" s="25">
        <f>IFERROR(AstraZeneca!H187/$D$3,0)</f>
        <v>14.069000000000001</v>
      </c>
      <c r="L62" s="25">
        <f>IFERROR(AstraZeneca!I187/$D$3,0)</f>
        <v>13.1</v>
      </c>
      <c r="M62" s="25">
        <f>IFERROR(AstraZeneca!J187/$D$3,0)</f>
        <v>18.094000000000001</v>
      </c>
      <c r="N62" s="25">
        <f>IFERROR(AstraZeneca!K187/$D$3,0)</f>
        <v>35.738</v>
      </c>
      <c r="O62" s="25"/>
      <c r="P62" s="25"/>
      <c r="Q62" s="25"/>
      <c r="R62" s="25"/>
      <c r="S62" s="25"/>
    </row>
    <row r="63" spans="2:19" x14ac:dyDescent="0.45">
      <c r="B63" s="2" t="s">
        <v>283</v>
      </c>
      <c r="D63" s="2" t="str">
        <f>AstraZeneca!A189</f>
        <v>Accounts Receivable</v>
      </c>
      <c r="E63" s="25">
        <f>IFERROR(AstraZeneca!B189/$D$3,0)</f>
        <v>4265.6030000000001</v>
      </c>
      <c r="F63" s="25">
        <f>IFERROR(AstraZeneca!C189/$D$3,0)</f>
        <v>2449.201</v>
      </c>
      <c r="G63" s="25">
        <f>IFERROR(AstraZeneca!D189/$D$3,0)</f>
        <v>2333.5059999999999</v>
      </c>
      <c r="H63" s="25">
        <f>IFERROR(AstraZeneca!E189/$D$3,0)</f>
        <v>2615.8330000000001</v>
      </c>
      <c r="I63" s="25">
        <f>IFERROR(AstraZeneca!F189/$D$3,0)</f>
        <v>3194.5940000000001</v>
      </c>
      <c r="J63" s="25">
        <f>IFERROR(AstraZeneca!G189/$D$3,0)</f>
        <v>3111.4050000000002</v>
      </c>
      <c r="K63" s="25">
        <f>IFERROR(AstraZeneca!H189/$D$3,0)</f>
        <v>5303.058</v>
      </c>
      <c r="L63" s="25">
        <f>IFERROR(AstraZeneca!I189/$D$3,0)</f>
        <v>6748.268</v>
      </c>
      <c r="M63" s="25">
        <f>IFERROR(AstraZeneca!J189/$D$3,0)</f>
        <v>7605.8130000000001</v>
      </c>
      <c r="N63" s="25">
        <f>IFERROR(AstraZeneca!K189/$D$3,0)</f>
        <v>8018.902</v>
      </c>
      <c r="O63" s="25"/>
      <c r="P63" s="25"/>
      <c r="Q63" s="25"/>
      <c r="R63" s="25"/>
      <c r="S63" s="25"/>
    </row>
    <row r="64" spans="2:19" x14ac:dyDescent="0.45">
      <c r="B64" s="2" t="s">
        <v>284</v>
      </c>
      <c r="D64" s="2" t="str">
        <f>AstraZeneca!A190</f>
        <v>Other Receivables</v>
      </c>
      <c r="E64" s="25">
        <f>IFERROR(AstraZeneca!B190/$D$3,0)</f>
        <v>1810.096</v>
      </c>
      <c r="F64" s="25">
        <f>IFERROR(AstraZeneca!C190/$D$3,0)</f>
        <v>2068.0239999999999</v>
      </c>
      <c r="G64" s="25">
        <f>IFERROR(AstraZeneca!D190/$D$3,0)</f>
        <v>1374.12</v>
      </c>
      <c r="H64" s="25">
        <f>IFERROR(AstraZeneca!E190/$D$3,0)</f>
        <v>1608.8030000000001</v>
      </c>
      <c r="I64" s="25">
        <f>IFERROR(AstraZeneca!F190/$D$3,0)</f>
        <v>1422.1959999999999</v>
      </c>
      <c r="J64" s="25">
        <f>IFERROR(AstraZeneca!G190/$D$3,0)</f>
        <v>1508.288</v>
      </c>
      <c r="K64" s="25">
        <f>IFERROR(AstraZeneca!H190/$D$3,0)</f>
        <v>2430.3850000000002</v>
      </c>
      <c r="L64" s="25">
        <f>IFERROR(AstraZeneca!I190/$D$3,0)</f>
        <v>2536.683</v>
      </c>
      <c r="M64" s="25">
        <f>IFERROR(AstraZeneca!J190/$D$3,0)</f>
        <v>3191.7820000000002</v>
      </c>
      <c r="N64" s="25">
        <f>IFERROR(AstraZeneca!K190/$D$3,0)</f>
        <v>4628.5929999999998</v>
      </c>
      <c r="O64" s="25"/>
      <c r="P64" s="25"/>
      <c r="Q64" s="25"/>
      <c r="R64" s="25"/>
      <c r="S64" s="25"/>
    </row>
    <row r="65" spans="2:19" x14ac:dyDescent="0.45">
      <c r="B65" s="2" t="s">
        <v>136</v>
      </c>
      <c r="D65" s="2" t="str">
        <f>AstraZeneca!A192</f>
        <v>Inventory</v>
      </c>
      <c r="E65" s="25">
        <f>IFERROR(AstraZeneca!B192/$D$3,0)</f>
        <v>1973.06</v>
      </c>
      <c r="F65" s="25">
        <f>IFERROR(AstraZeneca!C192/$D$3,0)</f>
        <v>2213.0990000000002</v>
      </c>
      <c r="G65" s="25">
        <f>IFERROR(AstraZeneca!D192/$D$3,0)</f>
        <v>2527.5479999999998</v>
      </c>
      <c r="H65" s="25">
        <f>IFERROR(AstraZeneca!E192/$D$3,0)</f>
        <v>2524.1260000000002</v>
      </c>
      <c r="I65" s="25">
        <f>IFERROR(AstraZeneca!F192/$D$3,0)</f>
        <v>2845.2820000000002</v>
      </c>
      <c r="J65" s="25">
        <f>IFERROR(AstraZeneca!G192/$D$3,0)</f>
        <v>3289.62</v>
      </c>
      <c r="K65" s="25">
        <f>IFERROR(AstraZeneca!H192/$D$3,0)</f>
        <v>7898.7520000000004</v>
      </c>
      <c r="L65" s="25">
        <f>IFERROR(AstraZeneca!I192/$D$3,0)</f>
        <v>4396.8540000000003</v>
      </c>
      <c r="M65" s="25">
        <f>IFERROR(AstraZeneca!J192/$D$3,0)</f>
        <v>4907.0929999999998</v>
      </c>
      <c r="N65" s="25">
        <f>IFERROR(AstraZeneca!K192/$D$3,0)</f>
        <v>5107.6790000000001</v>
      </c>
      <c r="O65" s="25"/>
      <c r="P65" s="25"/>
      <c r="Q65" s="25"/>
      <c r="R65" s="25"/>
      <c r="S65" s="25"/>
    </row>
    <row r="66" spans="2:19" x14ac:dyDescent="0.45">
      <c r="B66" s="2" t="s">
        <v>284</v>
      </c>
      <c r="D66" s="2" t="str">
        <f>AstraZeneca!A193</f>
        <v>Prepaid Exp.</v>
      </c>
      <c r="E66" s="25">
        <f>IFERROR(AstraZeneca!B193/$D$3,0)</f>
        <v>138.10499999999999</v>
      </c>
      <c r="F66" s="25">
        <f>IFERROR(AstraZeneca!C193/$D$3,0)</f>
        <v>112.836</v>
      </c>
      <c r="G66" s="25">
        <f>IFERROR(AstraZeneca!D193/$D$3,0)</f>
        <v>900.25699999999995</v>
      </c>
      <c r="H66" s="25">
        <f>IFERROR(AstraZeneca!E193/$D$3,0)</f>
        <v>824.49</v>
      </c>
      <c r="I66" s="25">
        <f>IFERROR(AstraZeneca!F193/$D$3,0)</f>
        <v>770.80200000000002</v>
      </c>
      <c r="J66" s="25">
        <f>IFERROR(AstraZeneca!G193/$D$3,0)</f>
        <v>1418.3630000000001</v>
      </c>
      <c r="K66" s="25">
        <f>IFERROR(AstraZeneca!H193/$D$3,0)</f>
        <v>1329.502</v>
      </c>
      <c r="L66" s="25">
        <f>IFERROR(AstraZeneca!I193/$D$3,0)</f>
        <v>1243.5450000000001</v>
      </c>
      <c r="M66" s="25">
        <f>IFERROR(AstraZeneca!J193/$D$3,0)</f>
        <v>1462.9</v>
      </c>
      <c r="N66" s="25">
        <f>IFERROR(AstraZeneca!K193/$D$3,0)</f>
        <v>1677.768</v>
      </c>
      <c r="O66" s="25"/>
      <c r="P66" s="25"/>
      <c r="Q66" s="25"/>
      <c r="R66" s="25"/>
      <c r="S66" s="25"/>
    </row>
    <row r="67" spans="2:19" x14ac:dyDescent="0.45">
      <c r="B67" s="2" t="s">
        <v>284</v>
      </c>
      <c r="D67" s="2" t="str">
        <f>AstraZeneca!A194</f>
        <v>Restricted Cash</v>
      </c>
      <c r="E67" s="25">
        <f>IFERROR(AstraZeneca!B194/$D$3,0)</f>
        <v>0</v>
      </c>
      <c r="F67" s="25">
        <f>IFERROR(AstraZeneca!C194/$D$3,0)</f>
        <v>0</v>
      </c>
      <c r="G67" s="25">
        <f>IFERROR(AstraZeneca!D194/$D$3,0)</f>
        <v>0</v>
      </c>
      <c r="H67" s="25">
        <f>IFERROR(AstraZeneca!E194/$D$3,0)</f>
        <v>0</v>
      </c>
      <c r="I67" s="25">
        <f>IFERROR(AstraZeneca!F194/$D$3,0)</f>
        <v>0</v>
      </c>
      <c r="J67" s="25">
        <f>IFERROR(AstraZeneca!G194/$D$3,0)</f>
        <v>0</v>
      </c>
      <c r="K67" s="25">
        <f>IFERROR(AstraZeneca!H194/$D$3,0)</f>
        <v>0</v>
      </c>
      <c r="L67" s="25">
        <f>IFERROR(AstraZeneca!I194/$D$3,0)</f>
        <v>151.583</v>
      </c>
      <c r="M67" s="25">
        <f>IFERROR(AstraZeneca!J194/$D$3,0)</f>
        <v>92.278999999999996</v>
      </c>
      <c r="N67" s="25">
        <f>IFERROR(AstraZeneca!K194/$D$3,0)</f>
        <v>124.601</v>
      </c>
    </row>
    <row r="68" spans="2:19" x14ac:dyDescent="0.45">
      <c r="B68" s="2" t="s">
        <v>284</v>
      </c>
      <c r="D68" s="2" t="str">
        <f>AstraZeneca!A195</f>
        <v>Other Current Assets</v>
      </c>
      <c r="E68" s="25">
        <f>IFERROR(AstraZeneca!B195/$D$3,0)</f>
        <v>241.22300000000001</v>
      </c>
      <c r="F68" s="25">
        <f>IFERROR(AstraZeneca!C195/$D$3,0)</f>
        <v>117.577</v>
      </c>
      <c r="G68" s="25">
        <f>IFERROR(AstraZeneca!D195/$D$3,0)</f>
        <v>23.318000000000001</v>
      </c>
      <c r="H68" s="25">
        <f>IFERROR(AstraZeneca!E195/$D$3,0)</f>
        <v>1083.0160000000001</v>
      </c>
      <c r="I68" s="25">
        <f>IFERROR(AstraZeneca!F195/$D$3,0)</f>
        <v>94.456999999999994</v>
      </c>
      <c r="J68" s="25">
        <f>IFERROR(AstraZeneca!G195/$D$3,0)</f>
        <v>80.933000000000007</v>
      </c>
      <c r="K68" s="25">
        <f>IFERROR(AstraZeneca!H195/$D$3,0)</f>
        <v>488.89100000000002</v>
      </c>
      <c r="L68" s="25">
        <f>IFERROR(AstraZeneca!I195/$D$3,0)</f>
        <v>220.82499999999999</v>
      </c>
      <c r="M68" s="25">
        <f>IFERROR(AstraZeneca!J195/$D$3,0)</f>
        <v>104.94499999999999</v>
      </c>
      <c r="N68" s="25">
        <f>IFERROR(AstraZeneca!K195/$D$3,0)</f>
        <v>52.158999999999999</v>
      </c>
      <c r="O68" s="27"/>
      <c r="P68" s="27"/>
      <c r="Q68" s="27"/>
      <c r="R68" s="27"/>
      <c r="S68" s="27"/>
    </row>
    <row r="69" spans="2:19" x14ac:dyDescent="0.45">
      <c r="B69" s="2"/>
      <c r="D69" s="5" t="s">
        <v>466</v>
      </c>
      <c r="E69" s="477">
        <f t="shared" ref="E69:N69" si="7">SUM(E60:E68)</f>
        <v>14737.643999999998</v>
      </c>
      <c r="F69" s="477">
        <f t="shared" si="7"/>
        <v>12575.029999999999</v>
      </c>
      <c r="G69" s="477">
        <f t="shared" si="7"/>
        <v>10951.319999999998</v>
      </c>
      <c r="H69" s="477">
        <f t="shared" si="7"/>
        <v>13617.18</v>
      </c>
      <c r="I69" s="477">
        <f t="shared" si="7"/>
        <v>13868.191000000001</v>
      </c>
      <c r="J69" s="477">
        <f t="shared" si="7"/>
        <v>15977.222</v>
      </c>
      <c r="K69" s="477">
        <f t="shared" si="7"/>
        <v>23076.350000000002</v>
      </c>
      <c r="L69" s="477">
        <f t="shared" si="7"/>
        <v>21140.268999999997</v>
      </c>
      <c r="M69" s="477">
        <f t="shared" si="7"/>
        <v>22666.353999999999</v>
      </c>
      <c r="N69" s="477">
        <f t="shared" si="7"/>
        <v>24946.298999999999</v>
      </c>
    </row>
    <row r="70" spans="2:19" x14ac:dyDescent="0.45">
      <c r="B70" s="2"/>
      <c r="D70" s="5"/>
      <c r="E70" s="23"/>
      <c r="F70" s="23"/>
      <c r="G70" s="23"/>
      <c r="H70" s="23"/>
      <c r="I70" s="23"/>
      <c r="J70" s="23"/>
      <c r="K70" s="23"/>
      <c r="L70" s="23"/>
      <c r="M70" s="23"/>
      <c r="N70" s="23"/>
      <c r="O70" s="23"/>
      <c r="P70" s="23"/>
      <c r="Q70" s="23"/>
      <c r="R70" s="23"/>
      <c r="S70" s="23"/>
    </row>
    <row r="71" spans="2:19" x14ac:dyDescent="0.45">
      <c r="B71" s="2" t="s">
        <v>287</v>
      </c>
      <c r="D71" s="5" t="s">
        <v>467</v>
      </c>
      <c r="E71" s="477">
        <f t="shared" ref="E71:N71" si="8">E69+E58</f>
        <v>55293.557999999997</v>
      </c>
      <c r="F71" s="477">
        <f t="shared" si="8"/>
        <v>59287.154999999999</v>
      </c>
      <c r="G71" s="477">
        <f t="shared" si="8"/>
        <v>52761.21100000001</v>
      </c>
      <c r="H71" s="477">
        <f t="shared" si="8"/>
        <v>52972.58400000001</v>
      </c>
      <c r="I71" s="477">
        <f t="shared" si="8"/>
        <v>54693.046999999999</v>
      </c>
      <c r="J71" s="477">
        <f t="shared" si="8"/>
        <v>54550.96100000001</v>
      </c>
      <c r="K71" s="477">
        <f t="shared" si="8"/>
        <v>92645.687000000005</v>
      </c>
      <c r="L71" s="477">
        <f t="shared" si="8"/>
        <v>90279.141000000003</v>
      </c>
      <c r="M71" s="477">
        <f t="shared" si="8"/>
        <v>91482.360000000015</v>
      </c>
      <c r="N71" s="477">
        <f t="shared" si="8"/>
        <v>100487.406</v>
      </c>
      <c r="O71" s="477"/>
      <c r="P71" s="477"/>
      <c r="Q71" s="477"/>
      <c r="R71" s="477"/>
      <c r="S71" s="477"/>
    </row>
    <row r="72" spans="2:19" x14ac:dyDescent="0.45">
      <c r="B72" s="2"/>
      <c r="D72" s="2"/>
      <c r="E72" s="25"/>
      <c r="F72" s="25"/>
      <c r="G72" s="25"/>
      <c r="H72" s="25"/>
      <c r="I72" s="25"/>
      <c r="J72" s="25"/>
      <c r="K72" s="25"/>
      <c r="L72" s="25"/>
      <c r="M72" s="25"/>
      <c r="N72" s="25"/>
      <c r="O72" s="25"/>
      <c r="P72" s="25"/>
      <c r="Q72" s="25"/>
      <c r="R72" s="25"/>
      <c r="S72" s="25"/>
    </row>
    <row r="73" spans="2:19" x14ac:dyDescent="0.45">
      <c r="B73" s="2" t="s">
        <v>289</v>
      </c>
      <c r="D73" s="2" t="str">
        <f>AstraZeneca!A224</f>
        <v>Common Stock</v>
      </c>
      <c r="E73" s="25">
        <f>AstraZeneca!B224/$D$3</f>
        <v>290.94099999999997</v>
      </c>
      <c r="F73" s="25">
        <f>AstraZeneca!C224/$D$3</f>
        <v>299.63099999999997</v>
      </c>
      <c r="G73" s="25">
        <f>AstraZeneca!D224/$D$3</f>
        <v>263.99799999999999</v>
      </c>
      <c r="H73" s="25">
        <f>AstraZeneca!E224/$D$3</f>
        <v>276.86799999999999</v>
      </c>
      <c r="I73" s="25">
        <f>AstraZeneca!F224/$D$3</f>
        <v>292.28100000000001</v>
      </c>
      <c r="J73" s="25">
        <f>AstraZeneca!G224/$D$3</f>
        <v>268.14</v>
      </c>
      <c r="K73" s="25">
        <f>AstraZeneca!H224/$D$3</f>
        <v>340.28899999999999</v>
      </c>
      <c r="L73" s="25">
        <f>AstraZeneca!I224/$D$3</f>
        <v>362.11599999999999</v>
      </c>
      <c r="M73" s="25">
        <f>AstraZeneca!J224/$D$3</f>
        <v>351.024</v>
      </c>
      <c r="N73" s="25">
        <f>AstraZeneca!K224/$D$3</f>
        <v>374.76900000000001</v>
      </c>
      <c r="O73" s="25"/>
      <c r="P73" s="25"/>
      <c r="Q73" s="25"/>
      <c r="R73" s="25"/>
      <c r="S73" s="25"/>
    </row>
    <row r="74" spans="2:19" x14ac:dyDescent="0.45">
      <c r="B74" s="2" t="s">
        <v>289</v>
      </c>
      <c r="D74" s="2" t="str">
        <f>AstraZeneca!A225</f>
        <v>Additional Paid In Capital</v>
      </c>
      <c r="E74" s="25">
        <f>AstraZeneca!B225/$D$3</f>
        <v>3962.6930000000002</v>
      </c>
      <c r="F74" s="25">
        <f>AstraZeneca!C225/$D$3</f>
        <v>4125.6180000000004</v>
      </c>
      <c r="G74" s="25">
        <f>AstraZeneca!D225/$D$3</f>
        <v>3658.49</v>
      </c>
      <c r="H74" s="25">
        <f>AstraZeneca!E225/$D$3</f>
        <v>3866.5419999999999</v>
      </c>
      <c r="I74" s="25">
        <f>AstraZeneca!F225/$D$3</f>
        <v>7076.2250000000004</v>
      </c>
      <c r="J74" s="25">
        <f>AstraZeneca!G225/$D$3</f>
        <v>6516.2929999999997</v>
      </c>
      <c r="K74" s="25">
        <f>AstraZeneca!H225/$D$3</f>
        <v>30886.292000000001</v>
      </c>
      <c r="L74" s="25">
        <f>AstraZeneca!I225/$D$3</f>
        <v>32894.534</v>
      </c>
      <c r="M74" s="25">
        <f>AstraZeneca!J225/$D$3</f>
        <v>31834.583999999999</v>
      </c>
      <c r="N74" s="25">
        <f>AstraZeneca!K225/$D$3</f>
        <v>34024.792999999998</v>
      </c>
      <c r="O74" s="25"/>
      <c r="P74" s="25"/>
      <c r="Q74" s="25"/>
      <c r="R74" s="25"/>
      <c r="S74" s="25"/>
    </row>
    <row r="75" spans="2:19" x14ac:dyDescent="0.45">
      <c r="B75" s="2" t="s">
        <v>289</v>
      </c>
      <c r="D75" s="2" t="str">
        <f>AstraZeneca!A226</f>
        <v>Retained Earnings</v>
      </c>
      <c r="E75" s="25">
        <f>AstraZeneca!B226/$D$3</f>
        <v>11238.064</v>
      </c>
      <c r="F75" s="25">
        <f>AstraZeneca!C226/$D$3</f>
        <v>9565.4419999999991</v>
      </c>
      <c r="G75" s="25">
        <f>AstraZeneca!D226/$D$3</f>
        <v>7693.4059999999999</v>
      </c>
      <c r="H75" s="25">
        <f>AstraZeneca!E226/$D$3</f>
        <v>6716.4459999999999</v>
      </c>
      <c r="I75" s="25">
        <f>AstraZeneca!F226/$D$3</f>
        <v>4456.3909999999996</v>
      </c>
      <c r="J75" s="25">
        <f>AstraZeneca!G226/$D$3</f>
        <v>5266.335</v>
      </c>
      <c r="K75" s="25">
        <f>AstraZeneca!H226/$D$3</f>
        <v>3204.1689999999999</v>
      </c>
      <c r="L75" s="25">
        <f>AstraZeneca!I226/$D$3</f>
        <v>2919.384</v>
      </c>
      <c r="M75" s="25">
        <f>AstraZeneca!J226/$D$3</f>
        <v>4085.625</v>
      </c>
      <c r="N75" s="25">
        <f>AstraZeneca!K226/$D$3</f>
        <v>6982.491</v>
      </c>
      <c r="O75" s="25"/>
      <c r="P75" s="25"/>
      <c r="Q75" s="25"/>
      <c r="R75" s="25"/>
      <c r="S75" s="25"/>
    </row>
    <row r="76" spans="2:19" x14ac:dyDescent="0.45">
      <c r="B76" s="2" t="s">
        <v>289</v>
      </c>
      <c r="D76" s="2" t="str">
        <f>AstraZeneca!A227</f>
        <v>Comprehensive Inc. and Other</v>
      </c>
      <c r="E76" s="25">
        <f>AstraZeneca!B227/$D$3</f>
        <v>1532.0450000000001</v>
      </c>
      <c r="F76" s="25">
        <f>AstraZeneca!C227/$D$3</f>
        <v>93.872</v>
      </c>
      <c r="G76" s="25">
        <f>AstraZeneca!D227/$D$3</f>
        <v>842.79399999999998</v>
      </c>
      <c r="H76" s="25">
        <f>AstraZeneca!E227/$D$3</f>
        <v>29.696000000000002</v>
      </c>
      <c r="I76" s="25">
        <f>AstraZeneca!F227/$D$3</f>
        <v>-127.42700000000001</v>
      </c>
      <c r="J76" s="25">
        <f>AstraZeneca!G227/$D$3</f>
        <v>720.21799999999996</v>
      </c>
      <c r="K76" s="25">
        <f>AstraZeneca!H227/$D$3</f>
        <v>97.602000000000004</v>
      </c>
      <c r="L76" s="25">
        <f>AstraZeneca!I227/$D$3</f>
        <v>-1520.5129999999999</v>
      </c>
      <c r="M76" s="25">
        <f>AstraZeneca!J227/$D$3</f>
        <v>-858.56</v>
      </c>
      <c r="N76" s="25">
        <f>AstraZeneca!K227/$D$3</f>
        <v>-1986.856</v>
      </c>
      <c r="O76" s="25"/>
      <c r="P76" s="25"/>
      <c r="Q76" s="25"/>
      <c r="R76" s="25"/>
      <c r="S76" s="25"/>
    </row>
    <row r="77" spans="2:19" x14ac:dyDescent="0.45">
      <c r="B77" s="2" t="s">
        <v>291</v>
      </c>
      <c r="D77" s="2" t="str">
        <f>AstraZeneca!A229</f>
        <v>Total Minority Interest</v>
      </c>
      <c r="E77" s="27">
        <f>AstraZeneca!B229/$D$3</f>
        <v>17.492999999999999</v>
      </c>
      <c r="F77" s="27">
        <f>AstraZeneca!C229/$D$3</f>
        <v>1720.9829999999999</v>
      </c>
      <c r="G77" s="27">
        <f>AstraZeneca!D229/$D$3</f>
        <v>1400.77</v>
      </c>
      <c r="H77" s="27">
        <f>AstraZeneca!E229/$D$3</f>
        <v>1376.4780000000001</v>
      </c>
      <c r="I77" s="27">
        <f>AstraZeneca!F229/$D$3</f>
        <v>1309.0260000000001</v>
      </c>
      <c r="J77" s="27">
        <f>AstraZeneca!G229/$D$3</f>
        <v>13.08</v>
      </c>
      <c r="K77" s="27">
        <f>AstraZeneca!H229/$D$3</f>
        <v>16.707000000000001</v>
      </c>
      <c r="L77" s="27">
        <f>AstraZeneca!I229/$D$3</f>
        <v>19.649999999999999</v>
      </c>
      <c r="M77" s="27">
        <f>AstraZeneca!J229/$D$3</f>
        <v>20.808</v>
      </c>
      <c r="N77" s="27">
        <f>AstraZeneca!K229/$D$3</f>
        <v>82.102000000000004</v>
      </c>
      <c r="O77" s="27"/>
      <c r="P77" s="27"/>
      <c r="Q77" s="27"/>
      <c r="R77" s="27"/>
      <c r="S77" s="27"/>
    </row>
    <row r="78" spans="2:19" x14ac:dyDescent="0.45">
      <c r="B78" s="2"/>
      <c r="D78" s="5" t="s">
        <v>245</v>
      </c>
      <c r="E78" s="23">
        <f t="shared" ref="E78:N78" si="9">SUM(E73:E77)</f>
        <v>17041.236000000001</v>
      </c>
      <c r="F78" s="23">
        <f t="shared" si="9"/>
        <v>15805.545999999998</v>
      </c>
      <c r="G78" s="23">
        <f t="shared" si="9"/>
        <v>13859.458000000001</v>
      </c>
      <c r="H78" s="23">
        <f t="shared" si="9"/>
        <v>12266.029999999999</v>
      </c>
      <c r="I78" s="23">
        <f t="shared" si="9"/>
        <v>13006.496000000001</v>
      </c>
      <c r="J78" s="23">
        <f t="shared" si="9"/>
        <v>12784.066000000001</v>
      </c>
      <c r="K78" s="23">
        <f t="shared" si="9"/>
        <v>34545.059000000001</v>
      </c>
      <c r="L78" s="23">
        <f t="shared" si="9"/>
        <v>34675.171000000002</v>
      </c>
      <c r="M78" s="23">
        <f t="shared" si="9"/>
        <v>35433.481</v>
      </c>
      <c r="N78" s="23">
        <f t="shared" si="9"/>
        <v>39477.298999999999</v>
      </c>
      <c r="O78" s="23"/>
      <c r="P78" s="23"/>
      <c r="Q78" s="23"/>
      <c r="R78" s="23"/>
      <c r="S78" s="23"/>
    </row>
    <row r="79" spans="2:19" x14ac:dyDescent="0.45">
      <c r="B79" s="2"/>
      <c r="D79" s="2"/>
      <c r="E79" s="25"/>
      <c r="F79" s="25"/>
      <c r="G79" s="25"/>
      <c r="H79" s="25"/>
      <c r="I79" s="25"/>
      <c r="J79" s="25"/>
      <c r="K79" s="25"/>
      <c r="L79" s="25"/>
      <c r="M79" s="25"/>
      <c r="N79" s="25"/>
      <c r="O79" s="25"/>
      <c r="P79" s="25"/>
      <c r="Q79" s="25"/>
      <c r="R79" s="25"/>
      <c r="S79" s="25"/>
    </row>
    <row r="80" spans="2:19" x14ac:dyDescent="0.45">
      <c r="B80" s="2" t="s">
        <v>292</v>
      </c>
      <c r="D80" s="2" t="str">
        <f>AstraZeneca!A216</f>
        <v>Long-Term Debt</v>
      </c>
      <c r="E80" s="25">
        <f>IFERROR(AstraZeneca!B216/$D$3,0)</f>
        <v>12991.076999999999</v>
      </c>
      <c r="F80" s="25">
        <f>IFERROR(AstraZeneca!C216/$D$3,0)</f>
        <v>15657.627</v>
      </c>
      <c r="G80" s="25">
        <f>IFERROR(AstraZeneca!D216/$D$3,0)</f>
        <v>14479.894</v>
      </c>
      <c r="H80" s="25">
        <f>IFERROR(AstraZeneca!E216/$D$3,0)</f>
        <v>16770.152999999998</v>
      </c>
      <c r="I80" s="25">
        <f>IFERROR(AstraZeneca!F216/$D$3,0)</f>
        <v>15945.343000000001</v>
      </c>
      <c r="J80" s="25">
        <f>IFERROR(AstraZeneca!G216/$D$3,0)</f>
        <v>16189.77</v>
      </c>
      <c r="K80" s="25">
        <f>IFERROR(AstraZeneca!H216/$D$3,0)</f>
        <v>26130.157999999999</v>
      </c>
      <c r="L80" s="25">
        <f>IFERROR(AstraZeneca!I216/$D$3,0)</f>
        <v>22370.716</v>
      </c>
      <c r="M80" s="25">
        <f>IFERROR(AstraZeneca!J216/$D$3,0)</f>
        <v>20267.993999999999</v>
      </c>
      <c r="N80" s="25">
        <f>IFERROR(AstraZeneca!K216/$D$3,0)</f>
        <v>25713.223999999998</v>
      </c>
      <c r="O80" s="25"/>
      <c r="P80" s="25"/>
      <c r="Q80" s="25"/>
      <c r="R80" s="25"/>
      <c r="S80" s="25"/>
    </row>
    <row r="81" spans="2:19" x14ac:dyDescent="0.45">
      <c r="B81" s="2" t="s">
        <v>292</v>
      </c>
      <c r="D81" s="2" t="str">
        <f>AstraZeneca!A217</f>
        <v>Long-Term Leases</v>
      </c>
      <c r="E81" s="25">
        <f>IFERROR(AstraZeneca!B217/$D$3,0)</f>
        <v>25.78</v>
      </c>
      <c r="F81" s="25">
        <f>IFERROR(AstraZeneca!C217/$D$3,0)</f>
        <v>5.6890000000000001</v>
      </c>
      <c r="G81" s="25">
        <f>IFERROR(AstraZeneca!D217/$D$3,0)</f>
        <v>0</v>
      </c>
      <c r="H81" s="25">
        <f>IFERROR(AstraZeneca!E217/$D$3,0)</f>
        <v>0</v>
      </c>
      <c r="I81" s="25">
        <f>IFERROR(AstraZeneca!F217/$D$3,0)</f>
        <v>433.96600000000001</v>
      </c>
      <c r="J81" s="25">
        <f>IFERROR(AstraZeneca!G217/$D$3,0)</f>
        <v>399.75799999999998</v>
      </c>
      <c r="K81" s="25">
        <f>IFERROR(AstraZeneca!H217/$D$3,0)</f>
        <v>662.99199999999996</v>
      </c>
      <c r="L81" s="25">
        <f>IFERROR(AstraZeneca!I217/$D$3,0)</f>
        <v>678.38300000000004</v>
      </c>
      <c r="M81" s="25">
        <f>IFERROR(AstraZeneca!J217/$D$3,0)</f>
        <v>775.32799999999997</v>
      </c>
      <c r="N81" s="25">
        <f>IFERROR(AstraZeneca!K217/$D$3,0)</f>
        <v>1075.047</v>
      </c>
      <c r="O81" s="25"/>
      <c r="P81" s="25"/>
      <c r="Q81" s="25"/>
      <c r="R81" s="25"/>
      <c r="S81" s="25"/>
    </row>
    <row r="82" spans="2:19" ht="28.5" x14ac:dyDescent="0.45">
      <c r="B82" s="2" t="s">
        <v>294</v>
      </c>
      <c r="D82" s="2" t="str">
        <f>AstraZeneca!A218</f>
        <v>Unearned Revenue, Non-Current</v>
      </c>
      <c r="E82" s="25">
        <f>IFERROR(AstraZeneca!B218/$D$3,0)</f>
        <v>0</v>
      </c>
      <c r="F82" s="25">
        <f>IFERROR(AstraZeneca!C218/$D$3,0)</f>
        <v>0</v>
      </c>
      <c r="G82" s="25">
        <f>IFERROR(AstraZeneca!D218/$D$3,0)</f>
        <v>0</v>
      </c>
      <c r="H82" s="25">
        <f>IFERROR(AstraZeneca!E218/$D$3,0)</f>
        <v>68.125</v>
      </c>
      <c r="I82" s="25">
        <f>IFERROR(AstraZeneca!F218/$D$3,0)</f>
        <v>44.555</v>
      </c>
      <c r="J82" s="25">
        <f>IFERROR(AstraZeneca!G218/$D$3,0)</f>
        <v>31.065000000000001</v>
      </c>
      <c r="K82" s="25">
        <f>IFERROR(AstraZeneca!H218/$D$3,0)</f>
        <v>22.861999999999998</v>
      </c>
      <c r="L82" s="25">
        <f>IFERROR(AstraZeneca!I218/$D$3,0)</f>
        <v>13.1</v>
      </c>
      <c r="M82" s="25">
        <f>IFERROR(AstraZeneca!J218/$D$3,0)</f>
        <v>6.3330000000000002</v>
      </c>
      <c r="N82" s="25">
        <f>IFERROR(AstraZeneca!K218/$D$3,0)</f>
        <v>0</v>
      </c>
      <c r="O82" s="25"/>
      <c r="P82" s="25"/>
      <c r="Q82" s="25"/>
      <c r="R82" s="25"/>
      <c r="S82" s="25"/>
    </row>
    <row r="83" spans="2:19" x14ac:dyDescent="0.45">
      <c r="B83" s="2" t="s">
        <v>292</v>
      </c>
      <c r="D83" s="2" t="str">
        <f>AstraZeneca!A219</f>
        <v>Pension &amp; Other Post-Retire. Benefits</v>
      </c>
      <c r="E83" s="25">
        <f>IFERROR(AstraZeneca!B219/$D$3,0)</f>
        <v>1817.462</v>
      </c>
      <c r="F83" s="25">
        <f>IFERROR(AstraZeneca!C219/$D$3,0)</f>
        <v>2072.7649999999999</v>
      </c>
      <c r="G83" s="25">
        <f>IFERROR(AstraZeneca!D219/$D$3,0)</f>
        <v>2151.1219999999998</v>
      </c>
      <c r="H83" s="25">
        <f>IFERROR(AstraZeneca!E219/$D$3,0)</f>
        <v>2193.107</v>
      </c>
      <c r="I83" s="25">
        <f>IFERROR(AstraZeneca!F219/$D$3,0)</f>
        <v>2501.3180000000002</v>
      </c>
      <c r="J83" s="25">
        <f>IFERROR(AstraZeneca!G219/$D$3,0)</f>
        <v>2617.6350000000002</v>
      </c>
      <c r="K83" s="25">
        <f>IFERROR(AstraZeneca!H219/$D$3,0)</f>
        <v>2157.8020000000001</v>
      </c>
      <c r="L83" s="25">
        <f>IFERROR(AstraZeneca!I219/$D$3,0)</f>
        <v>1092.8979999999999</v>
      </c>
      <c r="M83" s="25">
        <f>IFERROR(AstraZeneca!J219/$D$3,0)</f>
        <v>1375.144</v>
      </c>
      <c r="N83" s="25">
        <f>IFERROR(AstraZeneca!K219/$D$3,0)</f>
        <v>1284.6469999999999</v>
      </c>
      <c r="O83" s="25"/>
      <c r="P83" s="25"/>
      <c r="Q83" s="25"/>
      <c r="R83" s="25"/>
      <c r="S83" s="25"/>
    </row>
    <row r="84" spans="2:19" x14ac:dyDescent="0.45">
      <c r="B84" s="2" t="s">
        <v>293</v>
      </c>
      <c r="D84" s="2" t="str">
        <f>AstraZeneca!A220</f>
        <v>Def. Tax Liability, Non-Curr.</v>
      </c>
      <c r="E84" s="25">
        <f>IFERROR(AstraZeneca!B220/$D$3,0)</f>
        <v>2453.6660000000002</v>
      </c>
      <c r="F84" s="25">
        <f>IFERROR(AstraZeneca!C220/$D$3,0)</f>
        <v>3751.0790000000002</v>
      </c>
      <c r="G84" s="25">
        <f>IFERROR(AstraZeneca!D220/$D$3,0)</f>
        <v>3327.0360000000001</v>
      </c>
      <c r="H84" s="25">
        <f>IFERROR(AstraZeneca!E220/$D$3,0)</f>
        <v>2869.9920000000002</v>
      </c>
      <c r="I84" s="25">
        <f>IFERROR(AstraZeneca!F220/$D$3,0)</f>
        <v>2218.8389999999999</v>
      </c>
      <c r="J84" s="25">
        <f>IFERROR(AstraZeneca!G220/$D$3,0)</f>
        <v>2385.4650000000001</v>
      </c>
      <c r="K84" s="25">
        <f>IFERROR(AstraZeneca!H220/$D$3,0)</f>
        <v>5456.9359999999997</v>
      </c>
      <c r="L84" s="25">
        <f>IFERROR(AstraZeneca!I220/$D$3,0)</f>
        <v>2754.701</v>
      </c>
      <c r="M84" s="25">
        <f>IFERROR(AstraZeneca!J220/$D$3,0)</f>
        <v>2572.9670000000001</v>
      </c>
      <c r="N84" s="25">
        <f>IFERROR(AstraZeneca!K220/$D$3,0)</f>
        <v>3192.3</v>
      </c>
      <c r="O84" s="25"/>
      <c r="P84" s="25"/>
      <c r="Q84" s="25"/>
      <c r="R84" s="25"/>
      <c r="S84" s="25"/>
    </row>
    <row r="85" spans="2:19" ht="28.5" x14ac:dyDescent="0.45">
      <c r="B85" s="2" t="s">
        <v>294</v>
      </c>
      <c r="D85" s="2" t="str">
        <f>AstraZeneca!A221</f>
        <v>Other Non-Current Liabilities</v>
      </c>
      <c r="E85" s="27">
        <f>IFERROR(AstraZeneca!B221/$D$3,0)</f>
        <v>7274.451</v>
      </c>
      <c r="F85" s="27">
        <f>IFERROR(AstraZeneca!C221/$D$3,0)</f>
        <v>7528.7079999999996</v>
      </c>
      <c r="G85" s="27">
        <f>IFERROR(AstraZeneca!D221/$D$3,0)</f>
        <v>5299.9390000000003</v>
      </c>
      <c r="H85" s="27">
        <f>IFERROR(AstraZeneca!E221/$D$3,0)</f>
        <v>4575.7430000000004</v>
      </c>
      <c r="I85" s="27">
        <f>IFERROR(AstraZeneca!F221/$D$3,0)</f>
        <v>4398.47</v>
      </c>
      <c r="J85" s="27">
        <f>IFERROR(AstraZeneca!G221/$D$3,0)</f>
        <v>3542.2280000000001</v>
      </c>
      <c r="K85" s="27">
        <f>IFERROR(AstraZeneca!H221/$D$3,0)</f>
        <v>3802.973</v>
      </c>
      <c r="L85" s="27">
        <f>IFERROR(AstraZeneca!I221/$D$3,0)</f>
        <v>4091.8159999999998</v>
      </c>
      <c r="M85" s="27">
        <f>IFERROR(AstraZeneca!J221/$D$3,0)</f>
        <v>3419.7660000000001</v>
      </c>
      <c r="N85" s="27">
        <f>IFERROR(AstraZeneca!K221/$D$3,0)</f>
        <v>2829.1210000000001</v>
      </c>
      <c r="O85" s="27"/>
      <c r="P85" s="27"/>
      <c r="Q85" s="27"/>
      <c r="R85" s="27"/>
      <c r="S85" s="27"/>
    </row>
    <row r="86" spans="2:19" x14ac:dyDescent="0.45">
      <c r="B86" s="2"/>
      <c r="D86" s="5" t="s">
        <v>486</v>
      </c>
      <c r="E86" s="23">
        <f t="shared" ref="E86:N86" si="10">SUM(E80:E85)</f>
        <v>24562.436000000002</v>
      </c>
      <c r="F86" s="23">
        <f t="shared" si="10"/>
        <v>29015.868000000002</v>
      </c>
      <c r="G86" s="23">
        <f t="shared" si="10"/>
        <v>25257.991000000002</v>
      </c>
      <c r="H86" s="23">
        <f t="shared" si="10"/>
        <v>26477.120000000003</v>
      </c>
      <c r="I86" s="23">
        <f t="shared" si="10"/>
        <v>25542.491000000002</v>
      </c>
      <c r="J86" s="23">
        <f t="shared" si="10"/>
        <v>25165.921000000002</v>
      </c>
      <c r="K86" s="23">
        <f t="shared" si="10"/>
        <v>38233.722999999998</v>
      </c>
      <c r="L86" s="23">
        <f t="shared" si="10"/>
        <v>31001.614000000001</v>
      </c>
      <c r="M86" s="23">
        <f t="shared" si="10"/>
        <v>28417.531999999999</v>
      </c>
      <c r="N86" s="23">
        <f t="shared" si="10"/>
        <v>34094.339</v>
      </c>
      <c r="O86" s="23"/>
      <c r="P86" s="23"/>
      <c r="Q86" s="23"/>
      <c r="R86" s="23"/>
      <c r="S86" s="23"/>
    </row>
    <row r="87" spans="2:19" x14ac:dyDescent="0.45">
      <c r="B87" s="2"/>
      <c r="D87" s="5"/>
      <c r="E87" s="23"/>
      <c r="F87" s="23"/>
      <c r="G87" s="23"/>
      <c r="H87" s="23"/>
      <c r="I87" s="23"/>
      <c r="J87" s="23"/>
      <c r="K87" s="23"/>
      <c r="L87" s="23"/>
      <c r="M87" s="23"/>
      <c r="N87" s="23"/>
      <c r="O87" s="23"/>
      <c r="P87" s="23"/>
      <c r="Q87" s="23"/>
      <c r="R87" s="23"/>
      <c r="S87" s="23"/>
    </row>
    <row r="88" spans="2:19" x14ac:dyDescent="0.45">
      <c r="B88" s="2" t="s">
        <v>296</v>
      </c>
      <c r="D88" s="2" t="str">
        <f>AstraZeneca!A207</f>
        <v>Accounts Payable</v>
      </c>
      <c r="E88" s="25">
        <f>IFERROR(AstraZeneca!B207/$D$3,0)</f>
        <v>3193.9079999999999</v>
      </c>
      <c r="F88" s="25">
        <f>IFERROR(AstraZeneca!C207/$D$3,0)</f>
        <v>1592.9760000000001</v>
      </c>
      <c r="G88" s="25">
        <f>IFERROR(AstraZeneca!D207/$D$3,0)</f>
        <v>1902.9480000000001</v>
      </c>
      <c r="H88" s="25">
        <f>IFERROR(AstraZeneca!E207/$D$3,0)</f>
        <v>1502.248</v>
      </c>
      <c r="I88" s="25">
        <f>IFERROR(AstraZeneca!F207/$D$3,0)</f>
        <v>1580.8109999999999</v>
      </c>
      <c r="J88" s="25">
        <f>IFERROR(AstraZeneca!G207/$D$3,0)</f>
        <v>1921.125</v>
      </c>
      <c r="K88" s="25">
        <f>IFERROR(AstraZeneca!H207/$D$3,0)</f>
        <v>2483.143</v>
      </c>
      <c r="L88" s="25">
        <f>IFERROR(AstraZeneca!I207/$D$3,0)</f>
        <v>2386.0349999999999</v>
      </c>
      <c r="M88" s="25">
        <f>IFERROR(AstraZeneca!J207/$D$3,0)</f>
        <v>2955.6550000000002</v>
      </c>
      <c r="N88" s="25">
        <f>IFERROR(AstraZeneca!K207/$D$3,0)</f>
        <v>3515.8760000000002</v>
      </c>
      <c r="O88" s="25"/>
      <c r="P88" s="25"/>
      <c r="Q88" s="25"/>
      <c r="R88" s="25"/>
      <c r="S88" s="25"/>
    </row>
    <row r="89" spans="2:19" x14ac:dyDescent="0.45">
      <c r="B89" s="2" t="s">
        <v>297</v>
      </c>
      <c r="D89" s="2" t="str">
        <f>AstraZeneca!A208</f>
        <v>Accrued Exp.</v>
      </c>
      <c r="E89" s="25">
        <f>IFERROR(AstraZeneca!B208/$D$3,0)</f>
        <v>5981.7879999999996</v>
      </c>
      <c r="F89" s="25">
        <f>IFERROR(AstraZeneca!C208/$D$3,0)</f>
        <v>6875.3980000000001</v>
      </c>
      <c r="G89" s="25">
        <f>IFERROR(AstraZeneca!D208/$D$3,0)</f>
        <v>6341.7719999999999</v>
      </c>
      <c r="H89" s="25">
        <f>IFERROR(AstraZeneca!E208/$D$3,0)</f>
        <v>7917.3710000000001</v>
      </c>
      <c r="I89" s="25">
        <f>IFERROR(AstraZeneca!F208/$D$3,0)</f>
        <v>8374.5580000000009</v>
      </c>
      <c r="J89" s="25">
        <f>IFERROR(AstraZeneca!G208/$D$3,0)</f>
        <v>7920.7579999999998</v>
      </c>
      <c r="K89" s="25">
        <f>IFERROR(AstraZeneca!H208/$D$3,0)</f>
        <v>10866.388999999999</v>
      </c>
      <c r="L89" s="25">
        <f>IFERROR(AstraZeneca!I208/$D$3,0)</f>
        <v>12645.05</v>
      </c>
      <c r="M89" s="25">
        <f>IFERROR(AstraZeneca!J208/$D$3,0)</f>
        <v>14334.972</v>
      </c>
      <c r="N89" s="25">
        <f>IFERROR(AstraZeneca!K208/$D$3,0)</f>
        <v>15539.398999999999</v>
      </c>
      <c r="O89" s="25"/>
      <c r="P89" s="25"/>
      <c r="Q89" s="25"/>
      <c r="R89" s="25"/>
      <c r="S89" s="25"/>
    </row>
    <row r="90" spans="2:19" x14ac:dyDescent="0.45">
      <c r="B90" s="2" t="s">
        <v>298</v>
      </c>
      <c r="D90" s="2" t="str">
        <f>AstraZeneca!A209</f>
        <v>Short-term Borrowings</v>
      </c>
      <c r="E90" s="25">
        <f>IFERROR(AstraZeneca!B209/$D$3,0)</f>
        <v>781.67399999999998</v>
      </c>
      <c r="F90" s="25">
        <f>IFERROR(AstraZeneca!C209/$D$3,0)</f>
        <v>427.63799999999998</v>
      </c>
      <c r="G90" s="25">
        <f>IFERROR(AstraZeneca!D209/$D$3,0)</f>
        <v>703.71600000000001</v>
      </c>
      <c r="H90" s="25">
        <f>IFERROR(AstraZeneca!E209/$D$3,0)</f>
        <v>659.41700000000003</v>
      </c>
      <c r="I90" s="25">
        <f>IFERROR(AstraZeneca!F209/$D$3,0)</f>
        <v>200.49799999999999</v>
      </c>
      <c r="J90" s="25">
        <f>IFERROR(AstraZeneca!G209/$D$3,0)</f>
        <v>540.36800000000005</v>
      </c>
      <c r="K90" s="25">
        <f>IFERROR(AstraZeneca!H209/$D$3,0)</f>
        <v>361.392</v>
      </c>
      <c r="L90" s="25">
        <f>IFERROR(AstraZeneca!I209/$D$3,0)</f>
        <v>4972.3100000000004</v>
      </c>
      <c r="M90" s="25">
        <f>IFERROR(AstraZeneca!J209/$D$3,0)</f>
        <v>4640.2060000000001</v>
      </c>
      <c r="N90" s="25">
        <f>IFERROR(AstraZeneca!K209/$D$3,0)</f>
        <v>2257.308</v>
      </c>
      <c r="O90" s="25"/>
      <c r="P90" s="25"/>
      <c r="Q90" s="25"/>
      <c r="R90" s="25"/>
      <c r="S90" s="25"/>
    </row>
    <row r="91" spans="2:19" x14ac:dyDescent="0.45">
      <c r="B91" s="2" t="s">
        <v>298</v>
      </c>
      <c r="D91" s="2" t="str">
        <f>AstraZeneca!A210</f>
        <v>Curr. Port. of LT Debt</v>
      </c>
      <c r="E91" s="25">
        <f>IFERROR(AstraZeneca!B210/$D$3,0)</f>
        <v>8.2859999999999996</v>
      </c>
      <c r="F91" s="25">
        <f>IFERROR(AstraZeneca!C210/$D$3,0)</f>
        <v>1694.433</v>
      </c>
      <c r="G91" s="25">
        <f>IFERROR(AstraZeneca!D210/$D$3,0)</f>
        <v>1183.4090000000001</v>
      </c>
      <c r="H91" s="25">
        <f>IFERROR(AstraZeneca!E210/$D$3,0)</f>
        <v>896.10799999999995</v>
      </c>
      <c r="I91" s="25">
        <f>IFERROR(AstraZeneca!F210/$D$3,0)</f>
        <v>1455.1659999999999</v>
      </c>
      <c r="J91" s="25">
        <f>IFERROR(AstraZeneca!G210/$D$3,0)</f>
        <v>1280.2049999999999</v>
      </c>
      <c r="K91" s="25">
        <f>IFERROR(AstraZeneca!H210/$D$3,0)</f>
        <v>1976.6659999999999</v>
      </c>
      <c r="L91" s="25">
        <f>IFERROR(AstraZeneca!I210/$D$3,0)</f>
        <v>898.27200000000005</v>
      </c>
      <c r="M91" s="25">
        <f>IFERROR(AstraZeneca!J210/$D$3,0)</f>
        <v>894.74800000000005</v>
      </c>
      <c r="N91" s="25">
        <f>IFERROR(AstraZeneca!K210/$D$3,0)</f>
        <v>48.295000000000002</v>
      </c>
      <c r="O91" s="25"/>
      <c r="P91" s="25"/>
      <c r="Q91" s="25"/>
      <c r="R91" s="25"/>
      <c r="S91" s="25"/>
    </row>
    <row r="92" spans="2:19" x14ac:dyDescent="0.45">
      <c r="B92" s="2" t="s">
        <v>298</v>
      </c>
      <c r="D92" s="2" t="str">
        <f>AstraZeneca!A211</f>
        <v>Current Portion of Leases</v>
      </c>
      <c r="E92" s="25">
        <f>IFERROR(AstraZeneca!B211/$D$3,0)</f>
        <v>61.686999999999998</v>
      </c>
      <c r="F92" s="25">
        <f>IFERROR(AstraZeneca!C211/$D$3,0)</f>
        <v>82.492999999999995</v>
      </c>
      <c r="G92" s="25">
        <f>IFERROR(AstraZeneca!D211/$D$3,0)</f>
        <v>4.1639999999999997</v>
      </c>
      <c r="H92" s="25">
        <f>IFERROR(AstraZeneca!E211/$D$3,0)</f>
        <v>0</v>
      </c>
      <c r="I92" s="25">
        <f>IFERROR(AstraZeneca!F211/$D$3,0)</f>
        <v>167.52699999999999</v>
      </c>
      <c r="J92" s="25">
        <f>IFERROR(AstraZeneca!G211/$D$3,0)</f>
        <v>156.96</v>
      </c>
      <c r="K92" s="25">
        <f>IFERROR(AstraZeneca!H211/$D$3,0)</f>
        <v>204.87700000000001</v>
      </c>
      <c r="L92" s="25">
        <f>IFERROR(AstraZeneca!I211/$D$3,0)</f>
        <v>213.34</v>
      </c>
      <c r="M92" s="25">
        <f>IFERROR(AstraZeneca!J211/$D$3,0)</f>
        <v>245.17400000000001</v>
      </c>
      <c r="N92" s="25">
        <f>IFERROR(AstraZeneca!K211/$D$3,0)</f>
        <v>327.44</v>
      </c>
      <c r="O92" s="25"/>
      <c r="P92" s="25"/>
      <c r="Q92" s="25"/>
      <c r="R92" s="25"/>
      <c r="S92" s="25"/>
    </row>
    <row r="93" spans="2:19" x14ac:dyDescent="0.45">
      <c r="B93" s="2" t="s">
        <v>297</v>
      </c>
      <c r="D93" s="2" t="str">
        <f>AstraZeneca!A212</f>
        <v>Curr. Income Taxes Payable</v>
      </c>
      <c r="E93" s="25">
        <f>IFERROR(AstraZeneca!B212/$D$3,0)</f>
        <v>1365.3979999999999</v>
      </c>
      <c r="F93" s="25">
        <f>IFERROR(AstraZeneca!C212/$D$3,0)</f>
        <v>1308.5160000000001</v>
      </c>
      <c r="G93" s="25">
        <f>IFERROR(AstraZeneca!D212/$D$3,0)</f>
        <v>1124.28</v>
      </c>
      <c r="H93" s="25">
        <f>IFERROR(AstraZeneca!E212/$D$3,0)</f>
        <v>1016.638</v>
      </c>
      <c r="I93" s="25">
        <f>IFERROR(AstraZeneca!F212/$D$3,0)</f>
        <v>1212.787</v>
      </c>
      <c r="J93" s="25">
        <f>IFERROR(AstraZeneca!G212/$D$3,0)</f>
        <v>921.32299999999998</v>
      </c>
      <c r="K93" s="25">
        <f>IFERROR(AstraZeneca!H212/$D$3,0)</f>
        <v>805.43899999999996</v>
      </c>
      <c r="L93" s="25">
        <f>IFERROR(AstraZeneca!I212/$D$3,0)</f>
        <v>838.38699999999994</v>
      </c>
      <c r="M93" s="25">
        <f>IFERROR(AstraZeneca!J212/$D$3,0)</f>
        <v>1433.0450000000001</v>
      </c>
      <c r="N93" s="25">
        <f>IFERROR(AstraZeneca!K212/$D$3,0)</f>
        <v>1358.0550000000001</v>
      </c>
      <c r="O93" s="25"/>
      <c r="P93" s="25"/>
      <c r="Q93" s="25"/>
      <c r="R93" s="25"/>
      <c r="S93" s="25"/>
    </row>
    <row r="94" spans="2:19" x14ac:dyDescent="0.45">
      <c r="B94" s="2" t="s">
        <v>297</v>
      </c>
      <c r="D94" s="2" t="str">
        <f>AstraZeneca!A213</f>
        <v>Unearned Revenue, Current</v>
      </c>
      <c r="E94" s="25">
        <f>IFERROR(AstraZeneca!B213/$D$3,0)</f>
        <v>0</v>
      </c>
      <c r="F94" s="25">
        <f>IFERROR(AstraZeneca!C213/$D$3,0)</f>
        <v>0</v>
      </c>
      <c r="G94" s="25">
        <f>IFERROR(AstraZeneca!D213/$D$3,0)</f>
        <v>114.926</v>
      </c>
      <c r="H94" s="25">
        <f>IFERROR(AstraZeneca!E213/$D$3,0)</f>
        <v>190.40100000000001</v>
      </c>
      <c r="I94" s="25">
        <f>IFERROR(AstraZeneca!F213/$D$3,0)</f>
        <v>111.38800000000001</v>
      </c>
      <c r="J94" s="25">
        <f>IFERROR(AstraZeneca!G213/$D$3,0)</f>
        <v>1600.665</v>
      </c>
      <c r="K94" s="25">
        <f>IFERROR(AstraZeneca!H213/$D$3,0)</f>
        <v>1038.453</v>
      </c>
      <c r="L94" s="25">
        <f>IFERROR(AstraZeneca!I213/$D$3,0)</f>
        <v>170.297</v>
      </c>
      <c r="M94" s="25">
        <f>IFERROR(AstraZeneca!J213/$D$3,0)</f>
        <v>134.80000000000001</v>
      </c>
      <c r="N94" s="25">
        <f>IFERROR(AstraZeneca!K213/$D$3,0)</f>
        <v>121.703</v>
      </c>
      <c r="O94" s="25"/>
      <c r="P94" s="25"/>
      <c r="Q94" s="25"/>
      <c r="R94" s="25"/>
      <c r="S94" s="25"/>
    </row>
    <row r="95" spans="2:19" x14ac:dyDescent="0.45">
      <c r="B95" s="2" t="s">
        <v>297</v>
      </c>
      <c r="D95" s="2" t="str">
        <f>AstraZeneca!A214</f>
        <v>Other Current Liabilities</v>
      </c>
      <c r="E95" s="25">
        <f>IFERROR(AstraZeneca!B214/$D$3,0)</f>
        <v>2297.1469999999999</v>
      </c>
      <c r="F95" s="25">
        <f>IFERROR(AstraZeneca!C214/$D$3,0)</f>
        <v>2484.2840000000001</v>
      </c>
      <c r="G95" s="25">
        <f>IFERROR(AstraZeneca!D214/$D$3,0)</f>
        <v>2268.547</v>
      </c>
      <c r="H95" s="25">
        <f>IFERROR(AstraZeneca!E214/$D$3,0)</f>
        <v>2047.25</v>
      </c>
      <c r="I95" s="25">
        <f>IFERROR(AstraZeneca!F214/$D$3,0)</f>
        <v>3041.3240000000001</v>
      </c>
      <c r="J95" s="25">
        <f>IFERROR(AstraZeneca!G214/$D$3,0)</f>
        <v>2259.5700000000002</v>
      </c>
      <c r="K95" s="25">
        <f>IFERROR(AstraZeneca!H214/$D$3,0)</f>
        <v>2130.5439999999999</v>
      </c>
      <c r="L95" s="25">
        <f>IFERROR(AstraZeneca!I214/$D$3,0)</f>
        <v>2478.6689999999999</v>
      </c>
      <c r="M95" s="25">
        <f>IFERROR(AstraZeneca!J214/$D$3,0)</f>
        <v>2992.748</v>
      </c>
      <c r="N95" s="25">
        <f>IFERROR(AstraZeneca!K214/$D$3,0)</f>
        <v>3747.692</v>
      </c>
      <c r="O95" s="25"/>
      <c r="P95" s="27"/>
      <c r="Q95" s="27"/>
      <c r="R95" s="27"/>
      <c r="S95" s="27"/>
    </row>
    <row r="96" spans="2:19" x14ac:dyDescent="0.45">
      <c r="B96" s="2"/>
      <c r="D96" s="5" t="s">
        <v>491</v>
      </c>
      <c r="E96" s="477">
        <f t="shared" ref="E96:N96" si="11">SUM(E88:E95)</f>
        <v>13689.887999999999</v>
      </c>
      <c r="F96" s="477">
        <f t="shared" si="11"/>
        <v>14465.737999999999</v>
      </c>
      <c r="G96" s="477">
        <f t="shared" si="11"/>
        <v>13643.762000000001</v>
      </c>
      <c r="H96" s="477">
        <f t="shared" si="11"/>
        <v>14229.433000000001</v>
      </c>
      <c r="I96" s="477">
        <f t="shared" si="11"/>
        <v>16144.059000000001</v>
      </c>
      <c r="J96" s="477">
        <f t="shared" si="11"/>
        <v>16600.973999999998</v>
      </c>
      <c r="K96" s="477">
        <f t="shared" si="11"/>
        <v>19866.902999999998</v>
      </c>
      <c r="L96" s="477">
        <f t="shared" si="11"/>
        <v>24602.36</v>
      </c>
      <c r="M96" s="477">
        <f t="shared" si="11"/>
        <v>27631.347999999994</v>
      </c>
      <c r="N96" s="477">
        <f t="shared" si="11"/>
        <v>26915.768</v>
      </c>
      <c r="O96" s="477"/>
      <c r="P96" s="23"/>
      <c r="Q96" s="23"/>
      <c r="R96" s="23"/>
      <c r="S96" s="23"/>
    </row>
    <row r="97" spans="2:19" x14ac:dyDescent="0.45">
      <c r="B97" s="2"/>
      <c r="D97" s="5"/>
      <c r="E97" s="28"/>
      <c r="F97" s="28"/>
      <c r="G97" s="28"/>
      <c r="H97" s="28"/>
      <c r="I97" s="28"/>
      <c r="J97" s="28"/>
      <c r="K97" s="28"/>
      <c r="L97" s="28"/>
      <c r="M97" s="28"/>
      <c r="N97" s="28"/>
      <c r="O97" s="28"/>
      <c r="P97" s="28"/>
      <c r="Q97" s="28"/>
      <c r="R97" s="28"/>
      <c r="S97" s="28"/>
    </row>
    <row r="98" spans="2:19" x14ac:dyDescent="0.45">
      <c r="B98" s="2" t="s">
        <v>300</v>
      </c>
      <c r="D98" s="5" t="s">
        <v>492</v>
      </c>
      <c r="E98" s="23">
        <f t="shared" ref="E98:N98" si="12">E78+E86+E96</f>
        <v>55293.560000000005</v>
      </c>
      <c r="F98" s="23">
        <f t="shared" si="12"/>
        <v>59287.152000000002</v>
      </c>
      <c r="G98" s="23">
        <f t="shared" si="12"/>
        <v>52761.211000000003</v>
      </c>
      <c r="H98" s="23">
        <f t="shared" si="12"/>
        <v>52972.582999999999</v>
      </c>
      <c r="I98" s="23">
        <f t="shared" si="12"/>
        <v>54693.046000000002</v>
      </c>
      <c r="J98" s="23">
        <f t="shared" si="12"/>
        <v>54550.960999999996</v>
      </c>
      <c r="K98" s="23">
        <f t="shared" si="12"/>
        <v>92645.684999999998</v>
      </c>
      <c r="L98" s="23">
        <f t="shared" si="12"/>
        <v>90279.145000000004</v>
      </c>
      <c r="M98" s="23">
        <f t="shared" si="12"/>
        <v>91482.36099999999</v>
      </c>
      <c r="N98" s="23">
        <f t="shared" si="12"/>
        <v>100487.406</v>
      </c>
      <c r="O98" s="23"/>
      <c r="P98" s="23"/>
      <c r="Q98" s="23"/>
      <c r="R98" s="23"/>
      <c r="S98" s="23"/>
    </row>
    <row r="99" spans="2:19" x14ac:dyDescent="0.45">
      <c r="B99" s="2"/>
      <c r="D99" s="2"/>
      <c r="E99" s="25"/>
      <c r="F99" s="25"/>
      <c r="G99" s="25"/>
      <c r="H99" s="25"/>
      <c r="I99" s="25"/>
      <c r="J99" s="25"/>
      <c r="K99" s="25"/>
      <c r="L99" s="25"/>
      <c r="M99" s="25"/>
      <c r="N99" s="25"/>
      <c r="O99" s="25"/>
      <c r="P99" s="25"/>
      <c r="Q99" s="25"/>
      <c r="R99" s="25"/>
      <c r="S99" s="25"/>
    </row>
    <row r="100" spans="2:19" x14ac:dyDescent="0.45">
      <c r="B100" s="2"/>
      <c r="D100" s="2"/>
      <c r="E100" s="25"/>
      <c r="F100" s="25"/>
      <c r="G100" s="25"/>
      <c r="H100" s="25"/>
      <c r="I100" s="25"/>
      <c r="J100" s="25"/>
      <c r="K100" s="25"/>
      <c r="L100" s="25"/>
      <c r="M100" s="25"/>
      <c r="N100" s="25"/>
      <c r="O100" s="25"/>
      <c r="P100" s="25"/>
      <c r="Q100" s="25"/>
      <c r="R100" s="25"/>
      <c r="S100" s="25"/>
    </row>
    <row r="102" spans="2:19" x14ac:dyDescent="0.45">
      <c r="B102" s="506"/>
      <c r="C102" s="496"/>
      <c r="D102" s="502" t="s">
        <v>493</v>
      </c>
      <c r="E102" s="502"/>
      <c r="F102" s="502"/>
      <c r="G102" s="502"/>
      <c r="H102" s="502"/>
      <c r="I102" s="502"/>
      <c r="J102" s="502"/>
      <c r="K102" s="502"/>
      <c r="L102" s="502"/>
      <c r="M102" s="502"/>
      <c r="N102" s="502"/>
      <c r="O102" s="23"/>
      <c r="P102" s="23"/>
      <c r="Q102" s="23"/>
      <c r="R102" s="23"/>
      <c r="S102" s="23"/>
    </row>
    <row r="103" spans="2:19" x14ac:dyDescent="0.45">
      <c r="B103" s="506"/>
      <c r="C103" s="496"/>
      <c r="D103" s="496"/>
      <c r="E103" s="502"/>
      <c r="F103" s="502"/>
      <c r="G103" s="502"/>
      <c r="H103" s="502"/>
      <c r="I103" s="502"/>
      <c r="J103" s="502"/>
      <c r="K103" s="502"/>
      <c r="L103" s="502"/>
      <c r="M103" s="502"/>
      <c r="N103" s="502"/>
      <c r="O103" s="23"/>
      <c r="P103" s="23"/>
      <c r="Q103" s="23"/>
      <c r="R103" s="23"/>
      <c r="S103" s="23"/>
    </row>
    <row r="104" spans="2:19" x14ac:dyDescent="0.45">
      <c r="B104" s="497"/>
      <c r="C104" s="496"/>
      <c r="D104" s="505" t="s">
        <v>494</v>
      </c>
      <c r="E104" s="496"/>
      <c r="F104" s="496"/>
      <c r="G104" s="496"/>
      <c r="H104" s="496"/>
      <c r="I104" s="496"/>
      <c r="J104" s="496"/>
      <c r="K104" s="496"/>
      <c r="L104" s="496"/>
      <c r="M104" s="496"/>
      <c r="N104" s="496"/>
      <c r="O104" s="25"/>
      <c r="P104" s="25"/>
      <c r="Q104" s="25"/>
      <c r="R104" s="25"/>
      <c r="S104" s="25"/>
    </row>
    <row r="105" spans="2:19" x14ac:dyDescent="0.45">
      <c r="B105" s="497" t="s">
        <v>303</v>
      </c>
      <c r="C105" s="496"/>
      <c r="D105" s="496" t="s">
        <v>557</v>
      </c>
      <c r="E105" s="500">
        <f>AstraZeneca!B114/$D$3-E32-E17+E16</f>
        <v>2713.723</v>
      </c>
      <c r="F105" s="500">
        <f>AstraZeneca!C114/$D$3-F32-F17+F16</f>
        <v>3628.7959999999998</v>
      </c>
      <c r="G105" s="500">
        <f>AstraZeneca!D114/$D$3-G32-G17+G16</f>
        <v>3906.7270000000003</v>
      </c>
      <c r="H105" s="500">
        <f>AstraZeneca!E114/$D$3-H32-H17+H16</f>
        <v>2617.3050000000003</v>
      </c>
      <c r="I105" s="500">
        <f>AstraZeneca!F114/$D$3-I32-I17+I16</f>
        <v>1732.174</v>
      </c>
      <c r="J105" s="500">
        <f>AstraZeneca!G114/$D$3-J32-J17+J16</f>
        <v>2841.0250000000005</v>
      </c>
      <c r="K105" s="500">
        <f>AstraZeneca!H114/$D$3-K32-K17+K16</f>
        <v>1109.048</v>
      </c>
      <c r="L105" s="500">
        <f>AstraZeneca!I114/$D$3-L32-L17+L16</f>
        <v>4830.7749999999996</v>
      </c>
      <c r="M105" s="500">
        <f>AstraZeneca!J114/$D$3-M32-M17+M16</f>
        <v>6045.8330000000005</v>
      </c>
      <c r="N105" s="500">
        <f>AstraZeneca!K114/$D$3-N32-N17+N16</f>
        <v>6595.0659999999998</v>
      </c>
      <c r="O105" s="25"/>
      <c r="P105" s="25"/>
      <c r="Q105" s="25"/>
      <c r="R105" s="25"/>
      <c r="S105" s="25"/>
    </row>
    <row r="106" spans="2:19" x14ac:dyDescent="0.45">
      <c r="B106" s="2" t="s">
        <v>314</v>
      </c>
      <c r="D106" s="467" t="s">
        <v>408</v>
      </c>
      <c r="E106" s="500">
        <f t="shared" ref="E106:N106" si="13">E17</f>
        <v>-353.41500000000002</v>
      </c>
      <c r="F106" s="500">
        <f t="shared" si="13"/>
        <v>-557.92899999999997</v>
      </c>
      <c r="G106" s="500">
        <f t="shared" si="13"/>
        <v>-588.89099999999996</v>
      </c>
      <c r="H106" s="500">
        <f t="shared" si="13"/>
        <v>-630.59400000000005</v>
      </c>
      <c r="I106" s="500">
        <f t="shared" si="13"/>
        <v>-696.8</v>
      </c>
      <c r="J106" s="500">
        <f t="shared" si="13"/>
        <v>-647.322</v>
      </c>
      <c r="K106" s="500">
        <f t="shared" si="13"/>
        <v>-656.46199999999999</v>
      </c>
      <c r="L106" s="500">
        <f t="shared" si="13"/>
        <v>-872.35599999999999</v>
      </c>
      <c r="M106" s="500">
        <f t="shared" si="13"/>
        <v>-1127.4090000000001</v>
      </c>
      <c r="N106" s="500">
        <f t="shared" si="13"/>
        <v>-1297.193</v>
      </c>
      <c r="O106" s="25"/>
      <c r="P106" s="25"/>
      <c r="Q106" s="25"/>
      <c r="R106" s="25"/>
      <c r="S106" s="25"/>
    </row>
    <row r="107" spans="2:19" x14ac:dyDescent="0.45">
      <c r="B107" s="2" t="s">
        <v>310</v>
      </c>
      <c r="D107" s="467" t="s">
        <v>558</v>
      </c>
      <c r="E107" s="500">
        <f t="shared" ref="E107:N107" si="14">-E16</f>
        <v>-32.456000000000003</v>
      </c>
      <c r="F107" s="500">
        <f t="shared" si="14"/>
        <v>-38.883000000000003</v>
      </c>
      <c r="G107" s="500">
        <f t="shared" si="14"/>
        <v>-87.802000000000007</v>
      </c>
      <c r="H107" s="500">
        <f t="shared" si="14"/>
        <v>-111.88</v>
      </c>
      <c r="I107" s="500">
        <f t="shared" si="14"/>
        <v>-129.53299999999999</v>
      </c>
      <c r="J107" s="500">
        <f t="shared" si="14"/>
        <v>-67.539000000000001</v>
      </c>
      <c r="K107" s="500">
        <f t="shared" si="14"/>
        <v>-36.375999999999998</v>
      </c>
      <c r="L107" s="500">
        <f t="shared" si="14"/>
        <v>-77.055999999999997</v>
      </c>
      <c r="M107" s="500">
        <f t="shared" si="14"/>
        <v>-278.38400000000001</v>
      </c>
      <c r="N107" s="500">
        <f t="shared" si="14"/>
        <v>-318.98200000000003</v>
      </c>
      <c r="O107" s="25"/>
      <c r="P107" s="25"/>
      <c r="Q107" s="25"/>
      <c r="R107" s="25"/>
      <c r="S107" s="25"/>
    </row>
    <row r="108" spans="2:19" x14ac:dyDescent="0.45">
      <c r="B108" s="2" t="s">
        <v>304</v>
      </c>
      <c r="D108" s="467" t="s">
        <v>559</v>
      </c>
      <c r="E108" s="500">
        <f t="shared" ref="E108:N108" si="15">E32</f>
        <v>219.08099999999999</v>
      </c>
      <c r="F108" s="500">
        <f t="shared" si="15"/>
        <v>132.02199999999999</v>
      </c>
      <c r="G108" s="500">
        <f t="shared" si="15"/>
        <v>-568.49300000000005</v>
      </c>
      <c r="H108" s="500">
        <f t="shared" si="15"/>
        <v>-48.311999999999998</v>
      </c>
      <c r="I108" s="500">
        <f t="shared" si="15"/>
        <v>286.76</v>
      </c>
      <c r="J108" s="500">
        <f t="shared" si="15"/>
        <v>677.14499999999998</v>
      </c>
      <c r="K108" s="500">
        <f t="shared" si="15"/>
        <v>-321.46300000000002</v>
      </c>
      <c r="L108" s="500">
        <f t="shared" si="15"/>
        <v>-753.44100000000003</v>
      </c>
      <c r="M108" s="500">
        <f t="shared" si="15"/>
        <v>867.52200000000005</v>
      </c>
      <c r="N108" s="500">
        <f t="shared" si="15"/>
        <v>1525.5650000000001</v>
      </c>
      <c r="O108" s="25"/>
      <c r="P108" s="25"/>
      <c r="Q108" s="25"/>
      <c r="R108" s="25"/>
      <c r="S108" s="25"/>
    </row>
    <row r="109" spans="2:19" x14ac:dyDescent="0.45">
      <c r="B109" s="2" t="s">
        <v>306</v>
      </c>
      <c r="C109" s="496"/>
      <c r="D109" s="496" t="s">
        <v>556</v>
      </c>
      <c r="E109" s="504">
        <f>+IFERROR(AstraZeneca!B115/$D$3,0)</f>
        <v>562.57899999999995</v>
      </c>
      <c r="F109" s="504">
        <f>+IFERROR(AstraZeneca!C115/$D$3,0)</f>
        <v>510.90699999999998</v>
      </c>
      <c r="G109" s="504">
        <f>+IFERROR(AstraZeneca!D115/$D$3,0)</f>
        <v>509.959</v>
      </c>
      <c r="H109" s="504">
        <f>+IFERROR(AstraZeneca!E115/$D$3,0)</f>
        <v>547.53200000000004</v>
      </c>
      <c r="I109" s="504">
        <f>+IFERROR(AstraZeneca!F115/$D$3,0)</f>
        <v>762.90700000000004</v>
      </c>
      <c r="J109" s="504">
        <f>+IFERROR(AstraZeneca!G115/$D$3,0)</f>
        <v>792.92600000000004</v>
      </c>
      <c r="K109" s="504">
        <f>+IFERROR(AstraZeneca!H115/$D$3,0)</f>
        <v>811.27099999999996</v>
      </c>
      <c r="L109" s="504">
        <f>+IFERROR(AstraZeneca!I115/$D$3,0)</f>
        <v>1044.5429999999999</v>
      </c>
      <c r="M109" s="504">
        <f>+IFERROR(AstraZeneca!J115/$D$3,0)</f>
        <v>929.48800000000006</v>
      </c>
      <c r="N109" s="504">
        <f>+IFERROR(AstraZeneca!K115/$D$3,0)</f>
        <v>1055.876</v>
      </c>
      <c r="O109" s="25"/>
      <c r="P109" s="25"/>
      <c r="Q109" s="25"/>
      <c r="R109" s="25"/>
      <c r="S109" s="25"/>
    </row>
    <row r="110" spans="2:19" x14ac:dyDescent="0.45">
      <c r="B110" s="2" t="s">
        <v>306</v>
      </c>
      <c r="C110" s="496"/>
      <c r="D110" s="496" t="s">
        <v>560</v>
      </c>
      <c r="E110" s="504">
        <f>+IFERROR(AstraZeneca!B116/$D$3,0)</f>
        <v>1705.769</v>
      </c>
      <c r="F110" s="504">
        <f>+IFERROR(AstraZeneca!C116/$D$3,0)</f>
        <v>1461.2840000000001</v>
      </c>
      <c r="G110" s="504">
        <f>+IFERROR(AstraZeneca!D116/$D$3,0)</f>
        <v>1547.614</v>
      </c>
      <c r="H110" s="504">
        <f>+IFERROR(AstraZeneca!E116/$D$3,0)</f>
        <v>1767.1880000000001</v>
      </c>
      <c r="I110" s="504">
        <f>+IFERROR(AstraZeneca!F116/$D$3,0)</f>
        <v>1661.6010000000001</v>
      </c>
      <c r="J110" s="504">
        <f>+IFERROR(AstraZeneca!G116/$D$3,0)</f>
        <v>1693.739</v>
      </c>
      <c r="K110" s="504">
        <f>+IFERROR(AstraZeneca!H116/$D$3,0)</f>
        <v>2605.5430000000001</v>
      </c>
      <c r="L110" s="504">
        <f>+IFERROR(AstraZeneca!I116/$D$3,0)</f>
        <v>3881.364</v>
      </c>
      <c r="M110" s="504">
        <f>+IFERROR(AstraZeneca!J116/$D$3,0)</f>
        <v>3557.0250000000001</v>
      </c>
      <c r="N110" s="504">
        <f>+IFERROR(AstraZeneca!K116/$D$3,0)</f>
        <v>3549.482</v>
      </c>
      <c r="O110" s="25"/>
      <c r="P110" s="25"/>
      <c r="Q110" s="25"/>
      <c r="R110" s="25"/>
      <c r="S110" s="25"/>
    </row>
    <row r="111" spans="2:19" x14ac:dyDescent="0.45">
      <c r="B111" s="2" t="s">
        <v>306</v>
      </c>
      <c r="C111" s="496"/>
      <c r="D111" s="496" t="s">
        <v>561</v>
      </c>
      <c r="E111" s="504">
        <f>+IFERROR(AstraZeneca!B118/$D$3,0)</f>
        <v>96.468000000000004</v>
      </c>
      <c r="F111" s="504">
        <f>+IFERROR(AstraZeneca!C118/$D$3,0)</f>
        <v>76.861999999999995</v>
      </c>
      <c r="G111" s="504">
        <f>+IFERROR(AstraZeneca!D118/$D$3,0)</f>
        <v>74.498000000000005</v>
      </c>
      <c r="H111" s="504">
        <f>+IFERROR(AstraZeneca!E118/$D$3,0)</f>
        <v>67.805999999999997</v>
      </c>
      <c r="I111" s="504">
        <f>+IFERROR(AstraZeneca!F118/$D$3,0)</f>
        <v>60.747</v>
      </c>
      <c r="J111" s="504">
        <f>+IFERROR(AstraZeneca!G118/$D$3,0)</f>
        <v>53.505000000000003</v>
      </c>
      <c r="K111" s="504">
        <f>+IFERROR(AstraZeneca!H118/$D$3,0)</f>
        <v>263.09199999999998</v>
      </c>
      <c r="L111" s="504">
        <f>+IFERROR(AstraZeneca!I118/$D$3,0)</f>
        <v>277.78399999999999</v>
      </c>
      <c r="M111" s="504">
        <f>+IFERROR(AstraZeneca!J118/$D$3,0)</f>
        <v>258.96199999999999</v>
      </c>
      <c r="N111" s="504">
        <f>+IFERROR(AstraZeneca!K118/$D$3,0)</f>
        <v>184.917</v>
      </c>
      <c r="O111" s="25"/>
      <c r="P111" s="25"/>
      <c r="Q111" s="25"/>
      <c r="R111" s="25"/>
      <c r="S111" s="25"/>
    </row>
    <row r="112" spans="2:19" x14ac:dyDescent="0.45">
      <c r="B112" s="2" t="s">
        <v>305</v>
      </c>
      <c r="C112" s="496"/>
      <c r="D112" s="496" t="s">
        <v>562</v>
      </c>
      <c r="E112" s="504">
        <f>+IFERROR(AstraZeneca!B119/$D$3,0)</f>
        <v>-943.04200000000003</v>
      </c>
      <c r="F112" s="504">
        <f>+IFERROR(AstraZeneca!C119/$D$3,0)</f>
        <v>-1202.6659999999999</v>
      </c>
      <c r="G112" s="504">
        <f>+IFERROR(AstraZeneca!D119/$D$3,0)</f>
        <v>-1367.576</v>
      </c>
      <c r="H112" s="504">
        <f>+IFERROR(AstraZeneca!E119/$D$3,0)</f>
        <v>-1590.893</v>
      </c>
      <c r="I112" s="504">
        <f>+IFERROR(AstraZeneca!F119/$D$3,0)</f>
        <v>-1110.414</v>
      </c>
      <c r="J112" s="504">
        <f>+IFERROR(AstraZeneca!G119/$D$3,0)</f>
        <v>-925.37300000000005</v>
      </c>
      <c r="K112" s="504">
        <f>+IFERROR(AstraZeneca!H119/$D$3,0)</f>
        <v>-430.59100000000001</v>
      </c>
      <c r="L112" s="504">
        <f>+IFERROR(AstraZeneca!I119/$D$3,0)</f>
        <v>-205.48400000000001</v>
      </c>
      <c r="M112" s="504">
        <f>+IFERROR(AstraZeneca!J119/$D$3,0)</f>
        <v>-270.06</v>
      </c>
      <c r="N112" s="504">
        <f>+IFERROR(AstraZeneca!K119/$D$3,0)</f>
        <v>-55.475000000000001</v>
      </c>
      <c r="O112" s="25"/>
      <c r="P112" s="25"/>
      <c r="Q112" s="25"/>
      <c r="R112" s="25"/>
      <c r="S112" s="25"/>
    </row>
    <row r="113" spans="2:19" x14ac:dyDescent="0.45">
      <c r="B113" s="2" t="s">
        <v>305</v>
      </c>
      <c r="C113" s="496"/>
      <c r="D113" s="496" t="s">
        <v>563</v>
      </c>
      <c r="E113" s="504">
        <f>+IFERROR(AstraZeneca!B120/$D$3,0)</f>
        <v>0</v>
      </c>
      <c r="F113" s="504">
        <f>+IFERROR(AstraZeneca!C120/$D$3,0)</f>
        <v>0</v>
      </c>
      <c r="G113" s="504">
        <f>+IFERROR(AstraZeneca!D120/$D$3,0)</f>
        <v>-142.78800000000001</v>
      </c>
      <c r="H113" s="504">
        <f>+IFERROR(AstraZeneca!E120/$D$3,0)</f>
        <v>0</v>
      </c>
      <c r="I113" s="504">
        <f>+IFERROR(AstraZeneca!F120/$D$3,0)</f>
        <v>0</v>
      </c>
      <c r="J113" s="504">
        <f>+IFERROR(AstraZeneca!G120/$D$3,0)</f>
        <v>0</v>
      </c>
      <c r="K113" s="504">
        <f>+IFERROR(AstraZeneca!H120/$D$3,0)</f>
        <v>-656.46199999999999</v>
      </c>
      <c r="L113" s="504">
        <f>+IFERROR(AstraZeneca!I120/$D$3,0)</f>
        <v>0</v>
      </c>
      <c r="M113" s="504">
        <f>+IFERROR(AstraZeneca!J120/$D$3,0)</f>
        <v>0</v>
      </c>
      <c r="N113" s="504">
        <f>+IFERROR(AstraZeneca!K120/$D$3,0)</f>
        <v>0</v>
      </c>
      <c r="O113" s="25"/>
      <c r="P113" s="25"/>
      <c r="Q113" s="25"/>
      <c r="R113" s="25"/>
      <c r="S113" s="25"/>
    </row>
    <row r="114" spans="2:19" x14ac:dyDescent="0.45">
      <c r="B114" s="497" t="s">
        <v>306</v>
      </c>
      <c r="C114" s="496"/>
      <c r="D114" s="496" t="s">
        <v>564</v>
      </c>
      <c r="E114" s="504">
        <f>+IFERROR(AstraZeneca!B121/$D$3,0)</f>
        <v>206.459</v>
      </c>
      <c r="F114" s="504">
        <f>+IFERROR(AstraZeneca!C121/$D$3,0)</f>
        <v>82.287999999999997</v>
      </c>
      <c r="G114" s="504">
        <f>+IFERROR(AstraZeneca!D121/$D$3,0)</f>
        <v>560.51099999999997</v>
      </c>
      <c r="H114" s="504">
        <f>+IFERROR(AstraZeneca!E121/$D$3,0)</f>
        <v>798.41300000000001</v>
      </c>
      <c r="I114" s="504">
        <f>+IFERROR(AstraZeneca!F121/$D$3,0)</f>
        <v>875.46699999999998</v>
      </c>
      <c r="J114" s="504">
        <f>+IFERROR(AstraZeneca!G121/$D$3,0)</f>
        <v>221.91399999999999</v>
      </c>
      <c r="K114" s="504">
        <f>+IFERROR(AstraZeneca!H121/$D$3,0)</f>
        <v>2053.98</v>
      </c>
      <c r="L114" s="504">
        <f>+IFERROR(AstraZeneca!I121/$D$3,0)</f>
        <v>214.99700000000001</v>
      </c>
      <c r="M114" s="504">
        <f>+IFERROR(AstraZeneca!J121/$D$3,0)</f>
        <v>421.738</v>
      </c>
      <c r="N114" s="504">
        <f>+IFERROR(AstraZeneca!K121/$D$3,0)</f>
        <v>1500.6020000000001</v>
      </c>
      <c r="O114" s="25"/>
      <c r="P114" s="25"/>
      <c r="Q114" s="25"/>
      <c r="R114" s="25"/>
      <c r="S114" s="25"/>
    </row>
    <row r="115" spans="2:19" x14ac:dyDescent="0.45">
      <c r="B115" s="2" t="s">
        <v>305</v>
      </c>
      <c r="C115" s="496"/>
      <c r="D115" s="496" t="s">
        <v>565</v>
      </c>
      <c r="E115" s="504">
        <f>+IFERROR(AstraZeneca!B122/$D$3,0)</f>
        <v>14.425000000000001</v>
      </c>
      <c r="F115" s="504">
        <f>+IFERROR(AstraZeneca!C122/$D$3,0)</f>
        <v>29.841000000000001</v>
      </c>
      <c r="G115" s="504">
        <f>+IFERROR(AstraZeneca!D122/$D$3,0)</f>
        <v>48.779000000000003</v>
      </c>
      <c r="H115" s="504">
        <f>+IFERROR(AstraZeneca!E122/$D$3,0)</f>
        <v>95.775999999999996</v>
      </c>
      <c r="I115" s="504">
        <f>+IFERROR(AstraZeneca!F122/$D$3,0)</f>
        <v>103.627</v>
      </c>
      <c r="J115" s="504">
        <f>+IFERROR(AstraZeneca!G122/$D$3,0)</f>
        <v>23.683</v>
      </c>
      <c r="K115" s="504">
        <f>+IFERROR(AstraZeneca!H122/$D$3,0)</f>
        <v>54.140999999999998</v>
      </c>
      <c r="L115" s="504">
        <f>+IFERROR(AstraZeneca!I122/$D$3,0)</f>
        <v>4.7569999999999997</v>
      </c>
      <c r="M115" s="504">
        <f>+IFERROR(AstraZeneca!J122/$D$3,0)</f>
        <v>11.098000000000001</v>
      </c>
      <c r="N115" s="504">
        <f>+IFERROR(AstraZeneca!K122/$D$3,0)</f>
        <v>25.888000000000002</v>
      </c>
      <c r="O115" s="25"/>
      <c r="P115" s="25"/>
      <c r="Q115" s="25"/>
      <c r="R115" s="25"/>
      <c r="S115" s="25"/>
    </row>
    <row r="116" spans="2:19" x14ac:dyDescent="0.45">
      <c r="B116" s="2" t="s">
        <v>306</v>
      </c>
      <c r="C116" s="496"/>
      <c r="D116" s="496" t="s">
        <v>566</v>
      </c>
      <c r="E116" s="504">
        <f>+IFERROR(AstraZeneca!B123/$D$3,0)</f>
        <v>-118.10599999999999</v>
      </c>
      <c r="F116" s="504">
        <f>+IFERROR(AstraZeneca!C123/$D$3,0)</f>
        <v>-36.17</v>
      </c>
      <c r="G116" s="504">
        <f>+IFERROR(AstraZeneca!D123/$D$3,0)</f>
        <v>-30.154</v>
      </c>
      <c r="H116" s="504">
        <f>+IFERROR(AstraZeneca!E123/$D$3,0)</f>
        <v>5.9329999999999998</v>
      </c>
      <c r="I116" s="504">
        <f>+IFERROR(AstraZeneca!F123/$D$3,0)</f>
        <v>-57.173000000000002</v>
      </c>
      <c r="J116" s="504">
        <f>+IFERROR(AstraZeneca!G123/$D$3,0)</f>
        <v>-63.152999999999999</v>
      </c>
      <c r="K116" s="504">
        <f>+IFERROR(AstraZeneca!H123/$D$3,0)</f>
        <v>38.067999999999998</v>
      </c>
      <c r="L116" s="504">
        <f>+IFERROR(AstraZeneca!I123/$D$3,0)</f>
        <v>25.684999999999999</v>
      </c>
      <c r="M116" s="504">
        <f>+IFERROR(AstraZeneca!J123/$D$3,0)</f>
        <v>-65.665000000000006</v>
      </c>
      <c r="N116" s="504">
        <f>+IFERROR(AstraZeneca!K123/$D$3,0)</f>
        <v>38.832999999999998</v>
      </c>
      <c r="O116" s="25"/>
      <c r="P116" s="25"/>
      <c r="Q116" s="25"/>
      <c r="R116" s="25"/>
      <c r="S116" s="25"/>
    </row>
    <row r="117" spans="2:19" x14ac:dyDescent="0.45">
      <c r="B117" s="2" t="s">
        <v>306</v>
      </c>
      <c r="C117" s="496"/>
      <c r="D117" s="496" t="s">
        <v>567</v>
      </c>
      <c r="E117" s="504">
        <f>+IFERROR(AstraZeneca!B124/$D$3,0)</f>
        <v>-1030.4939999999999</v>
      </c>
      <c r="F117" s="504">
        <f>+IFERROR(AstraZeneca!C124/$D$3,0)</f>
        <v>-1175.538</v>
      </c>
      <c r="G117" s="504">
        <f>+IFERROR(AstraZeneca!D124/$D$3,0)</f>
        <v>-644.76499999999999</v>
      </c>
      <c r="H117" s="504">
        <f>+IFERROR(AstraZeneca!E124/$D$3,0)</f>
        <v>-757.73</v>
      </c>
      <c r="I117" s="504">
        <f>+IFERROR(AstraZeneca!F124/$D$3,0)</f>
        <v>-527.96</v>
      </c>
      <c r="J117" s="504">
        <f>+IFERROR(AstraZeneca!G124/$D$3,0)</f>
        <v>-707.84400000000005</v>
      </c>
      <c r="K117" s="504">
        <f>+IFERROR(AstraZeneca!H124/$D$3,0)</f>
        <v>-1499.0329999999999</v>
      </c>
      <c r="L117" s="504">
        <f>+IFERROR(AstraZeneca!I124/$D$3,0)</f>
        <v>-2615.1640000000002</v>
      </c>
      <c r="M117" s="504">
        <f>+IFERROR(AstraZeneca!J124/$D$3,0)</f>
        <v>-1059.894</v>
      </c>
      <c r="N117" s="504">
        <f>+IFERROR(AstraZeneca!K124/$D$3,0)</f>
        <v>-1012.421</v>
      </c>
      <c r="O117" s="25"/>
      <c r="P117" s="25"/>
      <c r="Q117" s="25"/>
      <c r="R117" s="25"/>
      <c r="S117" s="25"/>
    </row>
    <row r="118" spans="2:19" ht="28.5" x14ac:dyDescent="0.45">
      <c r="B118" s="497" t="s">
        <v>308</v>
      </c>
      <c r="C118" s="496"/>
      <c r="D118" s="496" t="s">
        <v>568</v>
      </c>
      <c r="E118" s="504">
        <f>+IFERROR(AstraZeneca!B125/$D$3,0)</f>
        <v>137.03899999999999</v>
      </c>
      <c r="F118" s="504">
        <f>+IFERROR(AstraZeneca!C125/$D$3,0)</f>
        <v>1455.8589999999999</v>
      </c>
      <c r="G118" s="504">
        <f>+IFERROR(AstraZeneca!D125/$D$3,0)</f>
        <v>73.611000000000004</v>
      </c>
      <c r="H118" s="504">
        <f>+IFERROR(AstraZeneca!E125/$D$3,0)</f>
        <v>-443.28</v>
      </c>
      <c r="I118" s="504">
        <f>+IFERROR(AstraZeneca!F125/$D$3,0)</f>
        <v>-802.21400000000006</v>
      </c>
      <c r="J118" s="504">
        <f>+IFERROR(AstraZeneca!G125/$D$3,0)</f>
        <v>-648.19899999999996</v>
      </c>
      <c r="K118" s="504">
        <f>+IFERROR(AstraZeneca!H125/$D$3,0)</f>
        <v>-812.96299999999997</v>
      </c>
      <c r="L118" s="504">
        <f>+IFERROR(AstraZeneca!I125/$D$3,0)</f>
        <v>-1283.3230000000001</v>
      </c>
      <c r="M118" s="504">
        <f>+IFERROR(AstraZeneca!J125/$D$3,0)</f>
        <v>-1317.93</v>
      </c>
      <c r="N118" s="504">
        <f>+IFERROR(AstraZeneca!K125/$D$3,0)</f>
        <v>-1501.5260000000001</v>
      </c>
      <c r="O118" s="25"/>
      <c r="P118" s="25"/>
      <c r="Q118" s="25"/>
      <c r="R118" s="25"/>
      <c r="S118" s="25"/>
    </row>
    <row r="119" spans="2:19" ht="28.5" x14ac:dyDescent="0.45">
      <c r="B119" s="497" t="s">
        <v>308</v>
      </c>
      <c r="C119" s="496"/>
      <c r="D119" s="496" t="s">
        <v>569</v>
      </c>
      <c r="E119" s="504">
        <f>+IFERROR(AstraZeneca!B126/$D$3,0)</f>
        <v>-283.99400000000003</v>
      </c>
      <c r="F119" s="504">
        <f>+IFERROR(AstraZeneca!C126/$D$3,0)</f>
        <v>-310.161</v>
      </c>
      <c r="G119" s="504">
        <f>+IFERROR(AstraZeneca!D126/$D$3,0)</f>
        <v>-486.01299999999998</v>
      </c>
      <c r="H119" s="504">
        <f>+IFERROR(AstraZeneca!E126/$D$3,0)</f>
        <v>-11.018000000000001</v>
      </c>
      <c r="I119" s="504">
        <f>+IFERROR(AstraZeneca!F126/$D$3,0)</f>
        <v>-282.29300000000001</v>
      </c>
      <c r="J119" s="504">
        <f>+IFERROR(AstraZeneca!G126/$D$3,0)</f>
        <v>-544.69799999999998</v>
      </c>
      <c r="K119" s="504">
        <f>+IFERROR(AstraZeneca!H126/$D$3,0)</f>
        <v>1334.0719999999999</v>
      </c>
      <c r="L119" s="504">
        <f>+IFERROR(AstraZeneca!I126/$D$3,0)</f>
        <v>3749.1309999999999</v>
      </c>
      <c r="M119" s="504">
        <f>+IFERROR(AstraZeneca!J126/$D$3,0)</f>
        <v>-618.73400000000004</v>
      </c>
      <c r="N119" s="504">
        <f>+IFERROR(AstraZeneca!K126/$D$3,0)</f>
        <v>-121.121</v>
      </c>
      <c r="O119" s="25"/>
      <c r="P119" s="25"/>
      <c r="Q119" s="25"/>
      <c r="R119" s="25"/>
      <c r="S119" s="25"/>
    </row>
    <row r="120" spans="2:19" ht="28.5" x14ac:dyDescent="0.45">
      <c r="B120" s="497" t="s">
        <v>308</v>
      </c>
      <c r="C120" s="496"/>
      <c r="D120" s="496" t="s">
        <v>570</v>
      </c>
      <c r="E120" s="504">
        <f>+IFERROR(AstraZeneca!B127/$D$3,0)</f>
        <v>102.779</v>
      </c>
      <c r="F120" s="504">
        <f>+IFERROR(AstraZeneca!C127/$D$3,0)</f>
        <v>-308.35300000000001</v>
      </c>
      <c r="G120" s="504">
        <f>+IFERROR(AstraZeneca!D127/$D$3,0)</f>
        <v>368.05700000000002</v>
      </c>
      <c r="H120" s="504">
        <f>+IFERROR(AstraZeneca!E127/$D$3,0)</f>
        <v>-87.3</v>
      </c>
      <c r="I120" s="504">
        <f>+IFERROR(AstraZeneca!F127/$D$3,0)</f>
        <v>775.41399999999999</v>
      </c>
      <c r="J120" s="504">
        <f>+IFERROR(AstraZeneca!G127/$D$3,0)</f>
        <v>1509.5419999999999</v>
      </c>
      <c r="K120" s="504">
        <f>+IFERROR(AstraZeneca!H127/$D$3,0)</f>
        <v>1188.568</v>
      </c>
      <c r="L120" s="504">
        <f>+IFERROR(AstraZeneca!I127/$D$3,0)</f>
        <v>1108.2819999999999</v>
      </c>
      <c r="M120" s="504">
        <f>+IFERROR(AstraZeneca!J127/$D$3,0)</f>
        <v>2214.123</v>
      </c>
      <c r="N120" s="504">
        <f>+IFERROR(AstraZeneca!K127/$D$3,0)</f>
        <v>796.99199999999996</v>
      </c>
      <c r="O120" s="27"/>
      <c r="P120" s="27"/>
      <c r="Q120" s="27"/>
      <c r="R120" s="27"/>
      <c r="S120" s="27"/>
    </row>
    <row r="121" spans="2:19" x14ac:dyDescent="0.45">
      <c r="B121" s="497"/>
      <c r="C121" s="496"/>
      <c r="D121" s="502" t="s">
        <v>519</v>
      </c>
      <c r="E121" s="503">
        <f t="shared" ref="E121:N121" si="16">+SUM(E105:E120)</f>
        <v>2996.8150000000005</v>
      </c>
      <c r="F121" s="503">
        <f t="shared" si="16"/>
        <v>3748.1589999999997</v>
      </c>
      <c r="G121" s="503">
        <f t="shared" si="16"/>
        <v>3173.2739999999994</v>
      </c>
      <c r="H121" s="503">
        <f t="shared" si="16"/>
        <v>2218.9459999999999</v>
      </c>
      <c r="I121" s="503">
        <f t="shared" si="16"/>
        <v>2652.3100000000004</v>
      </c>
      <c r="J121" s="503">
        <f t="shared" si="16"/>
        <v>4209.3509999999987</v>
      </c>
      <c r="K121" s="503">
        <f t="shared" si="16"/>
        <v>5044.433</v>
      </c>
      <c r="L121" s="503">
        <f t="shared" si="16"/>
        <v>9330.4939999999951</v>
      </c>
      <c r="M121" s="503">
        <f t="shared" si="16"/>
        <v>9567.7129999999979</v>
      </c>
      <c r="N121" s="503">
        <f t="shared" si="16"/>
        <v>10966.503000000002</v>
      </c>
      <c r="O121" s="23"/>
      <c r="P121" s="23"/>
      <c r="Q121" s="23"/>
      <c r="R121" s="23"/>
      <c r="S121" s="23"/>
    </row>
    <row r="122" spans="2:19" x14ac:dyDescent="0.45">
      <c r="B122" s="497"/>
      <c r="C122" s="496"/>
      <c r="D122" s="496"/>
      <c r="E122" s="496"/>
      <c r="F122" s="496"/>
      <c r="G122" s="496"/>
      <c r="H122" s="496"/>
      <c r="I122" s="496"/>
      <c r="J122" s="496"/>
      <c r="K122" s="496"/>
      <c r="L122" s="496"/>
      <c r="M122" s="496"/>
      <c r="N122" s="496"/>
      <c r="O122" s="25"/>
      <c r="P122" s="25"/>
      <c r="Q122" s="25"/>
      <c r="R122" s="25"/>
      <c r="S122" s="25"/>
    </row>
    <row r="123" spans="2:19" ht="28.5" x14ac:dyDescent="0.45">
      <c r="B123" s="497" t="s">
        <v>312</v>
      </c>
      <c r="C123" s="496"/>
      <c r="D123" s="496" t="s">
        <v>571</v>
      </c>
      <c r="E123" s="500">
        <f>+IFERROR(AstraZeneca!B130/$D$3,0)</f>
        <v>-1197.2840000000001</v>
      </c>
      <c r="F123" s="500">
        <f>+IFERROR(AstraZeneca!C130/$D$3,0)</f>
        <v>-1307.56</v>
      </c>
      <c r="G123" s="500">
        <f>+IFERROR(AstraZeneca!D130/$D$3,0)</f>
        <v>-1176.009</v>
      </c>
      <c r="H123" s="500">
        <f>+IFERROR(AstraZeneca!E130/$D$3,0)</f>
        <v>-884.01800000000003</v>
      </c>
      <c r="I123" s="500">
        <f>+IFERROR(AstraZeneca!F130/$D$3,0)</f>
        <v>-874.57399999999996</v>
      </c>
      <c r="J123" s="500">
        <f>+IFERROR(AstraZeneca!G130/$D$3,0)</f>
        <v>-842.92200000000003</v>
      </c>
      <c r="K123" s="500">
        <f>+IFERROR(AstraZeneca!H130/$D$3,0)</f>
        <v>-922.93799999999999</v>
      </c>
      <c r="L123" s="500">
        <f>+IFERROR(AstraZeneca!I130/$D$3,0)</f>
        <v>-1037.884</v>
      </c>
      <c r="M123" s="500">
        <f>+IFERROR(AstraZeneca!J130/$D$3,0)</f>
        <v>-1258.739</v>
      </c>
      <c r="N123" s="500">
        <f>+IFERROR(AstraZeneca!K130/$D$3,0)</f>
        <v>-1778.902</v>
      </c>
      <c r="O123" s="25"/>
      <c r="P123" s="25"/>
      <c r="Q123" s="25"/>
      <c r="R123" s="25"/>
      <c r="S123" s="25"/>
    </row>
    <row r="124" spans="2:19" ht="28.5" x14ac:dyDescent="0.45">
      <c r="B124" s="497" t="s">
        <v>312</v>
      </c>
      <c r="C124" s="496"/>
      <c r="D124" s="496" t="s">
        <v>572</v>
      </c>
      <c r="E124" s="500">
        <f>+IFERROR(AstraZeneca!B131/$D$3,0)</f>
        <v>42.374000000000002</v>
      </c>
      <c r="F124" s="496">
        <v>74.099999999999994</v>
      </c>
      <c r="G124" s="496">
        <v>73.599999999999994</v>
      </c>
      <c r="H124" s="496">
        <v>10.199999999999999</v>
      </c>
      <c r="I124" s="496">
        <v>33.1</v>
      </c>
      <c r="J124" s="496">
        <v>93</v>
      </c>
      <c r="K124" s="496">
        <v>11</v>
      </c>
      <c r="L124" s="496">
        <v>268.3</v>
      </c>
      <c r="M124" s="496">
        <v>122.1</v>
      </c>
      <c r="N124" s="496">
        <v>50.9</v>
      </c>
      <c r="O124" s="25"/>
      <c r="P124" s="25"/>
      <c r="Q124" s="25"/>
      <c r="R124" s="25"/>
      <c r="S124" s="25"/>
    </row>
    <row r="125" spans="2:19" ht="28.5" x14ac:dyDescent="0.45">
      <c r="B125" s="497" t="s">
        <v>312</v>
      </c>
      <c r="C125" s="496"/>
      <c r="D125" s="496" t="s">
        <v>573</v>
      </c>
      <c r="E125" s="500">
        <f>+IFERROR(AstraZeneca!B132/$D$3,0)</f>
        <v>-2727.2469999999998</v>
      </c>
      <c r="F125" s="500">
        <v>-2595.1999999999998</v>
      </c>
      <c r="G125" s="500">
        <v>-1670.9</v>
      </c>
      <c r="H125" s="496">
        <v>-295.8</v>
      </c>
      <c r="I125" s="496">
        <v>-633.4</v>
      </c>
      <c r="J125" s="496">
        <v>-721</v>
      </c>
      <c r="K125" s="500">
        <v>-8558.5</v>
      </c>
      <c r="L125" s="496">
        <v>-984.6</v>
      </c>
      <c r="M125" s="500">
        <v>-1016.4</v>
      </c>
      <c r="N125" s="500">
        <v>-3496.8</v>
      </c>
      <c r="O125" s="25"/>
      <c r="P125" s="25"/>
      <c r="Q125" s="25"/>
      <c r="R125" s="25"/>
      <c r="S125" s="25"/>
    </row>
    <row r="126" spans="2:19" ht="28.5" x14ac:dyDescent="0.45">
      <c r="B126" s="497" t="s">
        <v>312</v>
      </c>
      <c r="C126" s="496"/>
      <c r="D126" s="496" t="s">
        <v>574</v>
      </c>
      <c r="E126" s="500">
        <f>+IFERROR(AstraZeneca!B133/$D$3,0)</f>
        <v>-297.51799999999997</v>
      </c>
      <c r="F126" s="496">
        <v>505.5</v>
      </c>
      <c r="G126" s="496">
        <v>959.6</v>
      </c>
      <c r="H126" s="500">
        <v>1703.6</v>
      </c>
      <c r="I126" s="496">
        <v>531.5</v>
      </c>
      <c r="J126" s="496">
        <v>-608.70000000000005</v>
      </c>
      <c r="K126" s="496">
        <v>-441.6</v>
      </c>
      <c r="L126" s="496">
        <v>-982.7</v>
      </c>
      <c r="M126" s="500">
        <v>-1966.3</v>
      </c>
      <c r="N126" s="500">
        <v>-2347.5</v>
      </c>
      <c r="O126" s="25"/>
      <c r="P126" s="25"/>
      <c r="Q126" s="25"/>
      <c r="R126" s="25"/>
      <c r="S126" s="25"/>
    </row>
    <row r="127" spans="2:19" ht="28.5" x14ac:dyDescent="0.45">
      <c r="B127" s="497" t="s">
        <v>312</v>
      </c>
      <c r="C127" s="496"/>
      <c r="D127" s="496" t="s">
        <v>575</v>
      </c>
      <c r="E127" s="500">
        <f>+IFERROR(AstraZeneca!B134/$D$3,0)</f>
        <v>247.03</v>
      </c>
      <c r="F127" s="496">
        <v>-392.4</v>
      </c>
      <c r="G127" s="496">
        <v>-396.4</v>
      </c>
      <c r="H127" s="496">
        <v>118.7</v>
      </c>
      <c r="I127" s="496">
        <v>111.7</v>
      </c>
      <c r="J127" s="500">
        <v>1753.4</v>
      </c>
      <c r="K127" s="496">
        <v>511.8</v>
      </c>
      <c r="L127" s="496">
        <v>-136</v>
      </c>
      <c r="M127" s="496">
        <v>-80.5</v>
      </c>
      <c r="N127" s="496">
        <v>-123</v>
      </c>
      <c r="O127" s="27"/>
      <c r="P127" s="27"/>
      <c r="Q127" s="27"/>
      <c r="R127" s="27"/>
      <c r="S127" s="27"/>
    </row>
    <row r="128" spans="2:19" ht="28.5" x14ac:dyDescent="0.45">
      <c r="B128" s="497" t="s">
        <v>312</v>
      </c>
      <c r="C128" s="496"/>
      <c r="D128" s="496" t="s">
        <v>576</v>
      </c>
      <c r="E128" s="500">
        <f>+IFERROR(AstraZeneca!B135/$D$3,0)</f>
        <v>110.893</v>
      </c>
      <c r="F128" s="496">
        <v>126.6</v>
      </c>
      <c r="G128" s="496">
        <v>145.4</v>
      </c>
      <c r="H128" s="496">
        <v>163.6</v>
      </c>
      <c r="I128" s="496">
        <v>244.8</v>
      </c>
      <c r="J128" s="496">
        <v>76.3</v>
      </c>
      <c r="K128" s="496">
        <v>45.7</v>
      </c>
      <c r="L128" s="496">
        <v>57.1</v>
      </c>
      <c r="M128" s="496">
        <v>441.2</v>
      </c>
      <c r="N128" s="496">
        <v>317.10000000000002</v>
      </c>
      <c r="O128" s="23"/>
      <c r="P128" s="23"/>
      <c r="Q128" s="23"/>
      <c r="R128" s="23"/>
      <c r="S128" s="23"/>
    </row>
    <row r="129" spans="1:19" x14ac:dyDescent="0.45">
      <c r="B129" s="497"/>
      <c r="C129" s="496"/>
      <c r="D129" s="502" t="s">
        <v>529</v>
      </c>
      <c r="E129" s="501">
        <f t="shared" ref="E129:N129" si="17">+SUM(E123:E128)</f>
        <v>-3821.752</v>
      </c>
      <c r="F129" s="501">
        <f t="shared" si="17"/>
        <v>-3588.96</v>
      </c>
      <c r="G129" s="501">
        <f t="shared" si="17"/>
        <v>-2064.7090000000003</v>
      </c>
      <c r="H129" s="501">
        <f t="shared" si="17"/>
        <v>816.28200000000004</v>
      </c>
      <c r="I129" s="501">
        <f t="shared" si="17"/>
        <v>-586.8739999999998</v>
      </c>
      <c r="J129" s="501">
        <f t="shared" si="17"/>
        <v>-249.9220000000002</v>
      </c>
      <c r="K129" s="501">
        <f t="shared" si="17"/>
        <v>-9354.5380000000005</v>
      </c>
      <c r="L129" s="501">
        <f t="shared" si="17"/>
        <v>-2815.7840000000001</v>
      </c>
      <c r="M129" s="501">
        <f t="shared" si="17"/>
        <v>-3758.6390000000001</v>
      </c>
      <c r="N129" s="501">
        <f t="shared" si="17"/>
        <v>-7378.2019999999993</v>
      </c>
      <c r="O129" s="25"/>
      <c r="P129" s="25"/>
      <c r="Q129" s="25"/>
      <c r="R129" s="25"/>
      <c r="S129" s="25"/>
    </row>
    <row r="130" spans="1:19" x14ac:dyDescent="0.45">
      <c r="B130" s="497"/>
      <c r="C130" s="496"/>
      <c r="D130" s="496"/>
      <c r="E130" s="496"/>
      <c r="F130" s="496"/>
      <c r="G130" s="496"/>
      <c r="H130" s="496"/>
      <c r="I130" s="496"/>
      <c r="J130" s="496"/>
      <c r="K130" s="496"/>
      <c r="L130" s="496"/>
      <c r="M130" s="496"/>
      <c r="N130" s="496"/>
      <c r="O130" s="25"/>
      <c r="P130" s="25"/>
      <c r="Q130" s="25"/>
      <c r="R130" s="25"/>
      <c r="S130" s="25"/>
    </row>
    <row r="131" spans="1:19" x14ac:dyDescent="0.45">
      <c r="B131" s="497" t="s">
        <v>315</v>
      </c>
      <c r="C131" s="496"/>
      <c r="D131" s="496" t="s">
        <v>577</v>
      </c>
      <c r="E131" s="500">
        <f>+IFERROR(AstraZeneca!B138/$D$3,0)</f>
        <v>0</v>
      </c>
      <c r="F131" s="500">
        <f>+IFERROR(AstraZeneca!C138/$D$3,0)</f>
        <v>0</v>
      </c>
      <c r="G131" s="500">
        <f>+IFERROR(AstraZeneca!D138/$D$3,0)</f>
        <v>297.99299999999999</v>
      </c>
      <c r="H131" s="500">
        <f>+IFERROR(AstraZeneca!E138/$D$3,0)</f>
        <v>0</v>
      </c>
      <c r="I131" s="500">
        <f>+IFERROR(AstraZeneca!F138/$D$3,0)</f>
        <v>0</v>
      </c>
      <c r="J131" s="500">
        <f>+IFERROR(AstraZeneca!G138/$D$3,0)</f>
        <v>252.614</v>
      </c>
      <c r="K131" s="500">
        <f>+IFERROR(AstraZeneca!H138/$D$3,0)</f>
        <v>0</v>
      </c>
      <c r="L131" s="500">
        <f>+IFERROR(AstraZeneca!I138/$D$3,0)</f>
        <v>70.397000000000006</v>
      </c>
      <c r="M131" s="500">
        <f>+IFERROR(AstraZeneca!J138/$D$3,0)</f>
        <v>148.90299999999999</v>
      </c>
      <c r="N131" s="500">
        <f>+IFERROR(AstraZeneca!K138/$D$3,0)</f>
        <v>0</v>
      </c>
      <c r="O131" s="496"/>
      <c r="P131" s="25"/>
      <c r="Q131" s="25"/>
      <c r="R131" s="25"/>
      <c r="S131" s="25"/>
    </row>
    <row r="132" spans="1:19" x14ac:dyDescent="0.45">
      <c r="B132" s="497" t="s">
        <v>315</v>
      </c>
      <c r="C132" s="496"/>
      <c r="D132" s="496" t="s">
        <v>578</v>
      </c>
      <c r="E132" s="500">
        <f>+IFERROR(AstraZeneca!B139/$D$3,0)</f>
        <v>5344.5029999999997</v>
      </c>
      <c r="F132" s="500">
        <f>+IFERROR(AstraZeneca!C139/$D$3,0)</f>
        <v>2252.5120000000002</v>
      </c>
      <c r="G132" s="500">
        <f>+IFERROR(AstraZeneca!D139/$D$3,0)</f>
        <v>1763.127</v>
      </c>
      <c r="H132" s="500">
        <f>+IFERROR(AstraZeneca!E139/$D$3,0)</f>
        <v>2518.1379999999999</v>
      </c>
      <c r="I132" s="500">
        <f>+IFERROR(AstraZeneca!F139/$D$3,0)</f>
        <v>446.66699999999997</v>
      </c>
      <c r="J132" s="500">
        <f>+IFERROR(AstraZeneca!G139/$D$3,0)</f>
        <v>2603.3229999999999</v>
      </c>
      <c r="K132" s="500">
        <f>+IFERROR(AstraZeneca!H139/$D$3,0)</f>
        <v>10937.359</v>
      </c>
      <c r="L132" s="500">
        <f>+IFERROR(AstraZeneca!I139/$D$3,0)</f>
        <v>0</v>
      </c>
      <c r="M132" s="500">
        <f>+IFERROR(AstraZeneca!J139/$D$3,0)</f>
        <v>3529.279</v>
      </c>
      <c r="N132" s="500">
        <f>+IFERROR(AstraZeneca!K139/$D$3,0)</f>
        <v>6002.4070000000002</v>
      </c>
      <c r="O132" s="496"/>
      <c r="P132" s="25"/>
      <c r="Q132" s="25"/>
      <c r="R132" s="25"/>
      <c r="S132" s="25"/>
    </row>
    <row r="133" spans="1:19" x14ac:dyDescent="0.45">
      <c r="B133" s="497" t="s">
        <v>315</v>
      </c>
      <c r="C133" s="496"/>
      <c r="D133" s="496" t="s">
        <v>579</v>
      </c>
      <c r="E133" s="500">
        <f>+IFERROR(AstraZeneca!B141/$D$3,0)</f>
        <v>-567.98900000000003</v>
      </c>
      <c r="F133" s="500">
        <f>+IFERROR(AstraZeneca!C141/$D$3,0)</f>
        <v>-273.99099999999999</v>
      </c>
      <c r="G133" s="500">
        <f>+IFERROR(AstraZeneca!D141/$D$3,0)</f>
        <v>0</v>
      </c>
      <c r="H133" s="500">
        <f>+IFERROR(AstraZeneca!E141/$D$3,0)</f>
        <v>-83.061999999999998</v>
      </c>
      <c r="I133" s="500">
        <f>+IFERROR(AstraZeneca!F141/$D$3,0)</f>
        <v>-460.96</v>
      </c>
      <c r="J133" s="500">
        <f>+IFERROR(AstraZeneca!G141/$D$3,0)</f>
        <v>0</v>
      </c>
      <c r="K133" s="500">
        <f>+IFERROR(AstraZeneca!H141/$D$3,0)</f>
        <v>-233.48400000000001</v>
      </c>
      <c r="L133" s="500">
        <f>+IFERROR(AstraZeneca!I141/$D$3,0)</f>
        <v>0</v>
      </c>
      <c r="M133" s="500">
        <f>+IFERROR(AstraZeneca!J141/$D$3,0)</f>
        <v>0</v>
      </c>
      <c r="N133" s="500">
        <f>+IFERROR(AstraZeneca!K141/$D$3,0)</f>
        <v>-28.661999999999999</v>
      </c>
      <c r="O133" s="496"/>
      <c r="P133" s="27"/>
      <c r="Q133" s="27"/>
      <c r="R133" s="27"/>
      <c r="S133" s="27"/>
    </row>
    <row r="134" spans="1:19" x14ac:dyDescent="0.45">
      <c r="B134" s="497" t="s">
        <v>315</v>
      </c>
      <c r="C134" s="496"/>
      <c r="D134" s="496" t="s">
        <v>580</v>
      </c>
      <c r="E134" s="500">
        <f>+IFERROR(AstraZeneca!B142/$D$3,0)</f>
        <v>-834.85299999999995</v>
      </c>
      <c r="F134" s="500">
        <f>+IFERROR(AstraZeneca!C142/$D$3,0)</f>
        <v>-14.468</v>
      </c>
      <c r="G134" s="500">
        <f>+IFERROR(AstraZeneca!D142/$D$3,0)</f>
        <v>-1564.4639999999999</v>
      </c>
      <c r="H134" s="500">
        <f>+IFERROR(AstraZeneca!E142/$D$3,0)</f>
        <v>-1186.6010000000001</v>
      </c>
      <c r="I134" s="500">
        <f>+IFERROR(AstraZeneca!F142/$D$3,0)</f>
        <v>-1506.1610000000001</v>
      </c>
      <c r="J134" s="500">
        <f>+IFERROR(AstraZeneca!G142/$D$3,0)</f>
        <v>-1592.8689999999999</v>
      </c>
      <c r="K134" s="500">
        <f>+IFERROR(AstraZeneca!H142/$D$3,0)</f>
        <v>-4228.9319999999998</v>
      </c>
      <c r="L134" s="500">
        <f>+IFERROR(AstraZeneca!I142/$D$3,0)</f>
        <v>-1441.242</v>
      </c>
      <c r="M134" s="500">
        <f>+IFERROR(AstraZeneca!J142/$D$3,0)</f>
        <v>-4818.5389999999998</v>
      </c>
      <c r="N134" s="500">
        <f>+IFERROR(AstraZeneca!K142/$D$3,0)</f>
        <v>-4593.3389999999999</v>
      </c>
      <c r="O134" s="496"/>
      <c r="P134" s="23"/>
      <c r="Q134" s="23"/>
      <c r="R134" s="23"/>
      <c r="S134" s="23"/>
    </row>
    <row r="135" spans="1:19" x14ac:dyDescent="0.45">
      <c r="B135" s="497" t="s">
        <v>418</v>
      </c>
      <c r="C135" s="496"/>
      <c r="D135" s="496" t="s">
        <v>581</v>
      </c>
      <c r="E135" s="500">
        <f>+IFERROR(AstraZeneca!B144/$D$3,0)</f>
        <v>38.767000000000003</v>
      </c>
      <c r="F135" s="500">
        <f>+IFERROR(AstraZeneca!C144/$D$3,0)</f>
        <v>42.5</v>
      </c>
      <c r="G135" s="500">
        <f>+IFERROR(AstraZeneca!D144/$D$3,0)</f>
        <v>38.136000000000003</v>
      </c>
      <c r="H135" s="500">
        <f>+IFERROR(AstraZeneca!E144/$D$3,0)</f>
        <v>28.817</v>
      </c>
      <c r="I135" s="500">
        <f>+IFERROR(AstraZeneca!F144/$D$3,0)</f>
        <v>3149.0010000000002</v>
      </c>
      <c r="J135" s="500">
        <f>+IFERROR(AstraZeneca!G144/$D$3,0)</f>
        <v>26.314</v>
      </c>
      <c r="K135" s="500">
        <f>+IFERROR(AstraZeneca!H144/$D$3,0)</f>
        <v>24.533000000000001</v>
      </c>
      <c r="L135" s="500">
        <f>+IFERROR(AstraZeneca!I144/$D$3,0)</f>
        <v>27.588000000000001</v>
      </c>
      <c r="M135" s="500">
        <f>+IFERROR(AstraZeneca!J144/$D$3,0)</f>
        <v>30.52</v>
      </c>
      <c r="N135" s="500">
        <f>+IFERROR(AstraZeneca!K144/$D$3,0)</f>
        <v>35.134</v>
      </c>
      <c r="O135" s="496"/>
      <c r="P135" s="25"/>
      <c r="Q135" s="25"/>
      <c r="R135" s="25"/>
      <c r="S135" s="25"/>
    </row>
    <row r="136" spans="1:19" x14ac:dyDescent="0.45">
      <c r="B136" s="497" t="s">
        <v>418</v>
      </c>
      <c r="C136" s="496"/>
      <c r="D136" s="496" t="s">
        <v>582</v>
      </c>
      <c r="E136" s="500">
        <f>+IFERROR(AstraZeneca!B145/$D$3,0)</f>
        <v>0</v>
      </c>
      <c r="F136" s="500">
        <f>+IFERROR(AstraZeneca!C145/$D$3,0)</f>
        <v>0</v>
      </c>
      <c r="G136" s="500">
        <f>+IFERROR(AstraZeneca!D145/$D$3,0)</f>
        <v>0</v>
      </c>
      <c r="H136" s="500">
        <f>+IFERROR(AstraZeneca!E145/$D$3,0)</f>
        <v>0</v>
      </c>
      <c r="I136" s="500">
        <f>+IFERROR(AstraZeneca!F145/$D$3,0)</f>
        <v>0</v>
      </c>
      <c r="J136" s="500">
        <f>+IFERROR(AstraZeneca!G145/$D$3,0)</f>
        <v>0</v>
      </c>
      <c r="K136" s="500">
        <f>+IFERROR(AstraZeneca!H145/$D$3,0)</f>
        <v>0</v>
      </c>
      <c r="L136" s="500">
        <f>+IFERROR(AstraZeneca!I145/$D$3,0)</f>
        <v>0</v>
      </c>
      <c r="M136" s="500">
        <f>+IFERROR(AstraZeneca!J145/$D$3,0)</f>
        <v>0</v>
      </c>
      <c r="N136" s="500">
        <f>+IFERROR(AstraZeneca!K145/$D$3,0)</f>
        <v>-74.891000000000005</v>
      </c>
      <c r="O136" s="496"/>
      <c r="P136" s="25"/>
      <c r="Q136" s="25"/>
      <c r="R136" s="25"/>
      <c r="S136" s="25"/>
    </row>
    <row r="137" spans="1:19" s="26" customFormat="1" x14ac:dyDescent="0.45">
      <c r="A137" s="4"/>
      <c r="B137" s="497" t="s">
        <v>317</v>
      </c>
      <c r="C137" s="496"/>
      <c r="D137" s="496" t="s">
        <v>583</v>
      </c>
      <c r="E137" s="500">
        <f>+IFERROR(AstraZeneca!B146/$D$3,0)</f>
        <v>-3142.8710000000001</v>
      </c>
      <c r="F137" s="500">
        <f>+IFERROR(AstraZeneca!C146/$D$3,0)</f>
        <v>-3220.07</v>
      </c>
      <c r="G137" s="500">
        <f>+IFERROR(AstraZeneca!D146/$D$3,0)</f>
        <v>-3120.9470000000001</v>
      </c>
      <c r="H137" s="500">
        <f>+IFERROR(AstraZeneca!E146/$D$3,0)</f>
        <v>-2952.942</v>
      </c>
      <c r="I137" s="500">
        <f>+IFERROR(AstraZeneca!F146/$D$3,0)</f>
        <v>-3208.855</v>
      </c>
      <c r="J137" s="500">
        <f>+IFERROR(AstraZeneca!G146/$D$3,0)</f>
        <v>-3133.11</v>
      </c>
      <c r="K137" s="500">
        <f>+IFERROR(AstraZeneca!H146/$D$3,0)</f>
        <v>-3262.0050000000001</v>
      </c>
      <c r="L137" s="500">
        <f>+IFERROR(AstraZeneca!I146/$D$3,0)</f>
        <v>-4267.5969999999998</v>
      </c>
      <c r="M137" s="500">
        <f>+IFERROR(AstraZeneca!J146/$D$3,0)</f>
        <v>-4153.5619999999999</v>
      </c>
      <c r="N137" s="500">
        <f>+IFERROR(AstraZeneca!K146/$D$3,0)</f>
        <v>-4258.6390000000001</v>
      </c>
      <c r="O137" s="496"/>
      <c r="P137" s="23"/>
      <c r="Q137" s="23"/>
      <c r="R137" s="23"/>
      <c r="S137" s="23"/>
    </row>
    <row r="138" spans="1:19" x14ac:dyDescent="0.45">
      <c r="B138" s="497" t="s">
        <v>315</v>
      </c>
      <c r="C138" s="496"/>
      <c r="D138" s="496" t="s">
        <v>584</v>
      </c>
      <c r="E138" s="500">
        <f>+IFERROR(AstraZeneca!B148/$D$3,0)</f>
        <v>-45.98</v>
      </c>
      <c r="F138" s="500">
        <f>+IFERROR(AstraZeneca!C148/$D$3,0)</f>
        <v>16.277000000000001</v>
      </c>
      <c r="G138" s="500">
        <f>+IFERROR(AstraZeneca!D148/$D$3,0)</f>
        <v>-17.738</v>
      </c>
      <c r="H138" s="500">
        <f>+IFERROR(AstraZeneca!E148/$D$3,0)</f>
        <v>-56.786999999999999</v>
      </c>
      <c r="I138" s="500">
        <f>+IFERROR(AstraZeneca!F148/$D$3,0)</f>
        <v>3.573</v>
      </c>
      <c r="J138" s="500">
        <f>+IFERROR(AstraZeneca!G148/$D$3,0)</f>
        <v>-88.59</v>
      </c>
      <c r="K138" s="500">
        <f>+IFERROR(AstraZeneca!H148/$D$3,0)</f>
        <v>-150.58000000000001</v>
      </c>
      <c r="L138" s="500">
        <f>+IFERROR(AstraZeneca!I148/$D$3,0)</f>
        <v>-879.96600000000001</v>
      </c>
      <c r="M138" s="500">
        <f>+IFERROR(AstraZeneca!J148/$D$3,0)</f>
        <v>-810.18</v>
      </c>
      <c r="N138" s="500">
        <f>+IFERROR(AstraZeneca!K148/$D$3,0)</f>
        <v>-776.65099999999995</v>
      </c>
      <c r="O138" s="496"/>
      <c r="P138" s="25"/>
      <c r="Q138" s="25"/>
      <c r="R138" s="25"/>
      <c r="S138" s="25"/>
    </row>
    <row r="139" spans="1:19" x14ac:dyDescent="0.45">
      <c r="B139" s="497"/>
      <c r="C139" s="496"/>
      <c r="D139" s="499" t="s">
        <v>538</v>
      </c>
      <c r="E139" s="498">
        <f t="shared" ref="E139:N139" si="18">+SUM(E131:E138)</f>
        <v>791.57699999999886</v>
      </c>
      <c r="F139" s="499">
        <f t="shared" si="18"/>
        <v>-1197.24</v>
      </c>
      <c r="G139" s="499">
        <f t="shared" si="18"/>
        <v>-2603.893</v>
      </c>
      <c r="H139" s="499">
        <f t="shared" si="18"/>
        <v>-1732.4370000000001</v>
      </c>
      <c r="I139" s="499">
        <f t="shared" si="18"/>
        <v>-1576.7349999999999</v>
      </c>
      <c r="J139" s="499">
        <f t="shared" si="18"/>
        <v>-1932.318</v>
      </c>
      <c r="K139" s="499">
        <f t="shared" si="18"/>
        <v>3086.8910000000005</v>
      </c>
      <c r="L139" s="499">
        <f t="shared" si="18"/>
        <v>-6490.82</v>
      </c>
      <c r="M139" s="499">
        <f t="shared" si="18"/>
        <v>-6073.5789999999997</v>
      </c>
      <c r="N139" s="498">
        <f t="shared" si="18"/>
        <v>-3694.6410000000001</v>
      </c>
      <c r="O139" s="27"/>
      <c r="P139" s="27"/>
      <c r="Q139" s="27"/>
      <c r="R139" s="27"/>
      <c r="S139" s="27"/>
    </row>
    <row r="140" spans="1:19" x14ac:dyDescent="0.45">
      <c r="B140" s="497"/>
      <c r="C140" s="496"/>
      <c r="D140" s="496"/>
      <c r="E140" s="496"/>
      <c r="F140" s="496"/>
      <c r="G140" s="496"/>
      <c r="H140" s="496"/>
      <c r="I140" s="496"/>
      <c r="J140" s="496"/>
      <c r="K140" s="496"/>
      <c r="L140" s="496"/>
      <c r="M140" s="496"/>
      <c r="N140" s="496"/>
      <c r="O140" s="23"/>
      <c r="P140" s="23"/>
      <c r="Q140" s="23"/>
      <c r="R140" s="23"/>
      <c r="S140" s="23"/>
    </row>
    <row r="141" spans="1:19" s="26" customFormat="1" ht="15" customHeight="1" x14ac:dyDescent="0.45">
      <c r="A141" s="4"/>
      <c r="B141" s="5"/>
      <c r="C141" s="4"/>
      <c r="D141" s="479" t="s">
        <v>539</v>
      </c>
      <c r="E141" s="23"/>
      <c r="F141" s="23"/>
      <c r="G141" s="23"/>
      <c r="H141" s="23"/>
      <c r="I141" s="23"/>
      <c r="J141" s="23"/>
      <c r="K141" s="23"/>
      <c r="L141" s="23"/>
      <c r="M141" s="23"/>
      <c r="N141" s="23"/>
      <c r="O141" s="23"/>
      <c r="P141" s="23"/>
      <c r="Q141" s="23"/>
      <c r="R141" s="23"/>
      <c r="S141" s="23"/>
    </row>
    <row r="142" spans="1:19" ht="15" customHeight="1" x14ac:dyDescent="0.45">
      <c r="B142" s="2"/>
      <c r="D142" s="31" t="s">
        <v>540</v>
      </c>
      <c r="E142" s="25">
        <f t="shared" ref="E142:N142" si="19">SUM(E121,E129,E139)</f>
        <v>-33.360000000000582</v>
      </c>
      <c r="F142" s="25">
        <f t="shared" si="19"/>
        <v>-1038.0410000000004</v>
      </c>
      <c r="G142" s="25">
        <f t="shared" si="19"/>
        <v>-1495.3280000000009</v>
      </c>
      <c r="H142" s="25">
        <f t="shared" si="19"/>
        <v>1302.7909999999999</v>
      </c>
      <c r="I142" s="25">
        <f t="shared" si="19"/>
        <v>488.7010000000007</v>
      </c>
      <c r="J142" s="25">
        <f t="shared" si="19"/>
        <v>2027.1109999999987</v>
      </c>
      <c r="K142" s="25">
        <f t="shared" si="19"/>
        <v>-1223.2139999999999</v>
      </c>
      <c r="L142" s="25">
        <f t="shared" si="19"/>
        <v>23.88999999999578</v>
      </c>
      <c r="M142" s="25">
        <f t="shared" si="19"/>
        <v>-264.50500000000193</v>
      </c>
      <c r="N142" s="25">
        <f t="shared" si="19"/>
        <v>-106.33999999999696</v>
      </c>
      <c r="O142" s="25"/>
      <c r="P142" s="25"/>
      <c r="Q142" s="25"/>
      <c r="R142" s="25"/>
      <c r="S142" s="25"/>
    </row>
    <row r="143" spans="1:19" ht="15" customHeight="1" x14ac:dyDescent="0.45">
      <c r="B143" s="31" t="s">
        <v>541</v>
      </c>
      <c r="D143" s="31" t="s">
        <v>541</v>
      </c>
      <c r="E143" s="25">
        <f>+IFERROR(AstraZeneca!B151/$D$3,0)</f>
        <v>-68.519000000000005</v>
      </c>
      <c r="F143" s="25">
        <f>+IFERROR(AstraZeneca!C151/$D$3,0)</f>
        <v>18.989000000000001</v>
      </c>
      <c r="G143" s="25">
        <f>+IFERROR(AstraZeneca!D151/$D$3,0)</f>
        <v>-58.533999999999999</v>
      </c>
      <c r="H143" s="25">
        <f>+IFERROR(AstraZeneca!E151/$D$3,0)</f>
        <v>-32.207999999999998</v>
      </c>
      <c r="I143" s="25">
        <f>+IFERROR(AstraZeneca!F151/$D$3,0)</f>
        <v>4.4669999999999996</v>
      </c>
      <c r="J143" s="25">
        <f>+IFERROR(AstraZeneca!G151/$D$3,0)</f>
        <v>10.526</v>
      </c>
      <c r="K143" s="25">
        <f>+IFERROR(AstraZeneca!H151/$D$3,0)</f>
        <v>-52.448999999999998</v>
      </c>
      <c r="L143" s="25">
        <f>+IFERROR(AstraZeneca!I151/$D$3,0)</f>
        <v>-76.105000000000004</v>
      </c>
      <c r="M143" s="25">
        <f>+IFERROR(AstraZeneca!J151/$D$3,0)</f>
        <v>-55.491999999999997</v>
      </c>
      <c r="N143" s="25">
        <f>+IFERROR(AstraZeneca!K151/$D$3,0)</f>
        <v>-85.986000000000004</v>
      </c>
      <c r="O143" s="25"/>
      <c r="P143" s="25"/>
      <c r="Q143" s="25"/>
      <c r="R143" s="25"/>
      <c r="S143" s="25"/>
    </row>
    <row r="144" spans="1:19" ht="15" customHeight="1" x14ac:dyDescent="0.45">
      <c r="B144" s="31" t="s">
        <v>542</v>
      </c>
      <c r="D144" s="31" t="s">
        <v>542</v>
      </c>
      <c r="E144" s="25"/>
      <c r="F144" s="25"/>
      <c r="G144" s="25"/>
      <c r="H144" s="25"/>
      <c r="I144" s="25"/>
      <c r="J144" s="25"/>
      <c r="K144" s="25"/>
      <c r="L144" s="25"/>
      <c r="M144" s="25"/>
      <c r="N144" s="25"/>
      <c r="O144" s="25"/>
      <c r="P144" s="25"/>
      <c r="Q144" s="25"/>
      <c r="R144" s="25"/>
      <c r="S144" s="25"/>
    </row>
    <row r="145" spans="1:19" s="29" customFormat="1" ht="15" customHeight="1" x14ac:dyDescent="0.45">
      <c r="A145" s="1"/>
      <c r="B145" s="2"/>
      <c r="C145" s="1"/>
      <c r="D145" s="478" t="s">
        <v>543</v>
      </c>
      <c r="E145" s="477"/>
      <c r="F145" s="477"/>
      <c r="G145" s="477"/>
      <c r="H145" s="477"/>
      <c r="I145" s="477"/>
      <c r="J145" s="477"/>
      <c r="K145" s="477"/>
      <c r="L145" s="477"/>
      <c r="M145" s="477"/>
      <c r="N145" s="477"/>
      <c r="O145" s="477"/>
      <c r="P145" s="477"/>
      <c r="Q145" s="477"/>
      <c r="R145" s="477"/>
      <c r="S145" s="477"/>
    </row>
    <row r="146" spans="1:19" s="472" customFormat="1" ht="15" customHeight="1" x14ac:dyDescent="0.45">
      <c r="A146" s="475"/>
      <c r="B146" s="476"/>
      <c r="C146" s="475"/>
      <c r="D146" s="474" t="s">
        <v>301</v>
      </c>
      <c r="E146" s="473"/>
      <c r="F146" s="473"/>
      <c r="G146" s="473"/>
      <c r="H146" s="473"/>
      <c r="I146" s="473"/>
      <c r="J146" s="473"/>
      <c r="K146" s="473"/>
      <c r="L146" s="473"/>
      <c r="M146" s="473"/>
      <c r="N146" s="473"/>
      <c r="O146" s="473"/>
      <c r="P146" s="473"/>
      <c r="Q146" s="473"/>
      <c r="R146" s="473"/>
      <c r="S146" s="473"/>
    </row>
    <row r="147" spans="1:19" x14ac:dyDescent="0.45">
      <c r="B147" s="2"/>
      <c r="D147" s="2"/>
      <c r="E147" s="25"/>
      <c r="F147" s="25"/>
      <c r="G147" s="25"/>
      <c r="H147" s="25"/>
      <c r="I147" s="25"/>
      <c r="J147" s="25"/>
      <c r="K147" s="25"/>
      <c r="L147" s="25"/>
      <c r="M147" s="25"/>
      <c r="N147" s="25"/>
      <c r="O147" s="25"/>
      <c r="P147" s="25"/>
      <c r="Q147" s="25"/>
      <c r="R147" s="25"/>
      <c r="S147" s="25"/>
    </row>
    <row r="148" spans="1:19" x14ac:dyDescent="0.45">
      <c r="B148" s="2"/>
      <c r="D148" s="2"/>
      <c r="E148" s="25"/>
      <c r="F148" s="25"/>
      <c r="G148" s="25"/>
      <c r="H148" s="25"/>
      <c r="I148" s="25"/>
      <c r="J148" s="25"/>
      <c r="K148" s="25"/>
      <c r="L148" s="25"/>
      <c r="M148" s="25"/>
      <c r="N148" s="25"/>
      <c r="O148" s="25"/>
      <c r="P148" s="25"/>
      <c r="Q148" s="25"/>
      <c r="R148" s="25"/>
      <c r="S148" s="25"/>
    </row>
    <row r="149" spans="1:19" x14ac:dyDescent="0.45">
      <c r="B149" s="2"/>
      <c r="D149" s="2"/>
      <c r="E149" s="25"/>
      <c r="F149" s="25"/>
      <c r="G149" s="25"/>
      <c r="H149" s="25"/>
      <c r="I149" s="25"/>
      <c r="J149" s="25"/>
      <c r="K149" s="25"/>
      <c r="L149" s="25"/>
      <c r="M149" s="25"/>
      <c r="N149" s="25"/>
      <c r="O149" s="25"/>
      <c r="P149" s="25"/>
      <c r="Q149" s="25"/>
      <c r="R149" s="25"/>
      <c r="S149" s="25"/>
    </row>
    <row r="150" spans="1:19" x14ac:dyDescent="0.45">
      <c r="B150" s="2"/>
      <c r="D150" s="2"/>
      <c r="E150" s="25"/>
      <c r="F150" s="25"/>
      <c r="G150" s="25"/>
      <c r="H150" s="25"/>
      <c r="I150" s="25"/>
      <c r="J150" s="25"/>
      <c r="K150" s="25"/>
      <c r="L150" s="25"/>
      <c r="M150" s="25"/>
      <c r="N150" s="25"/>
      <c r="O150" s="25"/>
      <c r="P150" s="25"/>
      <c r="Q150" s="25"/>
      <c r="R150" s="25"/>
      <c r="S150" s="25"/>
    </row>
    <row r="151" spans="1:19" x14ac:dyDescent="0.45">
      <c r="B151" s="2"/>
      <c r="D151" s="2"/>
      <c r="E151" s="25"/>
      <c r="F151" s="25"/>
      <c r="G151" s="25"/>
      <c r="H151" s="25"/>
      <c r="I151" s="25"/>
      <c r="J151" s="25"/>
      <c r="K151" s="25"/>
      <c r="L151" s="25"/>
      <c r="M151" s="25"/>
      <c r="N151" s="25"/>
      <c r="O151" s="25"/>
      <c r="P151" s="25"/>
      <c r="Q151" s="25"/>
      <c r="R151" s="25"/>
      <c r="S151" s="25"/>
    </row>
    <row r="152" spans="1:19" x14ac:dyDescent="0.45">
      <c r="B152" s="2"/>
      <c r="E152" s="25"/>
      <c r="F152" s="25"/>
      <c r="G152" s="25"/>
      <c r="H152" s="25"/>
      <c r="I152" s="25"/>
      <c r="J152" s="25"/>
      <c r="K152" s="25"/>
      <c r="L152" s="25"/>
      <c r="M152" s="25"/>
      <c r="N152" s="25"/>
      <c r="O152" s="25"/>
      <c r="P152" s="25"/>
      <c r="Q152" s="25"/>
      <c r="R152" s="25"/>
      <c r="S152" s="25"/>
    </row>
    <row r="153" spans="1:19" x14ac:dyDescent="0.45">
      <c r="B153" s="2"/>
      <c r="D153" s="2"/>
      <c r="E153" s="25"/>
      <c r="F153" s="25"/>
      <c r="G153" s="25"/>
      <c r="H153" s="25"/>
      <c r="I153" s="25"/>
      <c r="J153" s="25"/>
      <c r="K153" s="25"/>
      <c r="L153" s="25"/>
      <c r="M153" s="25"/>
      <c r="N153" s="25"/>
      <c r="O153" s="25"/>
      <c r="P153" s="25"/>
      <c r="Q153" s="25"/>
      <c r="R153" s="25"/>
      <c r="S153" s="25"/>
    </row>
    <row r="154" spans="1:19" x14ac:dyDescent="0.45">
      <c r="B154" s="2"/>
      <c r="D154" s="2"/>
      <c r="E154" s="25"/>
      <c r="F154" s="25"/>
      <c r="G154" s="25"/>
      <c r="H154" s="25"/>
      <c r="I154" s="25"/>
      <c r="J154" s="25"/>
      <c r="K154" s="25"/>
      <c r="L154" s="25"/>
      <c r="M154" s="25"/>
      <c r="N154" s="25"/>
      <c r="O154" s="25"/>
      <c r="P154" s="25"/>
      <c r="Q154" s="25"/>
      <c r="R154" s="25"/>
      <c r="S154" s="25"/>
    </row>
    <row r="155" spans="1:19" x14ac:dyDescent="0.45">
      <c r="B155" s="2"/>
      <c r="D155" s="2"/>
      <c r="E155" s="25"/>
      <c r="F155" s="25"/>
      <c r="G155" s="25"/>
      <c r="H155" s="25"/>
      <c r="I155" s="25"/>
      <c r="J155" s="25"/>
      <c r="K155" s="25"/>
      <c r="L155" s="25"/>
      <c r="M155" s="25"/>
      <c r="N155" s="25"/>
      <c r="O155" s="25"/>
      <c r="P155" s="25"/>
      <c r="Q155" s="25"/>
      <c r="R155" s="25"/>
      <c r="S155" s="25"/>
    </row>
    <row r="156" spans="1:19" x14ac:dyDescent="0.45">
      <c r="B156" s="2"/>
      <c r="D156" s="2"/>
      <c r="E156" s="25"/>
      <c r="F156" s="25"/>
      <c r="G156" s="25"/>
      <c r="H156" s="25"/>
      <c r="I156" s="25"/>
      <c r="J156" s="25"/>
      <c r="K156" s="25"/>
      <c r="L156" s="25"/>
      <c r="M156" s="25"/>
      <c r="N156" s="25"/>
      <c r="O156" s="25"/>
      <c r="P156" s="25"/>
      <c r="Q156" s="25"/>
      <c r="R156" s="25"/>
      <c r="S156" s="25"/>
    </row>
    <row r="157" spans="1:19" x14ac:dyDescent="0.45">
      <c r="B157" s="2"/>
    </row>
    <row r="158" spans="1:19" x14ac:dyDescent="0.45">
      <c r="B158" s="2"/>
      <c r="D158" s="2"/>
      <c r="E158" s="25"/>
      <c r="F158" s="25"/>
      <c r="G158" s="25"/>
      <c r="H158" s="25"/>
      <c r="I158" s="25"/>
      <c r="J158" s="25"/>
      <c r="K158" s="25"/>
      <c r="L158" s="25"/>
      <c r="M158" s="25"/>
      <c r="N158" s="25"/>
      <c r="O158" s="25"/>
      <c r="P158" s="25"/>
      <c r="Q158" s="25"/>
      <c r="R158" s="25"/>
      <c r="S158" s="25"/>
    </row>
    <row r="159" spans="1:19" x14ac:dyDescent="0.45">
      <c r="B159" s="2"/>
      <c r="D159" s="2"/>
      <c r="E159" s="25"/>
      <c r="F159" s="25"/>
      <c r="G159" s="25"/>
      <c r="H159" s="25"/>
      <c r="I159" s="25"/>
      <c r="J159" s="25"/>
      <c r="K159" s="25"/>
      <c r="L159" s="25"/>
      <c r="M159" s="25"/>
      <c r="N159" s="25"/>
      <c r="O159" s="25"/>
      <c r="P159" s="25"/>
      <c r="Q159" s="25"/>
      <c r="R159" s="25"/>
      <c r="S159" s="25"/>
    </row>
    <row r="160" spans="1:19" x14ac:dyDescent="0.45">
      <c r="B160" s="2"/>
      <c r="D160" s="2"/>
      <c r="E160" s="25"/>
      <c r="F160" s="25"/>
      <c r="G160" s="25"/>
      <c r="H160" s="25"/>
      <c r="I160" s="25"/>
      <c r="J160" s="25"/>
      <c r="K160" s="25"/>
      <c r="L160" s="25"/>
      <c r="M160" s="25"/>
      <c r="N160" s="25"/>
      <c r="O160" s="25"/>
      <c r="P160" s="25"/>
      <c r="Q160" s="25"/>
      <c r="R160" s="25"/>
      <c r="S160" s="25"/>
    </row>
    <row r="161" spans="2:19" x14ac:dyDescent="0.45">
      <c r="B161" s="2"/>
      <c r="D161" s="2"/>
      <c r="E161" s="25"/>
      <c r="F161" s="25"/>
      <c r="G161" s="25"/>
      <c r="H161" s="25"/>
      <c r="I161" s="25"/>
      <c r="J161" s="25"/>
      <c r="K161" s="25"/>
      <c r="L161" s="25"/>
      <c r="M161" s="25"/>
      <c r="N161" s="25"/>
      <c r="O161" s="25"/>
      <c r="P161" s="25"/>
      <c r="Q161" s="25"/>
      <c r="R161" s="25"/>
      <c r="S161" s="25"/>
    </row>
    <row r="162" spans="2:19" x14ac:dyDescent="0.45">
      <c r="B162" s="2"/>
      <c r="D162" s="2"/>
      <c r="E162" s="25"/>
      <c r="F162" s="25"/>
      <c r="G162" s="25"/>
      <c r="H162" s="25"/>
      <c r="I162" s="25"/>
      <c r="J162" s="25"/>
      <c r="K162" s="25"/>
      <c r="L162" s="25"/>
      <c r="M162" s="25"/>
      <c r="N162" s="25"/>
      <c r="O162" s="25"/>
      <c r="P162" s="25"/>
      <c r="Q162" s="25"/>
      <c r="R162" s="25"/>
      <c r="S162" s="25"/>
    </row>
    <row r="163" spans="2:19" x14ac:dyDescent="0.45">
      <c r="B163" s="2"/>
      <c r="D163" s="2"/>
      <c r="E163" s="25"/>
      <c r="F163" s="25"/>
      <c r="G163" s="25"/>
      <c r="H163" s="25"/>
      <c r="I163" s="25"/>
      <c r="J163" s="25"/>
      <c r="K163" s="25"/>
      <c r="L163" s="25"/>
      <c r="M163" s="25"/>
      <c r="N163" s="25"/>
      <c r="O163" s="25"/>
      <c r="P163" s="25"/>
      <c r="Q163" s="25"/>
      <c r="R163" s="25"/>
      <c r="S163" s="25"/>
    </row>
    <row r="164" spans="2:19" x14ac:dyDescent="0.45">
      <c r="B164" s="2"/>
      <c r="D164" s="2"/>
      <c r="E164" s="25"/>
      <c r="F164" s="25"/>
      <c r="G164" s="25"/>
      <c r="H164" s="25"/>
      <c r="I164" s="25"/>
      <c r="J164" s="25"/>
      <c r="K164" s="25"/>
      <c r="L164" s="25"/>
      <c r="M164" s="25"/>
      <c r="N164" s="25"/>
      <c r="O164" s="25"/>
      <c r="P164" s="25"/>
      <c r="Q164" s="25"/>
      <c r="R164" s="25"/>
      <c r="S164" s="25"/>
    </row>
    <row r="165" spans="2:19" x14ac:dyDescent="0.45">
      <c r="B165" s="2"/>
      <c r="D165" s="2"/>
      <c r="E165" s="25"/>
      <c r="F165" s="25"/>
      <c r="G165" s="25"/>
      <c r="H165" s="25"/>
      <c r="I165" s="25"/>
      <c r="J165" s="25"/>
      <c r="K165" s="25"/>
      <c r="L165" s="25"/>
      <c r="M165" s="25"/>
      <c r="N165" s="25"/>
      <c r="O165" s="25"/>
      <c r="P165" s="25"/>
      <c r="Q165" s="25"/>
      <c r="R165" s="25"/>
      <c r="S165" s="25"/>
    </row>
    <row r="166" spans="2:19" x14ac:dyDescent="0.45">
      <c r="B166" s="2"/>
      <c r="D166" s="2"/>
      <c r="E166" s="25"/>
      <c r="F166" s="25"/>
      <c r="G166" s="25"/>
      <c r="H166" s="25"/>
      <c r="I166" s="25"/>
      <c r="J166" s="25"/>
      <c r="K166" s="25"/>
      <c r="L166" s="25"/>
      <c r="M166" s="25"/>
      <c r="N166" s="25"/>
      <c r="O166" s="25"/>
      <c r="P166" s="25"/>
      <c r="Q166" s="25"/>
      <c r="R166" s="25"/>
      <c r="S166" s="25"/>
    </row>
    <row r="167" spans="2:19" x14ac:dyDescent="0.45">
      <c r="B167" s="2"/>
      <c r="D167" s="2"/>
      <c r="E167" s="25"/>
      <c r="F167" s="25"/>
      <c r="G167" s="25"/>
      <c r="H167" s="25"/>
      <c r="I167" s="25"/>
      <c r="J167" s="25"/>
      <c r="K167" s="25"/>
      <c r="L167" s="25"/>
      <c r="M167" s="25"/>
      <c r="N167" s="25"/>
      <c r="O167" s="25"/>
      <c r="P167" s="25"/>
      <c r="Q167" s="25"/>
      <c r="R167" s="25"/>
      <c r="S167" s="25"/>
    </row>
    <row r="168" spans="2:19" x14ac:dyDescent="0.45">
      <c r="B168" s="2"/>
      <c r="D168" s="2"/>
      <c r="E168" s="25"/>
      <c r="F168" s="25"/>
      <c r="G168" s="25"/>
      <c r="H168" s="25"/>
      <c r="I168" s="25"/>
      <c r="J168" s="25"/>
      <c r="K168" s="25"/>
      <c r="L168" s="25"/>
      <c r="M168" s="25"/>
      <c r="N168" s="25"/>
      <c r="O168" s="25"/>
      <c r="P168" s="25"/>
      <c r="Q168" s="25"/>
      <c r="R168" s="25"/>
      <c r="S168" s="25"/>
    </row>
    <row r="169" spans="2:19" x14ac:dyDescent="0.45">
      <c r="B169" s="2"/>
      <c r="D169" s="2"/>
      <c r="E169" s="25"/>
      <c r="F169" s="25"/>
      <c r="G169" s="25"/>
      <c r="H169" s="25"/>
      <c r="I169" s="25"/>
      <c r="J169" s="25"/>
      <c r="K169" s="25"/>
      <c r="L169" s="25"/>
      <c r="M169" s="25"/>
      <c r="N169" s="25"/>
      <c r="O169" s="25"/>
      <c r="P169" s="25"/>
      <c r="Q169" s="25"/>
      <c r="R169" s="25"/>
      <c r="S169" s="25"/>
    </row>
    <row r="170" spans="2:19" x14ac:dyDescent="0.45">
      <c r="B170" s="2"/>
      <c r="D170" s="2"/>
      <c r="E170" s="25"/>
      <c r="F170" s="25"/>
      <c r="G170" s="25"/>
      <c r="H170" s="25"/>
      <c r="I170" s="25"/>
      <c r="J170" s="25"/>
      <c r="K170" s="25"/>
      <c r="L170" s="25"/>
      <c r="M170" s="25"/>
      <c r="N170" s="25"/>
      <c r="O170" s="25"/>
      <c r="P170" s="25"/>
      <c r="Q170" s="25"/>
      <c r="R170" s="25"/>
      <c r="S170" s="25"/>
    </row>
    <row r="171" spans="2:19" x14ac:dyDescent="0.45">
      <c r="B171" s="2"/>
      <c r="D171" s="2"/>
      <c r="E171" s="25"/>
      <c r="F171" s="25"/>
      <c r="G171" s="25"/>
      <c r="H171" s="25"/>
      <c r="I171" s="25"/>
      <c r="J171" s="25"/>
      <c r="K171" s="25"/>
      <c r="L171" s="25"/>
      <c r="M171" s="25"/>
      <c r="N171" s="25"/>
      <c r="O171" s="25"/>
      <c r="P171" s="25"/>
      <c r="Q171" s="25"/>
      <c r="R171" s="25"/>
      <c r="S171" s="25"/>
    </row>
    <row r="172" spans="2:19" x14ac:dyDescent="0.45">
      <c r="B172" s="2"/>
      <c r="D172" s="2"/>
      <c r="E172" s="25"/>
      <c r="F172" s="25"/>
      <c r="G172" s="25"/>
      <c r="H172" s="25"/>
      <c r="I172" s="25"/>
      <c r="J172" s="25"/>
      <c r="K172" s="25"/>
      <c r="L172" s="25"/>
      <c r="M172" s="25"/>
      <c r="N172" s="25"/>
      <c r="O172" s="25"/>
      <c r="P172" s="25"/>
      <c r="Q172" s="25"/>
      <c r="R172" s="25"/>
      <c r="S172" s="25"/>
    </row>
    <row r="173" spans="2:19" x14ac:dyDescent="0.45">
      <c r="B173" s="2"/>
      <c r="D173" s="2"/>
      <c r="E173" s="25"/>
      <c r="F173" s="25"/>
      <c r="G173" s="25"/>
      <c r="H173" s="25"/>
      <c r="I173" s="25"/>
      <c r="J173" s="25"/>
      <c r="K173" s="25"/>
      <c r="L173" s="25"/>
      <c r="M173" s="25"/>
      <c r="N173" s="25"/>
      <c r="O173" s="25"/>
      <c r="P173" s="25"/>
      <c r="Q173" s="25"/>
      <c r="R173" s="25"/>
      <c r="S173" s="25"/>
    </row>
    <row r="174" spans="2:19" x14ac:dyDescent="0.45">
      <c r="B174" s="2"/>
      <c r="D174" s="2"/>
      <c r="E174" s="25"/>
      <c r="F174" s="25"/>
      <c r="G174" s="25"/>
      <c r="H174" s="25"/>
      <c r="I174" s="25"/>
      <c r="J174" s="25"/>
      <c r="K174" s="25"/>
      <c r="L174" s="25"/>
      <c r="M174" s="25"/>
      <c r="N174" s="25"/>
      <c r="O174" s="25"/>
      <c r="P174" s="25"/>
      <c r="Q174" s="25"/>
      <c r="R174" s="25"/>
      <c r="S174" s="25"/>
    </row>
    <row r="175" spans="2:19" x14ac:dyDescent="0.45">
      <c r="B175" s="2"/>
      <c r="D175" s="2"/>
      <c r="E175" s="25"/>
      <c r="F175" s="25"/>
      <c r="G175" s="25"/>
      <c r="H175" s="25"/>
      <c r="I175" s="25"/>
      <c r="J175" s="25"/>
      <c r="K175" s="25"/>
      <c r="L175" s="25"/>
      <c r="M175" s="25"/>
      <c r="N175" s="25"/>
      <c r="O175" s="25"/>
      <c r="P175" s="25"/>
      <c r="Q175" s="25"/>
      <c r="R175" s="25"/>
      <c r="S175" s="25"/>
    </row>
    <row r="176" spans="2:19" x14ac:dyDescent="0.45">
      <c r="B176" s="2"/>
      <c r="D176" s="2"/>
      <c r="E176" s="25"/>
      <c r="F176" s="25"/>
      <c r="G176" s="25"/>
      <c r="H176" s="25"/>
      <c r="I176" s="25"/>
      <c r="J176" s="25"/>
      <c r="K176" s="25"/>
      <c r="L176" s="25"/>
      <c r="M176" s="25"/>
      <c r="N176" s="25"/>
      <c r="O176" s="25"/>
      <c r="P176" s="25"/>
      <c r="Q176" s="25"/>
      <c r="R176" s="25"/>
      <c r="S176" s="25"/>
    </row>
    <row r="177" spans="2:19" x14ac:dyDescent="0.45">
      <c r="B177" s="2"/>
      <c r="D177" s="2"/>
      <c r="E177" s="25"/>
      <c r="F177" s="25"/>
      <c r="G177" s="25"/>
      <c r="H177" s="25"/>
      <c r="I177" s="25"/>
      <c r="J177" s="25"/>
      <c r="K177" s="25"/>
      <c r="L177" s="25"/>
      <c r="M177" s="25"/>
      <c r="N177" s="25"/>
      <c r="O177" s="25"/>
      <c r="P177" s="25"/>
      <c r="Q177" s="25"/>
      <c r="R177" s="25"/>
      <c r="S177" s="25"/>
    </row>
    <row r="178" spans="2:19" x14ac:dyDescent="0.45">
      <c r="B178" s="2"/>
      <c r="D178" s="2"/>
      <c r="E178" s="25"/>
      <c r="F178" s="25"/>
      <c r="G178" s="25"/>
      <c r="H178" s="25"/>
      <c r="I178" s="25"/>
      <c r="J178" s="25"/>
      <c r="K178" s="25"/>
      <c r="L178" s="25"/>
      <c r="M178" s="25"/>
      <c r="N178" s="25"/>
      <c r="O178" s="25"/>
      <c r="P178" s="25"/>
      <c r="Q178" s="25"/>
      <c r="R178" s="25"/>
      <c r="S178" s="25"/>
    </row>
    <row r="179" spans="2:19" x14ac:dyDescent="0.45">
      <c r="B179" s="2"/>
      <c r="D179" s="2"/>
      <c r="E179" s="25"/>
      <c r="F179" s="25"/>
      <c r="G179" s="25"/>
      <c r="H179" s="25"/>
      <c r="I179" s="25"/>
      <c r="J179" s="25"/>
      <c r="K179" s="25"/>
      <c r="L179" s="25"/>
      <c r="M179" s="25"/>
      <c r="N179" s="25"/>
      <c r="O179" s="25"/>
      <c r="P179" s="25"/>
      <c r="Q179" s="25"/>
      <c r="R179" s="25"/>
      <c r="S179" s="25"/>
    </row>
    <row r="180" spans="2:19" x14ac:dyDescent="0.45">
      <c r="B180" s="2"/>
      <c r="D180" s="2"/>
      <c r="E180" s="25"/>
      <c r="F180" s="25"/>
      <c r="G180" s="25"/>
      <c r="H180" s="25"/>
      <c r="I180" s="25"/>
      <c r="J180" s="25"/>
      <c r="K180" s="25"/>
      <c r="L180" s="25"/>
      <c r="M180" s="25"/>
      <c r="N180" s="25"/>
      <c r="O180" s="25"/>
      <c r="P180" s="25"/>
      <c r="Q180" s="25"/>
      <c r="R180" s="25"/>
      <c r="S180" s="25"/>
    </row>
    <row r="181" spans="2:19" x14ac:dyDescent="0.45">
      <c r="B181" s="2"/>
      <c r="D181" s="2"/>
      <c r="E181" s="25"/>
      <c r="F181" s="25"/>
      <c r="G181" s="25"/>
      <c r="H181" s="25"/>
      <c r="I181" s="25"/>
      <c r="J181" s="25"/>
      <c r="K181" s="25"/>
      <c r="L181" s="25"/>
      <c r="M181" s="25"/>
      <c r="N181" s="25"/>
      <c r="O181" s="25"/>
      <c r="P181" s="25"/>
      <c r="Q181" s="25"/>
      <c r="R181" s="25"/>
      <c r="S181" s="25"/>
    </row>
    <row r="182" spans="2:19" x14ac:dyDescent="0.45">
      <c r="B182" s="2"/>
      <c r="D182" s="2"/>
      <c r="E182" s="25"/>
      <c r="F182" s="25"/>
      <c r="G182" s="25"/>
      <c r="H182" s="25"/>
      <c r="I182" s="25"/>
      <c r="J182" s="25"/>
      <c r="K182" s="25"/>
      <c r="L182" s="25"/>
      <c r="M182" s="25"/>
      <c r="N182" s="25"/>
      <c r="O182" s="25"/>
      <c r="P182" s="25"/>
      <c r="Q182" s="25"/>
      <c r="R182" s="25"/>
      <c r="S182" s="25"/>
    </row>
    <row r="183" spans="2:19" x14ac:dyDescent="0.45">
      <c r="B183" s="2"/>
      <c r="D183" s="2"/>
      <c r="E183" s="25"/>
      <c r="F183" s="25"/>
      <c r="G183" s="25"/>
      <c r="H183" s="25"/>
      <c r="I183" s="25"/>
      <c r="J183" s="25"/>
      <c r="K183" s="25"/>
      <c r="L183" s="25"/>
      <c r="M183" s="25"/>
      <c r="N183" s="25"/>
      <c r="O183" s="25"/>
      <c r="P183" s="25"/>
      <c r="Q183" s="25"/>
      <c r="R183" s="25"/>
      <c r="S183" s="25"/>
    </row>
    <row r="184" spans="2:19" x14ac:dyDescent="0.45">
      <c r="B184" s="2"/>
      <c r="D184" s="2"/>
      <c r="E184" s="25"/>
      <c r="F184" s="25"/>
      <c r="G184" s="25"/>
      <c r="H184" s="25"/>
      <c r="I184" s="25"/>
      <c r="J184" s="25"/>
      <c r="K184" s="25"/>
      <c r="L184" s="25"/>
      <c r="M184" s="25"/>
      <c r="N184" s="25"/>
      <c r="O184" s="25"/>
      <c r="P184" s="25"/>
      <c r="Q184" s="25"/>
      <c r="R184" s="25"/>
      <c r="S184" s="25"/>
    </row>
    <row r="185" spans="2:19" x14ac:dyDescent="0.45">
      <c r="B185" s="2"/>
      <c r="D185" s="2"/>
      <c r="E185" s="25"/>
      <c r="F185" s="25"/>
      <c r="G185" s="25"/>
      <c r="H185" s="25"/>
      <c r="I185" s="25"/>
      <c r="J185" s="25"/>
      <c r="K185" s="25"/>
      <c r="L185" s="25"/>
      <c r="M185" s="25"/>
      <c r="N185" s="25"/>
      <c r="O185" s="25"/>
      <c r="P185" s="25"/>
      <c r="Q185" s="25"/>
      <c r="R185" s="25"/>
      <c r="S185" s="25"/>
    </row>
    <row r="186" spans="2:19" x14ac:dyDescent="0.45">
      <c r="B186" s="2"/>
      <c r="D186" s="2"/>
      <c r="E186" s="25"/>
      <c r="F186" s="25"/>
      <c r="G186" s="25"/>
      <c r="H186" s="25"/>
      <c r="I186" s="25"/>
      <c r="J186" s="25"/>
      <c r="K186" s="25"/>
      <c r="L186" s="25"/>
      <c r="M186" s="25"/>
      <c r="N186" s="25"/>
      <c r="O186" s="25"/>
      <c r="P186" s="25"/>
      <c r="Q186" s="25"/>
      <c r="R186" s="25"/>
      <c r="S186" s="25"/>
    </row>
    <row r="187" spans="2:19" x14ac:dyDescent="0.45">
      <c r="B187" s="2"/>
      <c r="D187" s="2"/>
      <c r="E187" s="25"/>
      <c r="F187" s="25"/>
      <c r="G187" s="25"/>
      <c r="H187" s="25"/>
      <c r="I187" s="25"/>
      <c r="J187" s="25"/>
      <c r="K187" s="25"/>
      <c r="L187" s="25"/>
      <c r="M187" s="25"/>
      <c r="N187" s="25"/>
      <c r="O187" s="25"/>
      <c r="P187" s="25"/>
      <c r="Q187" s="25"/>
      <c r="R187" s="25"/>
      <c r="S187" s="25"/>
    </row>
    <row r="201" spans="2:3" x14ac:dyDescent="0.45">
      <c r="B201" s="2" t="s">
        <v>406</v>
      </c>
      <c r="C201" s="2"/>
    </row>
    <row r="202" spans="2:3" x14ac:dyDescent="0.45">
      <c r="B202" s="2" t="s">
        <v>267</v>
      </c>
      <c r="C202" s="2"/>
    </row>
    <row r="203" spans="2:3" x14ac:dyDescent="0.45">
      <c r="B203" s="2" t="s">
        <v>268</v>
      </c>
      <c r="C203" s="2"/>
    </row>
    <row r="204" spans="2:3" x14ac:dyDescent="0.45">
      <c r="B204" s="2" t="s">
        <v>269</v>
      </c>
      <c r="C204" s="2"/>
    </row>
    <row r="205" spans="2:3" x14ac:dyDescent="0.45">
      <c r="B205" s="2" t="s">
        <v>272</v>
      </c>
      <c r="C205" s="2"/>
    </row>
    <row r="206" spans="2:3" x14ac:dyDescent="0.45">
      <c r="B206" s="2" t="s">
        <v>273</v>
      </c>
      <c r="C206" s="2"/>
    </row>
    <row r="207" spans="2:3" x14ac:dyDescent="0.45">
      <c r="B207" s="2" t="s">
        <v>274</v>
      </c>
      <c r="C207" s="2"/>
    </row>
    <row r="208" spans="2:3" ht="28.5" x14ac:dyDescent="0.45">
      <c r="B208" s="2" t="s">
        <v>270</v>
      </c>
      <c r="C208" s="2"/>
    </row>
    <row r="209" spans="2:3" ht="28.5" x14ac:dyDescent="0.45">
      <c r="B209" s="2" t="s">
        <v>275</v>
      </c>
      <c r="C209" s="2"/>
    </row>
    <row r="210" spans="2:3" x14ac:dyDescent="0.45">
      <c r="B210" s="2" t="s">
        <v>255</v>
      </c>
      <c r="C210" s="2"/>
    </row>
    <row r="211" spans="2:3" x14ac:dyDescent="0.45">
      <c r="B211" s="2" t="s">
        <v>407</v>
      </c>
      <c r="C211" s="2"/>
    </row>
    <row r="212" spans="2:3" x14ac:dyDescent="0.45">
      <c r="B212" s="2" t="s">
        <v>408</v>
      </c>
      <c r="C212" s="2"/>
    </row>
    <row r="213" spans="2:3" x14ac:dyDescent="0.45">
      <c r="B213" s="2" t="s">
        <v>409</v>
      </c>
      <c r="C213" s="2"/>
    </row>
    <row r="214" spans="2:3" x14ac:dyDescent="0.45">
      <c r="B214" s="2" t="s">
        <v>410</v>
      </c>
      <c r="C214" s="2"/>
    </row>
    <row r="215" spans="2:3" x14ac:dyDescent="0.45">
      <c r="B215" s="2" t="s">
        <v>411</v>
      </c>
      <c r="C215" s="2"/>
    </row>
    <row r="216" spans="2:3" x14ac:dyDescent="0.45">
      <c r="B216" s="2" t="s">
        <v>263</v>
      </c>
      <c r="C216" s="2"/>
    </row>
    <row r="217" spans="2:3" x14ac:dyDescent="0.45">
      <c r="B217" s="2" t="s">
        <v>412</v>
      </c>
    </row>
    <row r="219" spans="2:3" x14ac:dyDescent="0.45">
      <c r="B219" s="2" t="s">
        <v>285</v>
      </c>
    </row>
    <row r="220" spans="2:3" x14ac:dyDescent="0.45">
      <c r="B220" s="2" t="s">
        <v>283</v>
      </c>
    </row>
    <row r="221" spans="2:3" x14ac:dyDescent="0.45">
      <c r="B221" s="2" t="s">
        <v>136</v>
      </c>
    </row>
    <row r="222" spans="2:3" x14ac:dyDescent="0.45">
      <c r="B222" s="2" t="s">
        <v>284</v>
      </c>
    </row>
    <row r="223" spans="2:3" x14ac:dyDescent="0.45">
      <c r="B223" s="2" t="s">
        <v>278</v>
      </c>
    </row>
    <row r="224" spans="2:3" x14ac:dyDescent="0.45">
      <c r="B224" s="2" t="s">
        <v>279</v>
      </c>
    </row>
    <row r="225" spans="2:2" x14ac:dyDescent="0.45">
      <c r="B225" s="2" t="s">
        <v>544</v>
      </c>
    </row>
    <row r="226" spans="2:2" x14ac:dyDescent="0.45">
      <c r="B226" s="2" t="s">
        <v>280</v>
      </c>
    </row>
    <row r="227" spans="2:2" x14ac:dyDescent="0.45">
      <c r="B227" s="2" t="s">
        <v>281</v>
      </c>
    </row>
    <row r="228" spans="2:2" x14ac:dyDescent="0.45">
      <c r="B228" s="2" t="s">
        <v>545</v>
      </c>
    </row>
    <row r="229" spans="2:2" x14ac:dyDescent="0.45">
      <c r="B229" s="2" t="s">
        <v>546</v>
      </c>
    </row>
    <row r="230" spans="2:2" x14ac:dyDescent="0.45">
      <c r="B230" s="2" t="s">
        <v>287</v>
      </c>
    </row>
    <row r="231" spans="2:2" x14ac:dyDescent="0.45">
      <c r="B231" s="2" t="s">
        <v>298</v>
      </c>
    </row>
    <row r="232" spans="2:2" x14ac:dyDescent="0.45">
      <c r="B232" s="2" t="s">
        <v>296</v>
      </c>
    </row>
    <row r="233" spans="2:2" x14ac:dyDescent="0.45">
      <c r="B233" s="2" t="s">
        <v>297</v>
      </c>
    </row>
    <row r="234" spans="2:2" x14ac:dyDescent="0.45">
      <c r="B234" s="2" t="s">
        <v>292</v>
      </c>
    </row>
    <row r="235" spans="2:2" x14ac:dyDescent="0.45">
      <c r="B235" s="2" t="s">
        <v>293</v>
      </c>
    </row>
    <row r="236" spans="2:2" x14ac:dyDescent="0.45">
      <c r="B236" s="2" t="s">
        <v>547</v>
      </c>
    </row>
    <row r="237" spans="2:2" ht="28.5" x14ac:dyDescent="0.45">
      <c r="B237" s="2" t="s">
        <v>294</v>
      </c>
    </row>
    <row r="238" spans="2:2" x14ac:dyDescent="0.45">
      <c r="B238" s="2" t="s">
        <v>291</v>
      </c>
    </row>
    <row r="239" spans="2:2" x14ac:dyDescent="0.45">
      <c r="B239" s="2" t="s">
        <v>290</v>
      </c>
    </row>
    <row r="240" spans="2:2" x14ac:dyDescent="0.45">
      <c r="B240" s="2" t="s">
        <v>289</v>
      </c>
    </row>
    <row r="241" spans="2:2" x14ac:dyDescent="0.45">
      <c r="B241" s="2" t="s">
        <v>548</v>
      </c>
    </row>
    <row r="242" spans="2:2" x14ac:dyDescent="0.45">
      <c r="B242" s="2" t="s">
        <v>300</v>
      </c>
    </row>
    <row r="244" spans="2:2" x14ac:dyDescent="0.45">
      <c r="B244" s="2" t="s">
        <v>303</v>
      </c>
    </row>
    <row r="245" spans="2:2" x14ac:dyDescent="0.45">
      <c r="B245" s="2" t="s">
        <v>304</v>
      </c>
    </row>
    <row r="246" spans="2:2" x14ac:dyDescent="0.45">
      <c r="B246" s="2" t="s">
        <v>314</v>
      </c>
    </row>
    <row r="247" spans="2:2" x14ac:dyDescent="0.45">
      <c r="B247" s="2" t="s">
        <v>310</v>
      </c>
    </row>
    <row r="248" spans="2:2" x14ac:dyDescent="0.45">
      <c r="B248" s="2" t="s">
        <v>311</v>
      </c>
    </row>
    <row r="249" spans="2:2" x14ac:dyDescent="0.45">
      <c r="B249" s="2" t="s">
        <v>305</v>
      </c>
    </row>
    <row r="250" spans="2:2" x14ac:dyDescent="0.45">
      <c r="B250" s="2" t="s">
        <v>306</v>
      </c>
    </row>
    <row r="251" spans="2:2" ht="28.5" x14ac:dyDescent="0.45">
      <c r="B251" s="2" t="s">
        <v>308</v>
      </c>
    </row>
    <row r="252" spans="2:2" ht="28.5" x14ac:dyDescent="0.45">
      <c r="B252" s="2" t="s">
        <v>312</v>
      </c>
    </row>
    <row r="253" spans="2:2" x14ac:dyDescent="0.45">
      <c r="B253" s="2" t="s">
        <v>315</v>
      </c>
    </row>
    <row r="254" spans="2:2" x14ac:dyDescent="0.45">
      <c r="B254" s="2" t="s">
        <v>317</v>
      </c>
    </row>
    <row r="255" spans="2:2" x14ac:dyDescent="0.45">
      <c r="B255" s="2" t="s">
        <v>418</v>
      </c>
    </row>
    <row r="256" spans="2:2" x14ac:dyDescent="0.45">
      <c r="B256" s="2"/>
    </row>
    <row r="257" spans="2:2" x14ac:dyDescent="0.45">
      <c r="B257" s="2"/>
    </row>
  </sheetData>
  <dataValidations count="9">
    <dataValidation type="list" allowBlank="1" showInputMessage="1" showErrorMessage="1" sqref="B38:B47" xr:uid="{0FD85C1D-F583-914C-B1B6-FE08397298A7}">
      <formula1>B$215:B$232</formula1>
    </dataValidation>
    <dataValidation type="list" allowBlank="1" showInputMessage="1" showErrorMessage="1" sqref="B53" xr:uid="{224A3C82-2654-B740-B852-2C0A74D09EAB}">
      <formula1>$B$264:$B$287</formula1>
    </dataValidation>
    <dataValidation type="list" allowBlank="1" showInputMessage="1" showErrorMessage="1" sqref="B145:B146 B141:B142" xr:uid="{ACD4C9A4-64CA-DD4F-9C3E-91B8F8553166}">
      <formula1>$B$280:$B$294</formula1>
    </dataValidation>
    <dataValidation type="list" allowBlank="1" showInputMessage="1" showErrorMessage="1" sqref="B108" xr:uid="{4395651E-9E39-D549-A840-AF1E44098A4F}">
      <formula1>$B$278:$B$292</formula1>
    </dataValidation>
    <dataValidation type="list" allowBlank="1" showInputMessage="1" showErrorMessage="1" sqref="B106:B107 B115 B112:B113" xr:uid="{30093D8B-54C6-0945-BAC1-44B811C6C856}">
      <formula1>$B$258:$B$272</formula1>
    </dataValidation>
    <dataValidation type="list" allowBlank="1" showInputMessage="1" showErrorMessage="1" sqref="B109:B111 B116:B117" xr:uid="{75594AA4-7970-5F49-879E-A16028168DA3}">
      <formula1>$B$260:$B$274</formula1>
    </dataValidation>
    <dataValidation type="list" allowBlank="1" showInputMessage="1" showErrorMessage="1" sqref="B52 B54:B100" xr:uid="{C59E9236-2C3A-410C-B375-42A1E6502122}">
      <formula1>$B$218:$B$241</formula1>
    </dataValidation>
    <dataValidation type="list" allowBlank="1" showInputMessage="1" showErrorMessage="1" sqref="B147:B187" xr:uid="{AC558FE9-BE93-4D1F-BAD0-0A45C7F54C16}">
      <formula1>$B$243:$B$257</formula1>
    </dataValidation>
    <dataValidation type="list" allowBlank="1" showInputMessage="1" showErrorMessage="1" sqref="B6:B35 B48" xr:uid="{6062F85C-60CB-414F-BB04-9DEC7B49F85B}">
      <formula1>B$201:B$217</formula1>
    </dataValidation>
  </dataValidations>
  <pageMargins left="0.75" right="0.75" top="1" bottom="1" header="0.5" footer="0.5"/>
  <pageSetup orientation="portrait" horizontalDpi="4294967293" verticalDpi="0" r:id="rId1"/>
  <headerFooter alignWithMargins="0"/>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44F6E-6E5E-4424-A90F-5F48D6060DBE}">
  <dimension ref="A2:S279"/>
  <sheetViews>
    <sheetView showGridLines="0" topLeftCell="A146" workbookViewId="0">
      <selection activeCell="D50" sqref="B50:D50"/>
    </sheetView>
  </sheetViews>
  <sheetFormatPr defaultColWidth="9.1328125" defaultRowHeight="15" customHeight="1" x14ac:dyDescent="0.45"/>
  <cols>
    <col min="1" max="1" width="3.46484375" style="1" customWidth="1"/>
    <col min="2" max="2" width="29.6640625" style="1" customWidth="1"/>
    <col min="3" max="3" width="3.46484375" style="1" customWidth="1"/>
    <col min="4" max="4" width="25.46484375" style="467" customWidth="1"/>
    <col min="5" max="11" width="10.6640625" style="24" bestFit="1" customWidth="1"/>
    <col min="12" max="13" width="10.6640625" style="24" customWidth="1"/>
    <col min="14" max="17" width="10.6640625" style="24" bestFit="1" customWidth="1"/>
    <col min="18" max="19" width="10.1328125" style="24" bestFit="1" customWidth="1"/>
    <col min="20" max="16384" width="9.1328125" style="24"/>
  </cols>
  <sheetData>
    <row r="2" spans="1:19" ht="15" customHeight="1" x14ac:dyDescent="0.45">
      <c r="B2" s="495" t="s">
        <v>420</v>
      </c>
      <c r="C2" s="494"/>
      <c r="D2" s="493">
        <f>SUM(F93:M93)</f>
        <v>4.000000007977178E-3</v>
      </c>
    </row>
    <row r="3" spans="1:19" s="1" customFormat="1" ht="15" customHeight="1" x14ac:dyDescent="0.45">
      <c r="D3" s="467"/>
    </row>
    <row r="4" spans="1:19" s="1" customFormat="1" ht="15" customHeight="1" x14ac:dyDescent="0.45">
      <c r="B4" s="1" t="s">
        <v>421</v>
      </c>
      <c r="D4" s="467" t="s">
        <v>422</v>
      </c>
    </row>
    <row r="5" spans="1:19" s="1" customFormat="1" ht="15" customHeight="1" x14ac:dyDescent="0.45">
      <c r="B5" s="1" t="s">
        <v>423</v>
      </c>
      <c r="D5" s="492">
        <v>1000</v>
      </c>
    </row>
    <row r="6" spans="1:19" s="1" customFormat="1" ht="15" customHeight="1" x14ac:dyDescent="0.45">
      <c r="D6" s="467"/>
      <c r="E6" s="21">
        <v>2015</v>
      </c>
      <c r="F6" s="21">
        <f t="shared" ref="F6:S6" si="0">E6+1</f>
        <v>2016</v>
      </c>
      <c r="G6" s="21">
        <f t="shared" si="0"/>
        <v>2017</v>
      </c>
      <c r="H6" s="21">
        <f t="shared" si="0"/>
        <v>2018</v>
      </c>
      <c r="I6" s="21">
        <f t="shared" si="0"/>
        <v>2019</v>
      </c>
      <c r="J6" s="21">
        <f t="shared" si="0"/>
        <v>2020</v>
      </c>
      <c r="K6" s="21">
        <f t="shared" si="0"/>
        <v>2021</v>
      </c>
      <c r="L6" s="21">
        <f t="shared" si="0"/>
        <v>2022</v>
      </c>
      <c r="M6" s="21">
        <f t="shared" si="0"/>
        <v>2023</v>
      </c>
      <c r="N6" s="21">
        <f t="shared" si="0"/>
        <v>2024</v>
      </c>
      <c r="O6" s="22">
        <f t="shared" si="0"/>
        <v>2025</v>
      </c>
      <c r="P6" s="22">
        <f t="shared" si="0"/>
        <v>2026</v>
      </c>
      <c r="Q6" s="22">
        <f t="shared" si="0"/>
        <v>2027</v>
      </c>
      <c r="R6" s="22">
        <f t="shared" si="0"/>
        <v>2028</v>
      </c>
      <c r="S6" s="22">
        <f t="shared" si="0"/>
        <v>2029</v>
      </c>
    </row>
    <row r="7" spans="1:19" s="1" customFormat="1" ht="15" customHeight="1" x14ac:dyDescent="0.45">
      <c r="B7" s="3" t="s">
        <v>405</v>
      </c>
      <c r="C7" s="3"/>
      <c r="D7" s="485" t="s">
        <v>424</v>
      </c>
    </row>
    <row r="8" spans="1:19" ht="15" customHeight="1" x14ac:dyDescent="0.45">
      <c r="B8" s="2"/>
      <c r="D8" s="485"/>
      <c r="E8" s="23"/>
      <c r="F8" s="23"/>
      <c r="G8" s="23"/>
      <c r="H8" s="23"/>
      <c r="I8" s="23"/>
      <c r="J8" s="23"/>
      <c r="K8" s="23"/>
      <c r="L8" s="23"/>
      <c r="M8" s="23"/>
      <c r="N8" s="23"/>
      <c r="O8" s="23"/>
      <c r="P8" s="23"/>
      <c r="Q8" s="23"/>
      <c r="R8" s="23"/>
      <c r="S8" s="23"/>
    </row>
    <row r="9" spans="1:19" ht="15" customHeight="1" x14ac:dyDescent="0.45">
      <c r="B9" s="2" t="s">
        <v>406</v>
      </c>
      <c r="D9" s="492" t="s">
        <v>96</v>
      </c>
      <c r="F9" s="25">
        <f>IFERROR(Moderna!B21/$D$5,0)</f>
        <v>98.018000000000001</v>
      </c>
      <c r="G9" s="25">
        <f>IFERROR(Moderna!C21/$D$5,0)</f>
        <v>182.54300000000001</v>
      </c>
      <c r="H9" s="25">
        <f>IFERROR(Moderna!D21/$D$5,0)</f>
        <v>114.48</v>
      </c>
      <c r="I9" s="25">
        <f>IFERROR(Moderna!E21/$D$5,0)</f>
        <v>53.6</v>
      </c>
      <c r="J9" s="25">
        <f>IFERROR(Moderna!F21/$D$5,0)</f>
        <v>704.33600000000001</v>
      </c>
      <c r="K9" s="25">
        <f>IFERROR(Moderna!G21/$D$5,0)</f>
        <v>14952.263999999999</v>
      </c>
      <c r="L9" s="25">
        <f>IFERROR(Moderna!H21/$D$5,0)</f>
        <v>17537.485000000001</v>
      </c>
      <c r="M9" s="25">
        <f>IFERROR(Moderna!I21/$D$5,0)</f>
        <v>6169.7640000000001</v>
      </c>
      <c r="N9" s="25">
        <f>IFERROR(Moderna!J21/$D$5,0)</f>
        <v>2874.5349999999999</v>
      </c>
      <c r="O9" s="23"/>
      <c r="P9" s="23"/>
      <c r="Q9" s="23"/>
      <c r="R9" s="23"/>
      <c r="S9" s="23"/>
    </row>
    <row r="10" spans="1:19" ht="15" customHeight="1" x14ac:dyDescent="0.45">
      <c r="B10" s="2" t="s">
        <v>406</v>
      </c>
      <c r="D10" s="492" t="s">
        <v>585</v>
      </c>
      <c r="F10" s="25">
        <f>IFERROR(Moderna!B22/$D$5,0)</f>
        <v>0</v>
      </c>
      <c r="G10" s="25">
        <f>IFERROR(Moderna!C22/$D$5,0)</f>
        <v>0</v>
      </c>
      <c r="H10" s="25">
        <f>IFERROR(Moderna!D22/$D$5,0)</f>
        <v>0</v>
      </c>
      <c r="I10" s="25">
        <f>IFERROR(Moderna!E22/$D$5,0)</f>
        <v>0</v>
      </c>
      <c r="J10" s="25">
        <f>IFERROR(Moderna!F22/$D$5,0)</f>
        <v>0</v>
      </c>
      <c r="K10" s="25">
        <f>IFERROR(Moderna!G22/$D$5,0)</f>
        <v>673.38099999999997</v>
      </c>
      <c r="L10" s="25">
        <f>IFERROR(Moderna!H22/$D$5,0)</f>
        <v>787.68899999999996</v>
      </c>
      <c r="M10" s="25">
        <f>IFERROR(Moderna!I22/$D$5,0)</f>
        <v>163.70099999999999</v>
      </c>
      <c r="N10" s="25">
        <f>IFERROR(Moderna!J22/$D$5,0)</f>
        <v>117.422</v>
      </c>
      <c r="O10" s="23"/>
      <c r="P10" s="23"/>
      <c r="Q10" s="23"/>
      <c r="R10" s="23"/>
      <c r="S10" s="23"/>
    </row>
    <row r="11" spans="1:19" s="30" customFormat="1" ht="15" customHeight="1" x14ac:dyDescent="0.45">
      <c r="A11" s="4"/>
      <c r="B11" s="2"/>
      <c r="C11" s="4"/>
      <c r="D11" s="478" t="s">
        <v>428</v>
      </c>
      <c r="E11" s="477"/>
      <c r="F11" s="477">
        <f t="shared" ref="F11:N11" si="1">SUM(F9:F10)</f>
        <v>98.018000000000001</v>
      </c>
      <c r="G11" s="477">
        <f t="shared" si="1"/>
        <v>182.54300000000001</v>
      </c>
      <c r="H11" s="477">
        <f t="shared" si="1"/>
        <v>114.48</v>
      </c>
      <c r="I11" s="477">
        <f t="shared" si="1"/>
        <v>53.6</v>
      </c>
      <c r="J11" s="477">
        <f t="shared" si="1"/>
        <v>704.33600000000001</v>
      </c>
      <c r="K11" s="477">
        <f t="shared" si="1"/>
        <v>15625.644999999999</v>
      </c>
      <c r="L11" s="477">
        <f t="shared" si="1"/>
        <v>18325.173999999999</v>
      </c>
      <c r="M11" s="477">
        <f t="shared" si="1"/>
        <v>6333.4650000000001</v>
      </c>
      <c r="N11" s="477">
        <f t="shared" si="1"/>
        <v>2991.9569999999999</v>
      </c>
      <c r="O11" s="477"/>
      <c r="P11" s="477"/>
      <c r="Q11" s="477"/>
      <c r="R11" s="477"/>
      <c r="S11" s="477"/>
    </row>
    <row r="12" spans="1:19" s="26" customFormat="1" ht="15" customHeight="1" x14ac:dyDescent="0.45">
      <c r="A12" s="4"/>
      <c r="B12" s="2"/>
      <c r="C12" s="4"/>
      <c r="D12" s="479"/>
      <c r="E12" s="23"/>
      <c r="F12" s="23"/>
      <c r="G12" s="23"/>
      <c r="H12" s="23"/>
      <c r="I12" s="23"/>
      <c r="J12" s="23"/>
      <c r="K12" s="23"/>
      <c r="L12" s="23"/>
      <c r="M12" s="23"/>
      <c r="N12" s="23"/>
      <c r="O12" s="23"/>
      <c r="P12" s="23"/>
      <c r="Q12" s="23"/>
      <c r="R12" s="23"/>
      <c r="S12" s="23"/>
    </row>
    <row r="13" spans="1:19" s="26" customFormat="1" ht="15" customHeight="1" x14ac:dyDescent="0.45">
      <c r="A13" s="4"/>
      <c r="B13" s="2" t="s">
        <v>267</v>
      </c>
      <c r="C13" s="4"/>
      <c r="D13" s="487" t="s">
        <v>429</v>
      </c>
      <c r="E13" s="23"/>
      <c r="F13" s="25">
        <f>-IFERROR(Moderna!B24/$D$5,0)</f>
        <v>-248.416</v>
      </c>
      <c r="G13" s="25">
        <f>-IFERROR(Moderna!C24/$D$5,0)</f>
        <v>-364.03</v>
      </c>
      <c r="H13" s="25">
        <f>-IFERROR(Moderna!D24/$D$5,0)</f>
        <v>-384.86700000000002</v>
      </c>
      <c r="I13" s="25">
        <f>-IFERROR(Moderna!E24/$D$5,0)</f>
        <v>-443.09399999999999</v>
      </c>
      <c r="J13" s="25">
        <f>-IFERROR(Moderna!F24/$D$5,0)</f>
        <v>-1208.6859999999999</v>
      </c>
      <c r="K13" s="25">
        <f>-IFERROR(Moderna!G24/$D$5,0)</f>
        <v>-3898.163</v>
      </c>
      <c r="L13" s="25">
        <f>-IFERROR(Moderna!H24/$D$5,0)</f>
        <v>-8286.902</v>
      </c>
      <c r="M13" s="25">
        <f>-IFERROR(Moderna!I24/$D$5,0)</f>
        <v>-8821.348</v>
      </c>
      <c r="N13" s="25">
        <f>-IFERROR(Moderna!J24/$D$5,0)</f>
        <v>-5553.9830000000002</v>
      </c>
      <c r="O13" s="23"/>
      <c r="P13" s="23"/>
      <c r="Q13" s="23"/>
      <c r="R13" s="23"/>
      <c r="S13" s="23"/>
    </row>
    <row r="14" spans="1:19" s="29" customFormat="1" ht="15" customHeight="1" x14ac:dyDescent="0.45">
      <c r="A14" s="1"/>
      <c r="B14" s="2"/>
      <c r="C14" s="1"/>
      <c r="D14" s="478" t="s">
        <v>430</v>
      </c>
      <c r="E14" s="477"/>
      <c r="F14" s="477">
        <f t="shared" ref="F14:N14" si="2">F11+F13</f>
        <v>-150.398</v>
      </c>
      <c r="G14" s="477">
        <f t="shared" si="2"/>
        <v>-181.48699999999997</v>
      </c>
      <c r="H14" s="477">
        <f t="shared" si="2"/>
        <v>-270.387</v>
      </c>
      <c r="I14" s="477">
        <f t="shared" si="2"/>
        <v>-389.49399999999997</v>
      </c>
      <c r="J14" s="477">
        <f t="shared" si="2"/>
        <v>-504.34999999999991</v>
      </c>
      <c r="K14" s="477">
        <f t="shared" si="2"/>
        <v>11727.481999999998</v>
      </c>
      <c r="L14" s="477">
        <f t="shared" si="2"/>
        <v>10038.271999999999</v>
      </c>
      <c r="M14" s="477">
        <f t="shared" si="2"/>
        <v>-2487.8829999999998</v>
      </c>
      <c r="N14" s="477">
        <f t="shared" si="2"/>
        <v>-2562.0260000000003</v>
      </c>
      <c r="O14" s="477"/>
      <c r="P14" s="477"/>
      <c r="Q14" s="477"/>
      <c r="R14" s="477"/>
      <c r="S14" s="477"/>
    </row>
    <row r="15" spans="1:19" ht="15" customHeight="1" x14ac:dyDescent="0.45">
      <c r="B15" s="2"/>
      <c r="D15" s="479"/>
      <c r="E15" s="23"/>
      <c r="F15" s="23"/>
      <c r="G15" s="23"/>
      <c r="H15" s="23"/>
      <c r="I15" s="23"/>
      <c r="J15" s="23"/>
      <c r="K15" s="23"/>
      <c r="L15" s="23"/>
      <c r="M15" s="23"/>
      <c r="N15" s="23"/>
      <c r="O15" s="23"/>
      <c r="P15" s="23"/>
      <c r="Q15" s="23"/>
      <c r="R15" s="23"/>
      <c r="S15" s="23"/>
    </row>
    <row r="16" spans="1:19" s="26" customFormat="1" ht="15" customHeight="1" x14ac:dyDescent="0.45">
      <c r="A16" s="4"/>
      <c r="B16" s="2" t="s">
        <v>268</v>
      </c>
      <c r="C16" s="4"/>
      <c r="D16" s="509" t="s">
        <v>586</v>
      </c>
      <c r="E16" s="23"/>
      <c r="F16" s="25">
        <f>-IFERROR(Moderna!B27/$D$5,0)</f>
        <v>-51.95</v>
      </c>
      <c r="G16" s="25">
        <f>-IFERROR(Moderna!C27/$D$5,0)</f>
        <v>-57.401000000000003</v>
      </c>
      <c r="H16" s="25">
        <f>-IFERROR(Moderna!D27/$D$5,0)</f>
        <v>-79.885000000000005</v>
      </c>
      <c r="I16" s="25">
        <f>-IFERROR(Moderna!E27/$D$5,0)</f>
        <v>-98.266999999999996</v>
      </c>
      <c r="J16" s="25">
        <f>-IFERROR(Moderna!F27/$D$5,0)</f>
        <v>-164.90100000000001</v>
      </c>
      <c r="K16" s="25">
        <f>-IFERROR(Moderna!G27/$D$5,0)</f>
        <v>-479.65699999999998</v>
      </c>
      <c r="L16" s="25">
        <f>-IFERROR(Moderna!H27/$D$5,0)</f>
        <v>-1076.8879999999999</v>
      </c>
      <c r="M16" s="25">
        <f>-IFERROR(Moderna!I27/$D$5,0)</f>
        <v>-1432.614</v>
      </c>
      <c r="N16" s="25">
        <f>-IFERROR(Moderna!J27/$D$5,0)</f>
        <v>-1085.463</v>
      </c>
      <c r="O16" s="23"/>
      <c r="P16" s="23"/>
      <c r="Q16" s="23"/>
      <c r="R16" s="23"/>
      <c r="S16" s="23"/>
    </row>
    <row r="17" spans="1:19" s="30" customFormat="1" ht="15" customHeight="1" x14ac:dyDescent="0.45">
      <c r="A17" s="4"/>
      <c r="B17" s="4"/>
      <c r="C17" s="4"/>
      <c r="D17" s="478" t="s">
        <v>254</v>
      </c>
      <c r="F17" s="30">
        <f t="shared" ref="F17:N17" si="3">SUM(F14,F16:F16)</f>
        <v>-202.34800000000001</v>
      </c>
      <c r="G17" s="30">
        <f t="shared" si="3"/>
        <v>-238.88799999999998</v>
      </c>
      <c r="H17" s="30">
        <f t="shared" si="3"/>
        <v>-350.27199999999999</v>
      </c>
      <c r="I17" s="30">
        <f t="shared" si="3"/>
        <v>-487.76099999999997</v>
      </c>
      <c r="J17" s="30">
        <f t="shared" si="3"/>
        <v>-669.25099999999998</v>
      </c>
      <c r="K17" s="30">
        <f t="shared" si="3"/>
        <v>11247.824999999999</v>
      </c>
      <c r="L17" s="30">
        <f t="shared" si="3"/>
        <v>8961.3839999999982</v>
      </c>
      <c r="M17" s="30">
        <f t="shared" si="3"/>
        <v>-3920.4969999999998</v>
      </c>
      <c r="N17" s="30">
        <f t="shared" si="3"/>
        <v>-3647.4890000000005</v>
      </c>
    </row>
    <row r="18" spans="1:19" ht="15" customHeight="1" x14ac:dyDescent="0.45">
      <c r="B18" s="2"/>
      <c r="D18" s="479"/>
      <c r="E18" s="23"/>
      <c r="F18" s="23"/>
      <c r="G18" s="23"/>
      <c r="H18" s="23"/>
      <c r="I18" s="23"/>
      <c r="J18" s="23"/>
      <c r="K18" s="23"/>
      <c r="L18" s="23"/>
      <c r="M18" s="23"/>
      <c r="N18" s="23"/>
      <c r="O18" s="23"/>
      <c r="P18" s="23"/>
      <c r="Q18" s="23"/>
      <c r="R18" s="23"/>
      <c r="S18" s="23"/>
    </row>
    <row r="19" spans="1:19" ht="15" customHeight="1" x14ac:dyDescent="0.45">
      <c r="B19" s="24"/>
      <c r="C19" s="24"/>
      <c r="D19" s="490"/>
      <c r="E19" s="23"/>
      <c r="F19" s="23"/>
      <c r="I19" s="23"/>
      <c r="J19" s="23"/>
      <c r="K19" s="23"/>
      <c r="L19" s="23"/>
      <c r="M19" s="23"/>
      <c r="N19" s="23"/>
      <c r="O19" s="23"/>
      <c r="P19" s="23"/>
      <c r="Q19" s="23"/>
      <c r="R19" s="23"/>
      <c r="S19" s="23"/>
    </row>
    <row r="20" spans="1:19" ht="15" customHeight="1" x14ac:dyDescent="0.45">
      <c r="B20" s="2" t="s">
        <v>408</v>
      </c>
      <c r="D20" s="31" t="s">
        <v>408</v>
      </c>
      <c r="E20" s="25"/>
      <c r="F20" s="25">
        <f>IFERROR(Moderna!B31/$D$5,0)</f>
        <v>-0.126</v>
      </c>
      <c r="G20" s="25">
        <f>IFERROR(Moderna!C31/$D$5,0)</f>
        <v>-0.11700000000000001</v>
      </c>
      <c r="H20" s="25">
        <f>IFERROR(Moderna!D31/$D$5,0)</f>
        <v>-2.6240000000000001</v>
      </c>
      <c r="I20" s="25">
        <f>IFERROR(Moderna!E31/$D$5,0)</f>
        <v>0</v>
      </c>
      <c r="J20" s="25">
        <f>IFERROR(Moderna!F31/$D$5,0)</f>
        <v>-8.7710000000000008</v>
      </c>
      <c r="K20" s="25">
        <f>IFERROR(Moderna!G31/$D$5,0)</f>
        <v>-14.381</v>
      </c>
      <c r="L20" s="25">
        <f>IFERROR(Moderna!H31/$D$5,0)</f>
        <v>-27.588000000000001</v>
      </c>
      <c r="M20" s="25">
        <f>IFERROR(Moderna!I31/$D$5,0)</f>
        <v>-35.145000000000003</v>
      </c>
      <c r="N20" s="25">
        <f>IFERROR(Moderna!J31/$D$5,0)</f>
        <v>-22.19</v>
      </c>
      <c r="O20" s="25"/>
      <c r="P20" s="25"/>
      <c r="Q20" s="25"/>
      <c r="R20" s="25"/>
      <c r="S20" s="25"/>
    </row>
    <row r="21" spans="1:19" ht="15" customHeight="1" x14ac:dyDescent="0.45">
      <c r="B21" s="2" t="s">
        <v>407</v>
      </c>
      <c r="D21" s="487" t="s">
        <v>558</v>
      </c>
      <c r="E21" s="25"/>
      <c r="F21" s="25">
        <f>IFERROR(Moderna!B32/$D$5,0)</f>
        <v>10.228999999999999</v>
      </c>
      <c r="G21" s="25">
        <f>IFERROR(Moderna!C32/$D$5,0)</f>
        <v>13.512</v>
      </c>
      <c r="H21" s="25">
        <f>IFERROR(Moderna!D32/$D$5,0)</f>
        <v>22.904</v>
      </c>
      <c r="I21" s="25">
        <f>IFERROR(Moderna!E32/$D$5,0)</f>
        <v>34.840000000000003</v>
      </c>
      <c r="J21" s="25">
        <f>IFERROR(Moderna!F32/$D$5,0)</f>
        <v>21.928000000000001</v>
      </c>
      <c r="K21" s="25">
        <f>IFERROR(Moderna!G32/$D$5,0)</f>
        <v>15.227</v>
      </c>
      <c r="L21" s="25">
        <f>IFERROR(Moderna!H32/$D$5,0)</f>
        <v>190.26300000000001</v>
      </c>
      <c r="M21" s="25">
        <f>IFERROR(Moderna!I32/$D$5,0)</f>
        <v>389.36799999999999</v>
      </c>
      <c r="N21" s="25">
        <f>IFERROR(Moderna!J32/$D$5,0)</f>
        <v>392.94900000000001</v>
      </c>
      <c r="O21" s="25"/>
      <c r="P21" s="25"/>
      <c r="Q21" s="25"/>
      <c r="R21" s="25"/>
      <c r="S21" s="25"/>
    </row>
    <row r="22" spans="1:19" ht="15" customHeight="1" x14ac:dyDescent="0.45">
      <c r="B22" s="2" t="s">
        <v>409</v>
      </c>
      <c r="D22" s="487" t="s">
        <v>587</v>
      </c>
      <c r="E22" s="25"/>
      <c r="F22" s="25">
        <f>IFERROR(SUM(Moderna!B36,Moderna!B37)/$D$5,0)</f>
        <v>-2.169</v>
      </c>
      <c r="G22" s="25">
        <f>IFERROR(SUM(Moderna!C36,Moderna!C37)/$D$5,0)</f>
        <v>-0.96199999999999997</v>
      </c>
      <c r="H22" s="25">
        <f>IFERROR(SUM(Moderna!D36,Moderna!D37)/$D$5,0)</f>
        <v>-0.72899999999999998</v>
      </c>
      <c r="I22" s="25">
        <f>IFERROR(SUM(Moderna!E36,Moderna!E37)/$D$5,0)</f>
        <v>0</v>
      </c>
      <c r="J22" s="25">
        <f>IFERROR(SUM(Moderna!F36,Moderna!F37)/$D$5,0)</f>
        <v>0</v>
      </c>
      <c r="K22" s="25">
        <f>IFERROR(SUM(Moderna!G36,Moderna!G37)/$D$5,0)</f>
        <v>0</v>
      </c>
      <c r="L22" s="25">
        <f>IFERROR(SUM(Moderna!H36,Moderna!H37)/$D$5,0)</f>
        <v>0</v>
      </c>
      <c r="M22" s="25">
        <f>IFERROR(SUM(Moderna!I36,Moderna!I37)/$D$5,0)</f>
        <v>-66.59</v>
      </c>
      <c r="N22" s="25">
        <f>IFERROR(SUM(Moderna!J36,Moderna!J37)/$D$5,0)</f>
        <v>-51.777000000000001</v>
      </c>
      <c r="O22" s="25"/>
      <c r="P22" s="25"/>
      <c r="Q22" s="25"/>
      <c r="R22" s="25"/>
      <c r="S22" s="25"/>
    </row>
    <row r="23" spans="1:19" ht="15" customHeight="1" x14ac:dyDescent="0.45">
      <c r="B23" s="2" t="s">
        <v>409</v>
      </c>
      <c r="D23" s="487" t="s">
        <v>588</v>
      </c>
      <c r="E23" s="25"/>
      <c r="F23" s="25">
        <f>IFERROR(SUM(Moderna!B34,Moderna!B38)/$D$5,0)</f>
        <v>-0.155</v>
      </c>
      <c r="G23" s="25">
        <f>IFERROR(SUM(Moderna!C34,Moderna!C38)/$D$5,0)</f>
        <v>-0.58399999999999996</v>
      </c>
      <c r="H23" s="25">
        <f>IFERROR(SUM(Moderna!D34,Moderna!D38)/$D$5,0)</f>
        <v>4.9080000000000004</v>
      </c>
      <c r="I23" s="25">
        <f>IFERROR(SUM(Moderna!E34,Moderna!E38)/$D$5,0)</f>
        <v>-7.1470000000000002</v>
      </c>
      <c r="J23" s="25">
        <f>IFERROR(SUM(Moderna!F34,Moderna!F38)/$D$5,0)</f>
        <v>3.5089999999999999</v>
      </c>
      <c r="K23" s="25">
        <f>IFERROR(SUM(Moderna!G34,Moderna!G38)/$D$5,0)</f>
        <v>-10.151</v>
      </c>
      <c r="L23" s="25">
        <f>IFERROR(SUM(Moderna!H34,Moderna!H38)/$D$5,0)</f>
        <v>-15.221</v>
      </c>
      <c r="M23" s="25">
        <f>IFERROR(SUM(Moderna!I34,Moderna!I38)/$D$5,0)</f>
        <v>-12.948</v>
      </c>
      <c r="N23" s="25">
        <f>IFERROR(SUM(Moderna!J34,Moderna!J38)/$D$5,0)</f>
        <v>-6.4720000000000004</v>
      </c>
      <c r="O23" s="25"/>
      <c r="P23" s="25"/>
      <c r="Q23" s="25"/>
      <c r="R23" s="25"/>
      <c r="S23" s="25"/>
    </row>
    <row r="24" spans="1:19" s="29" customFormat="1" ht="15" customHeight="1" x14ac:dyDescent="0.45">
      <c r="A24" s="1"/>
      <c r="B24" s="2"/>
      <c r="C24" s="1"/>
      <c r="D24" s="478" t="s">
        <v>438</v>
      </c>
      <c r="E24" s="489"/>
      <c r="F24" s="489">
        <f t="shared" ref="F24:N24" si="4">SUM(F17,F20:F23)</f>
        <v>-194.56900000000002</v>
      </c>
      <c r="G24" s="489">
        <f t="shared" si="4"/>
        <v>-227.03899999999996</v>
      </c>
      <c r="H24" s="489">
        <f t="shared" si="4"/>
        <v>-325.81299999999999</v>
      </c>
      <c r="I24" s="489">
        <f t="shared" si="4"/>
        <v>-460.06799999999993</v>
      </c>
      <c r="J24" s="489">
        <f t="shared" si="4"/>
        <v>-652.58499999999992</v>
      </c>
      <c r="K24" s="489">
        <f t="shared" si="4"/>
        <v>11238.52</v>
      </c>
      <c r="L24" s="489">
        <f t="shared" si="4"/>
        <v>9108.8379999999997</v>
      </c>
      <c r="M24" s="489">
        <f t="shared" si="4"/>
        <v>-3645.8119999999999</v>
      </c>
      <c r="N24" s="489">
        <f t="shared" si="4"/>
        <v>-3334.9790000000007</v>
      </c>
      <c r="O24" s="489"/>
      <c r="P24" s="489"/>
      <c r="Q24" s="489"/>
      <c r="R24" s="489"/>
      <c r="S24" s="489"/>
    </row>
    <row r="25" spans="1:19" ht="15" customHeight="1" x14ac:dyDescent="0.45">
      <c r="B25" s="24"/>
      <c r="D25" s="31"/>
      <c r="E25" s="25"/>
      <c r="F25" s="25"/>
      <c r="G25" s="25"/>
      <c r="H25" s="25"/>
      <c r="I25" s="25"/>
      <c r="J25" s="25"/>
      <c r="K25" s="25"/>
      <c r="L25" s="25"/>
      <c r="M25" s="25"/>
      <c r="N25" s="25"/>
      <c r="O25" s="25"/>
      <c r="P25" s="25"/>
      <c r="Q25" s="25"/>
      <c r="R25" s="25"/>
      <c r="S25" s="25"/>
    </row>
    <row r="26" spans="1:19" ht="15" customHeight="1" x14ac:dyDescent="0.45">
      <c r="B26" s="2" t="s">
        <v>410</v>
      </c>
      <c r="D26" s="487" t="s">
        <v>559</v>
      </c>
      <c r="E26" s="25"/>
      <c r="F26" s="25">
        <f>-IFERROR(Moderna!B43/$D$5,0)</f>
        <v>-0.94299999999999995</v>
      </c>
      <c r="G26" s="25">
        <f>-IFERROR(Moderna!C43/$D$5,0)</f>
        <v>7.0999999999999994E-2</v>
      </c>
      <c r="H26" s="25">
        <f>-IFERROR(Moderna!D43/$D$5,0)</f>
        <v>-0.27600000000000002</v>
      </c>
      <c r="I26" s="25">
        <f>-IFERROR(Moderna!E43/$D$5,0)</f>
        <v>0.89300000000000002</v>
      </c>
      <c r="J26" s="25">
        <f>-IFERROR(Moderna!F43/$D$5,0)</f>
        <v>-2.6309999999999998</v>
      </c>
      <c r="K26" s="25">
        <f>-IFERROR(Moderna!G43/$D$5,0)</f>
        <v>-916.17</v>
      </c>
      <c r="L26" s="25">
        <f>-IFERROR(Moderna!H43/$D$5,0)</f>
        <v>-1153.9449999999999</v>
      </c>
      <c r="M26" s="25">
        <f>-IFERROR(Moderna!I43/$D$5,0)</f>
        <v>-713.995</v>
      </c>
      <c r="N26" s="25">
        <f>-IFERROR(Moderna!J43/$D$5,0)</f>
        <v>42.530999999999999</v>
      </c>
      <c r="O26" s="25"/>
      <c r="P26" s="25"/>
      <c r="Q26" s="25"/>
      <c r="R26" s="25"/>
      <c r="S26" s="25"/>
    </row>
    <row r="27" spans="1:19" s="29" customFormat="1" ht="15" customHeight="1" x14ac:dyDescent="0.45">
      <c r="A27" s="1"/>
      <c r="B27" s="2" t="s">
        <v>412</v>
      </c>
      <c r="C27" s="1"/>
      <c r="D27" s="478" t="s">
        <v>441</v>
      </c>
      <c r="E27" s="477"/>
      <c r="F27" s="477">
        <f t="shared" ref="F27:N27" si="5">SUM(F24,F26:F26)</f>
        <v>-195.51200000000003</v>
      </c>
      <c r="G27" s="477">
        <f t="shared" si="5"/>
        <v>-226.96799999999996</v>
      </c>
      <c r="H27" s="477">
        <f t="shared" si="5"/>
        <v>-326.089</v>
      </c>
      <c r="I27" s="477">
        <f t="shared" si="5"/>
        <v>-459.17499999999995</v>
      </c>
      <c r="J27" s="477">
        <f t="shared" si="5"/>
        <v>-655.21599999999989</v>
      </c>
      <c r="K27" s="477">
        <f t="shared" si="5"/>
        <v>10322.35</v>
      </c>
      <c r="L27" s="477">
        <f t="shared" si="5"/>
        <v>7954.893</v>
      </c>
      <c r="M27" s="477">
        <f t="shared" si="5"/>
        <v>-4359.8069999999998</v>
      </c>
      <c r="N27" s="477">
        <f t="shared" si="5"/>
        <v>-3292.4480000000008</v>
      </c>
      <c r="O27" s="477"/>
      <c r="P27" s="477"/>
      <c r="Q27" s="477"/>
      <c r="R27" s="477"/>
      <c r="S27" s="477"/>
    </row>
    <row r="28" spans="1:19" ht="15" customHeight="1" x14ac:dyDescent="0.45">
      <c r="B28" s="2"/>
    </row>
    <row r="29" spans="1:19" ht="15" customHeight="1" x14ac:dyDescent="0.45">
      <c r="B29" s="2"/>
      <c r="D29" s="31"/>
      <c r="E29" s="25"/>
      <c r="F29" s="25"/>
      <c r="G29" s="25"/>
      <c r="H29" s="25"/>
      <c r="I29" s="25"/>
      <c r="J29" s="25"/>
      <c r="K29" s="25"/>
      <c r="L29" s="25"/>
      <c r="M29" s="25"/>
      <c r="N29" s="25"/>
      <c r="O29" s="25"/>
      <c r="P29" s="25"/>
      <c r="Q29" s="25"/>
      <c r="R29" s="25"/>
      <c r="S29" s="25"/>
    </row>
    <row r="31" spans="1:19" ht="15" customHeight="1" x14ac:dyDescent="0.45">
      <c r="B31" s="5"/>
      <c r="D31" s="485" t="s">
        <v>442</v>
      </c>
      <c r="E31" s="23"/>
      <c r="F31" s="23"/>
      <c r="G31" s="23"/>
      <c r="H31" s="23"/>
      <c r="I31" s="23"/>
      <c r="J31" s="23"/>
      <c r="K31" s="23"/>
      <c r="L31" s="23"/>
      <c r="M31" s="23"/>
      <c r="N31" s="23"/>
      <c r="O31" s="23"/>
      <c r="P31" s="23"/>
      <c r="Q31" s="23"/>
      <c r="R31" s="23"/>
      <c r="S31" s="23"/>
    </row>
    <row r="32" spans="1:19" ht="15" customHeight="1" x14ac:dyDescent="0.45">
      <c r="B32" s="2"/>
      <c r="D32" s="31" t="s">
        <v>589</v>
      </c>
      <c r="E32" s="25"/>
      <c r="F32" s="25">
        <f>-IFERROR(Moderna!B77/$D$5,0)</f>
        <v>0</v>
      </c>
      <c r="G32" s="25">
        <f>-IFERROR(Moderna!C77/$D$5,0)</f>
        <v>0</v>
      </c>
      <c r="H32" s="25">
        <f>-IFERROR(Moderna!D77/$D$5,0)</f>
        <v>0</v>
      </c>
      <c r="I32" s="25">
        <f>-IFERROR(Moderna!E77/$D$5,0)</f>
        <v>0</v>
      </c>
      <c r="J32" s="25">
        <f>-IFERROR(Moderna!F77/$D$5,0)</f>
        <v>0</v>
      </c>
      <c r="K32" s="25">
        <f>-IFERROR(Moderna!G77/$D$5,0)</f>
        <v>0</v>
      </c>
      <c r="L32" s="25">
        <f>-IFERROR(Moderna!H77/$D$5,0)</f>
        <v>-115.10899999999999</v>
      </c>
      <c r="M32" s="25">
        <f>-IFERROR(Moderna!I77/$D$5,0)</f>
        <v>-188.672</v>
      </c>
      <c r="N32" s="25">
        <f>-IFERROR(Moderna!J77/$D$5,0)</f>
        <v>-134.989</v>
      </c>
      <c r="O32" s="25"/>
      <c r="P32" s="25"/>
      <c r="Q32" s="25"/>
      <c r="R32" s="25"/>
      <c r="S32" s="25"/>
    </row>
    <row r="33" spans="2:19" ht="15" customHeight="1" x14ac:dyDescent="0.45">
      <c r="B33" s="2"/>
      <c r="D33" s="31" t="s">
        <v>549</v>
      </c>
      <c r="E33" s="25"/>
      <c r="F33" s="25">
        <f>-IFERROR(Moderna!B78/$D$5,0)</f>
        <v>0</v>
      </c>
      <c r="G33" s="25">
        <f>-IFERROR(Moderna!C78/$D$5,0)</f>
        <v>0</v>
      </c>
      <c r="H33" s="25">
        <f>-IFERROR(Moderna!D78/$D$5,0)</f>
        <v>0</v>
      </c>
      <c r="I33" s="25">
        <f>-IFERROR(Moderna!E78/$D$5,0)</f>
        <v>0</v>
      </c>
      <c r="J33" s="25">
        <f>-IFERROR(Moderna!F78/$D$5,0)</f>
        <v>0</v>
      </c>
      <c r="K33" s="25">
        <f>-IFERROR(Moderna!G78/$D$5,0)</f>
        <v>0</v>
      </c>
      <c r="L33" s="25">
        <f>-IFERROR(Moderna!H78/$D$5,0)</f>
        <v>-115.10899999999999</v>
      </c>
      <c r="M33" s="25">
        <f>-IFERROR(Moderna!I78/$D$5,0)</f>
        <v>-188.672</v>
      </c>
      <c r="N33" s="25">
        <f>-IFERROR(Moderna!J78/$D$5,0)</f>
        <v>-134.989</v>
      </c>
      <c r="O33" s="25"/>
      <c r="P33" s="25"/>
      <c r="Q33" s="25"/>
      <c r="R33" s="25"/>
      <c r="S33" s="25"/>
    </row>
    <row r="34" spans="2:19" ht="15" customHeight="1" x14ac:dyDescent="0.45">
      <c r="B34" s="2"/>
      <c r="D34" s="31" t="s">
        <v>590</v>
      </c>
      <c r="E34" s="25"/>
      <c r="F34" s="25">
        <f>-IFERROR(Moderna!B79/$D$5,0)</f>
        <v>-51.95</v>
      </c>
      <c r="G34" s="25">
        <f>-IFERROR(Moderna!C79/$D$5,0)</f>
        <v>-57.401000000000003</v>
      </c>
      <c r="H34" s="25">
        <f>-IFERROR(Moderna!D79/$D$5,0)</f>
        <v>0</v>
      </c>
      <c r="I34" s="25">
        <f>-IFERROR(Moderna!E79/$D$5,0)</f>
        <v>0</v>
      </c>
      <c r="J34" s="25">
        <f>-IFERROR(Moderna!F79/$D$5,0)</f>
        <v>0</v>
      </c>
      <c r="K34" s="25">
        <f>-IFERROR(Moderna!G79/$D$5,0)</f>
        <v>0</v>
      </c>
      <c r="L34" s="25">
        <f>-IFERROR(Moderna!H79/$D$5,0)</f>
        <v>0</v>
      </c>
      <c r="M34" s="25">
        <f>-IFERROR(Moderna!I79/$D$5,0)</f>
        <v>0</v>
      </c>
      <c r="N34" s="25">
        <f>-IFERROR(Moderna!J79/$D$5,0)</f>
        <v>0</v>
      </c>
      <c r="O34" s="25"/>
      <c r="P34" s="25"/>
      <c r="Q34" s="25"/>
      <c r="R34" s="25"/>
      <c r="S34" s="25"/>
    </row>
    <row r="35" spans="2:19" ht="15" customHeight="1" x14ac:dyDescent="0.45">
      <c r="B35" s="2"/>
      <c r="D35" s="31" t="s">
        <v>550</v>
      </c>
      <c r="E35" s="25"/>
      <c r="F35" s="25">
        <f>-IFERROR(Moderna!B80/$D$5,0)</f>
        <v>-248.416</v>
      </c>
      <c r="G35" s="25">
        <f>-IFERROR(Moderna!C80/$D$5,0)</f>
        <v>-364.03</v>
      </c>
      <c r="H35" s="25">
        <f>-IFERROR(Moderna!D80/$D$5,0)</f>
        <v>-384.86700000000002</v>
      </c>
      <c r="I35" s="25">
        <f>-IFERROR(Moderna!E80/$D$5,0)</f>
        <v>-443.09399999999999</v>
      </c>
      <c r="J35" s="25">
        <f>-IFERROR(Moderna!F80/$D$5,0)</f>
        <v>-1201.6690000000001</v>
      </c>
      <c r="K35" s="25">
        <f>-IFERROR(Moderna!G80/$D$5,0)</f>
        <v>-1684.298</v>
      </c>
      <c r="L35" s="25">
        <f>-IFERROR(Moderna!H80/$D$5,0)</f>
        <v>-3134.5819999999999</v>
      </c>
      <c r="M35" s="25">
        <f>-IFERROR(Moderna!I80/$D$5,0)</f>
        <v>-4480.9629999999997</v>
      </c>
      <c r="N35" s="25">
        <f>-IFERROR(Moderna!J80/$D$5,0)</f>
        <v>-4200.3900000000003</v>
      </c>
      <c r="O35" s="25"/>
      <c r="P35" s="25"/>
      <c r="Q35" s="25"/>
      <c r="R35" s="25"/>
      <c r="S35" s="25"/>
    </row>
    <row r="36" spans="2:19" ht="15" customHeight="1" x14ac:dyDescent="0.45">
      <c r="B36" s="2"/>
      <c r="D36" s="31" t="s">
        <v>551</v>
      </c>
      <c r="E36" s="25"/>
      <c r="F36" s="25">
        <f>-IFERROR(Moderna!B81/$D$5,0)</f>
        <v>-12.388</v>
      </c>
      <c r="G36" s="25">
        <f>-IFERROR(Moderna!C81/$D$5,0)</f>
        <v>-16.495999999999999</v>
      </c>
      <c r="H36" s="25">
        <f>-IFERROR(Moderna!D81/$D$5,0)</f>
        <v>-16.189</v>
      </c>
      <c r="I36" s="25">
        <f>-IFERROR(Moderna!E81/$D$5,0)</f>
        <v>0</v>
      </c>
      <c r="J36" s="25">
        <f>-IFERROR(Moderna!F81/$D$5,0)</f>
        <v>-30.7</v>
      </c>
      <c r="K36" s="25">
        <f>-IFERROR(Moderna!G81/$D$5,0)</f>
        <v>-146.35</v>
      </c>
      <c r="L36" s="25">
        <f>-IFERROR(Moderna!H81/$D$5,0)</f>
        <v>-202.63</v>
      </c>
      <c r="M36" s="25">
        <f>-IFERROR(Moderna!I81/$D$5,0)</f>
        <v>-187.74700000000001</v>
      </c>
      <c r="N36" s="25">
        <f>-IFERROR(Moderna!J81/$D$5,0)</f>
        <v>-146.084</v>
      </c>
      <c r="O36" s="25"/>
      <c r="P36" s="25"/>
      <c r="Q36" s="25"/>
      <c r="R36" s="25"/>
      <c r="S36" s="25"/>
    </row>
    <row r="37" spans="2:19" ht="15" customHeight="1" x14ac:dyDescent="0.45">
      <c r="B37" s="2"/>
      <c r="D37" s="31" t="s">
        <v>552</v>
      </c>
      <c r="E37" s="25"/>
      <c r="F37" s="25">
        <f>-IFERROR(Moderna!B82/$D$5,0)</f>
        <v>0</v>
      </c>
      <c r="G37" s="25">
        <f>-IFERROR(Moderna!C82/$D$5,0)</f>
        <v>-1.236</v>
      </c>
      <c r="H37" s="25">
        <f>-IFERROR(Moderna!D82/$D$5,0)</f>
        <v>-16.306999999999999</v>
      </c>
      <c r="I37" s="25">
        <f>-IFERROR(Moderna!E82/$D$5,0)</f>
        <v>0</v>
      </c>
      <c r="J37" s="25">
        <f>-IFERROR(Moderna!F82/$D$5,0)</f>
        <v>-13.17</v>
      </c>
      <c r="K37" s="25">
        <f>-IFERROR(Moderna!G82/$D$5,0)</f>
        <v>-34.524999999999999</v>
      </c>
      <c r="L37" s="25">
        <f>-IFERROR(Moderna!H82/$D$5,0)</f>
        <v>-44.433</v>
      </c>
      <c r="M37" s="25">
        <f>-IFERROR(Moderna!I82/$D$5,0)</f>
        <v>-46.725000000000001</v>
      </c>
      <c r="N37" s="25">
        <f>-IFERROR(Moderna!J82/$D$5,0)</f>
        <v>-28.187999999999999</v>
      </c>
      <c r="O37" s="25"/>
      <c r="P37" s="25"/>
      <c r="Q37" s="25"/>
      <c r="R37" s="25"/>
      <c r="S37" s="25"/>
    </row>
    <row r="38" spans="2:19" ht="15" customHeight="1" x14ac:dyDescent="0.45">
      <c r="B38" s="2"/>
      <c r="D38" s="31" t="s">
        <v>553</v>
      </c>
      <c r="E38" s="25"/>
      <c r="F38" s="25">
        <f>-IFERROR(Moderna!B83/$D$5,0)</f>
        <v>0</v>
      </c>
      <c r="G38" s="25">
        <f>-IFERROR(Moderna!C83/$D$5,0)</f>
        <v>-15.26</v>
      </c>
      <c r="H38" s="25">
        <f>-IFERROR(Moderna!D83/$D$5,0)</f>
        <v>0.11899999999999999</v>
      </c>
      <c r="I38" s="25">
        <f>-IFERROR(Moderna!E83/$D$5,0)</f>
        <v>0</v>
      </c>
      <c r="J38" s="25">
        <f>-IFERROR(Moderna!F83/$D$5,0)</f>
        <v>-17.529</v>
      </c>
      <c r="K38" s="25">
        <f>-IFERROR(Moderna!G83/$D$5,0)</f>
        <v>-111.82599999999999</v>
      </c>
      <c r="L38" s="25">
        <f>-IFERROR(Moderna!H83/$D$5,0)</f>
        <v>-158.197</v>
      </c>
      <c r="M38" s="25">
        <f>-IFERROR(Moderna!I83/$D$5,0)</f>
        <v>-141.02199999999999</v>
      </c>
      <c r="N38" s="25">
        <f>-IFERROR(Moderna!J83/$D$5,0)</f>
        <v>-117.896</v>
      </c>
      <c r="O38" s="25"/>
      <c r="P38" s="25"/>
      <c r="Q38" s="25"/>
      <c r="R38" s="25"/>
      <c r="S38" s="25"/>
    </row>
    <row r="39" spans="2:19" ht="15" customHeight="1" x14ac:dyDescent="0.45">
      <c r="B39" s="2"/>
      <c r="D39" s="31" t="s">
        <v>591</v>
      </c>
      <c r="E39" s="25"/>
      <c r="F39" s="25">
        <f>-IFERROR(Moderna!B84/$D$5,0)</f>
        <v>-18.706</v>
      </c>
      <c r="G39" s="25">
        <f>-IFERROR(Moderna!C84/$D$5,0)</f>
        <v>-19.227</v>
      </c>
      <c r="H39" s="25">
        <f>-IFERROR(Moderna!D84/$D$5,0)</f>
        <v>-31.919</v>
      </c>
      <c r="I39" s="25">
        <f>-IFERROR(Moderna!E84/$D$5,0)</f>
        <v>-42.88</v>
      </c>
      <c r="J39" s="25">
        <f>-IFERROR(Moderna!F84/$D$5,0)</f>
        <v>-49.119</v>
      </c>
      <c r="K39" s="25">
        <f>-IFERROR(Moderna!G84/$D$5,0)</f>
        <v>-76.135999999999996</v>
      </c>
      <c r="L39" s="25">
        <f>-IFERROR(Moderna!H84/$D$5,0)</f>
        <v>-131.28100000000001</v>
      </c>
      <c r="M39" s="25">
        <f>-IFERROR(Moderna!I84/$D$5,0)</f>
        <v>-179.42400000000001</v>
      </c>
      <c r="N39" s="25">
        <f>-IFERROR(Moderna!J84/$D$5,0)</f>
        <v>-267.20499999999998</v>
      </c>
      <c r="O39" s="25"/>
      <c r="P39" s="25"/>
      <c r="Q39" s="25"/>
      <c r="R39" s="25"/>
      <c r="S39" s="25"/>
    </row>
    <row r="40" spans="2:19" ht="15" customHeight="1" x14ac:dyDescent="0.45">
      <c r="B40" s="2"/>
      <c r="D40" s="31" t="s">
        <v>592</v>
      </c>
      <c r="E40" s="25"/>
      <c r="F40" s="25">
        <f>-IFERROR(Moderna!B85/$D$5,0)</f>
        <v>-16.885000000000002</v>
      </c>
      <c r="G40" s="25">
        <f>-IFERROR(Moderna!C85/$D$5,0)</f>
        <v>-16.297000000000001</v>
      </c>
      <c r="H40" s="25">
        <f>-IFERROR(Moderna!D85/$D$5,0)</f>
        <v>0</v>
      </c>
      <c r="I40" s="25">
        <f>-IFERROR(Moderna!E85/$D$5,0)</f>
        <v>0</v>
      </c>
      <c r="J40" s="25">
        <f>-IFERROR(Moderna!F85/$D$5,0)</f>
        <v>0</v>
      </c>
      <c r="K40" s="25">
        <f>-IFERROR(Moderna!G85/$D$5,0)</f>
        <v>0</v>
      </c>
      <c r="L40" s="25">
        <f>-IFERROR(Moderna!H85/$D$5,0)</f>
        <v>0</v>
      </c>
      <c r="M40" s="25">
        <f>-IFERROR(Moderna!I85/$D$5,0)</f>
        <v>0</v>
      </c>
      <c r="N40" s="25">
        <f>-IFERROR(Moderna!J85/$D$5,0)</f>
        <v>0</v>
      </c>
      <c r="O40" s="25"/>
      <c r="P40" s="25"/>
      <c r="Q40" s="25"/>
      <c r="R40" s="25"/>
      <c r="S40" s="25"/>
    </row>
    <row r="41" spans="2:19" ht="15" customHeight="1" x14ac:dyDescent="0.45">
      <c r="B41" s="2"/>
      <c r="D41" s="31" t="s">
        <v>593</v>
      </c>
      <c r="E41" s="25"/>
      <c r="F41" s="25">
        <f>-IFERROR(Moderna!B86/$D$5,0)</f>
        <v>0</v>
      </c>
      <c r="G41" s="25">
        <f>-IFERROR(Moderna!C86/$D$5,0)</f>
        <v>0</v>
      </c>
      <c r="H41" s="25">
        <f>-IFERROR(Moderna!D86/$D$5,0)</f>
        <v>-29.585000000000001</v>
      </c>
      <c r="I41" s="25">
        <f>-IFERROR(Moderna!E86/$D$5,0)</f>
        <v>-29.48</v>
      </c>
      <c r="J41" s="25">
        <f>-IFERROR(Moderna!F86/$D$5,0)</f>
        <v>-32.454000000000001</v>
      </c>
      <c r="K41" s="25">
        <f>-IFERROR(Moderna!G86/$D$5,0)</f>
        <v>-43.99</v>
      </c>
      <c r="L41" s="25">
        <f>-IFERROR(Moderna!H86/$D$5,0)</f>
        <v>-83.715999999999994</v>
      </c>
      <c r="M41" s="25">
        <f>-IFERROR(Moderna!I86/$D$5,0)</f>
        <v>-102.66</v>
      </c>
      <c r="N41" s="25">
        <f>-IFERROR(Moderna!J86/$D$5,0)</f>
        <v>-129.44200000000001</v>
      </c>
      <c r="O41" s="25"/>
      <c r="P41" s="25"/>
      <c r="Q41" s="25"/>
      <c r="R41" s="25"/>
      <c r="S41" s="25"/>
    </row>
    <row r="42" spans="2:19" ht="15" customHeight="1" x14ac:dyDescent="0.45">
      <c r="B42" s="2"/>
      <c r="D42" s="31" t="s">
        <v>556</v>
      </c>
      <c r="E42" s="25"/>
      <c r="F42" s="25">
        <f>+Moderna!B130/$D$5</f>
        <v>13.667</v>
      </c>
      <c r="G42" s="25">
        <f>+Moderna!C130/$D$5</f>
        <v>18.213999999999999</v>
      </c>
      <c r="H42" s="25">
        <f>+Moderna!D130/$D$5</f>
        <v>21.071999999999999</v>
      </c>
      <c r="I42" s="25">
        <f>+Moderna!E130/$D$5</f>
        <v>27.693000000000001</v>
      </c>
      <c r="J42" s="25">
        <f>+Moderna!F130/$D$5</f>
        <v>81.572999999999993</v>
      </c>
      <c r="K42" s="25">
        <f>+Moderna!G130/$D$5</f>
        <v>196.262</v>
      </c>
      <c r="L42" s="25">
        <f>+Moderna!H130/$D$5</f>
        <v>331.05700000000002</v>
      </c>
      <c r="M42" s="25">
        <f>+Moderna!I130/$D$5</f>
        <v>574.34</v>
      </c>
      <c r="N42" s="25">
        <f>+Moderna!J130/$D$5</f>
        <v>174.74700000000001</v>
      </c>
      <c r="O42" s="25"/>
      <c r="P42" s="25"/>
      <c r="Q42" s="25"/>
      <c r="R42" s="25"/>
      <c r="S42" s="25"/>
    </row>
    <row r="43" spans="2:19" ht="15" customHeight="1" x14ac:dyDescent="0.45">
      <c r="B43" s="2"/>
      <c r="D43" s="31" t="s">
        <v>555</v>
      </c>
      <c r="E43" s="25"/>
      <c r="F43" s="25">
        <f>+Moderna!B143/$D$5</f>
        <v>60.344999999999999</v>
      </c>
      <c r="G43" s="25">
        <f>+Moderna!C143/$D$5</f>
        <v>-293.988</v>
      </c>
      <c r="H43" s="25">
        <f>+Moderna!D143/$D$5</f>
        <v>-280.43200000000002</v>
      </c>
      <c r="I43" s="25">
        <f>+Moderna!E143/$D$5</f>
        <v>-410.04</v>
      </c>
      <c r="J43" s="25">
        <f>+Moderna!F143/$D$5</f>
        <v>1777.944</v>
      </c>
      <c r="K43" s="25">
        <f>+Moderna!G143/$D$5</f>
        <v>11521.915000000001</v>
      </c>
      <c r="L43" s="25">
        <f>+Moderna!H143/$D$5</f>
        <v>4738.4979999999996</v>
      </c>
      <c r="M43" s="25">
        <f>+Moderna!I143/$D$5</f>
        <v>-2883.7240000000002</v>
      </c>
      <c r="N43" s="25">
        <f>+Moderna!J143/$D$5</f>
        <v>-2777.4540000000002</v>
      </c>
      <c r="O43" s="25"/>
      <c r="P43" s="25"/>
      <c r="Q43" s="25"/>
      <c r="R43" s="25"/>
      <c r="S43" s="25"/>
    </row>
    <row r="44" spans="2:19" ht="15" customHeight="1" x14ac:dyDescent="0.45">
      <c r="B44" s="2"/>
      <c r="D44" s="31" t="s">
        <v>556</v>
      </c>
      <c r="E44" s="25"/>
      <c r="F44" s="25">
        <f>+Moderna!B131/'Moderna FS'!$D$5</f>
        <v>13.667</v>
      </c>
      <c r="G44" s="25">
        <f>+Moderna!C131/'Moderna FS'!$D$5</f>
        <v>18.213999999999999</v>
      </c>
      <c r="H44" s="25">
        <f>+Moderna!D131/'Moderna FS'!$D$5</f>
        <v>21.071999999999999</v>
      </c>
      <c r="I44" s="25">
        <f>+Moderna!E131/'Moderna FS'!$D$5</f>
        <v>27.693000000000001</v>
      </c>
      <c r="J44" s="25">
        <f>+Moderna!F131/'Moderna FS'!$D$5</f>
        <v>81.572999999999993</v>
      </c>
      <c r="K44" s="25">
        <f>+Moderna!G131/'Moderna FS'!$D$5</f>
        <v>196.262</v>
      </c>
      <c r="L44" s="25">
        <f>+Moderna!H131/'Moderna FS'!$D$5</f>
        <v>331.05700000000002</v>
      </c>
      <c r="M44" s="25">
        <f>+Moderna!I131/'Moderna FS'!$D$5</f>
        <v>574.34</v>
      </c>
      <c r="N44" s="25">
        <f>+Moderna!J131/'Moderna FS'!$D$5</f>
        <v>174.74700000000001</v>
      </c>
      <c r="O44" s="25"/>
      <c r="P44" s="25"/>
      <c r="Q44" s="25"/>
      <c r="R44" s="25"/>
      <c r="S44" s="25"/>
    </row>
    <row r="45" spans="2:19" ht="15" customHeight="1" x14ac:dyDescent="0.45">
      <c r="B45" s="2"/>
      <c r="D45" s="31"/>
      <c r="E45" s="25"/>
      <c r="F45" s="25"/>
      <c r="G45" s="25"/>
      <c r="H45" s="25"/>
      <c r="I45" s="25"/>
      <c r="J45" s="25"/>
      <c r="K45" s="25"/>
      <c r="L45" s="25"/>
      <c r="M45" s="25"/>
      <c r="N45" s="25"/>
      <c r="O45" s="25"/>
      <c r="P45" s="25"/>
      <c r="Q45" s="25"/>
      <c r="R45" s="25"/>
      <c r="S45" s="25"/>
    </row>
    <row r="47" spans="2:19" ht="15" customHeight="1" x14ac:dyDescent="0.45">
      <c r="B47" s="3"/>
      <c r="D47" s="485" t="s">
        <v>448</v>
      </c>
      <c r="E47" s="23"/>
      <c r="F47" s="23"/>
      <c r="G47" s="23"/>
      <c r="H47" s="23"/>
      <c r="I47" s="23"/>
      <c r="J47" s="23"/>
      <c r="K47" s="23"/>
      <c r="L47" s="23"/>
      <c r="M47" s="23"/>
      <c r="N47" s="23"/>
      <c r="O47" s="23"/>
      <c r="P47" s="23"/>
      <c r="Q47" s="23"/>
      <c r="R47" s="23"/>
      <c r="S47" s="23"/>
    </row>
    <row r="48" spans="2:19" ht="15" customHeight="1" x14ac:dyDescent="0.45">
      <c r="D48" s="488"/>
      <c r="E48" s="23"/>
      <c r="F48" s="23"/>
      <c r="G48" s="23"/>
      <c r="H48" s="23"/>
      <c r="I48" s="23"/>
      <c r="J48" s="23"/>
      <c r="K48" s="23"/>
      <c r="L48" s="23"/>
      <c r="M48" s="23"/>
      <c r="N48" s="23"/>
      <c r="O48" s="23"/>
      <c r="P48" s="23"/>
      <c r="Q48" s="23"/>
      <c r="R48" s="23"/>
      <c r="S48" s="23"/>
    </row>
    <row r="49" spans="1:19" ht="15" customHeight="1" x14ac:dyDescent="0.45">
      <c r="B49" s="2" t="s">
        <v>278</v>
      </c>
      <c r="D49" s="487" t="s">
        <v>594</v>
      </c>
      <c r="F49" s="25">
        <f>IFERROR(Moderna!B210/$D$5,0)</f>
        <v>77</v>
      </c>
      <c r="G49" s="25">
        <f>IFERROR(Moderna!C210/$D$5,0)</f>
        <v>115.785</v>
      </c>
      <c r="H49" s="25">
        <f>IFERROR(Moderna!D210/$D$5,0)</f>
        <v>185.14099999999999</v>
      </c>
      <c r="I49" s="25">
        <f>IFERROR(Moderna!E210/$D$5,0)</f>
        <v>256.55599999999998</v>
      </c>
      <c r="J49" s="25">
        <f>IFERROR(Moderna!F210/$D$5,0)</f>
        <v>316.37299999999999</v>
      </c>
      <c r="K49" s="25">
        <f>IFERROR(Moderna!G210/$D$5,0)</f>
        <v>1216.0719999999999</v>
      </c>
      <c r="L49" s="25">
        <f>IFERROR(Moderna!H210/$D$5,0)</f>
        <v>2001.462</v>
      </c>
      <c r="M49" s="25">
        <f>IFERROR(Moderna!I210/$D$5,0)</f>
        <v>2404.6930000000002</v>
      </c>
      <c r="N49" s="25">
        <f>IFERROR(Moderna!J210/$D$5,0)</f>
        <v>2854.2350000000001</v>
      </c>
      <c r="O49" s="25"/>
      <c r="P49" s="25"/>
      <c r="Q49" s="25"/>
      <c r="R49" s="25"/>
      <c r="S49" s="25"/>
    </row>
    <row r="50" spans="1:19" ht="15" customHeight="1" x14ac:dyDescent="0.45">
      <c r="B50" s="2" t="s">
        <v>280</v>
      </c>
      <c r="D50" s="487" t="s">
        <v>595</v>
      </c>
      <c r="F50" s="25">
        <f>IFERROR(Moderna!B211/$D$5,0)</f>
        <v>224.315</v>
      </c>
      <c r="G50" s="25">
        <f>IFERROR(Moderna!C211/$D$5,0)</f>
        <v>121.465</v>
      </c>
      <c r="H50" s="25">
        <f>IFERROR(Moderna!D211/$D$5,0)</f>
        <v>151.089</v>
      </c>
      <c r="I50" s="25">
        <f>IFERROR(Moderna!E211/$D$5,0)</f>
        <v>142.56399999999999</v>
      </c>
      <c r="J50" s="25">
        <f>IFERROR(Moderna!F211/$D$5,0)</f>
        <v>522.38300000000004</v>
      </c>
      <c r="K50" s="25">
        <f>IFERROR(Moderna!G211/$D$5,0)</f>
        <v>6017.05</v>
      </c>
      <c r="L50" s="25">
        <f>IFERROR(Moderna!H211/$D$5,0)</f>
        <v>7822.4520000000002</v>
      </c>
      <c r="M50" s="25">
        <f>IFERROR(Moderna!I211/$D$5,0)</f>
        <v>4290.9920000000002</v>
      </c>
      <c r="N50" s="25">
        <f>IFERROR(Moderna!J211/$D$5,0)</f>
        <v>2422.4769999999999</v>
      </c>
      <c r="O50" s="25"/>
      <c r="P50" s="25"/>
      <c r="Q50" s="25"/>
      <c r="R50" s="25"/>
      <c r="S50" s="25"/>
    </row>
    <row r="51" spans="1:19" ht="15" customHeight="1" x14ac:dyDescent="0.45">
      <c r="B51" s="2" t="s">
        <v>279</v>
      </c>
      <c r="D51" s="487" t="s">
        <v>453</v>
      </c>
      <c r="F51" s="25">
        <f>IFERROR(Moderna!B212/$D$5,0)</f>
        <v>0</v>
      </c>
      <c r="G51" s="25">
        <f>IFERROR(Moderna!C212/$D$5,0)</f>
        <v>0</v>
      </c>
      <c r="H51" s="25">
        <f>IFERROR(Moderna!D212/$D$5,0)</f>
        <v>0</v>
      </c>
      <c r="I51" s="25">
        <f>IFERROR(Moderna!E212/$D$5,0)</f>
        <v>0</v>
      </c>
      <c r="J51" s="25">
        <f>IFERROR(Moderna!F212/$D$5,0)</f>
        <v>0</v>
      </c>
      <c r="K51" s="25">
        <f>IFERROR(Moderna!G212/$D$5,0)</f>
        <v>0</v>
      </c>
      <c r="L51" s="25">
        <f>IFERROR(Moderna!H212/$D$5,0)</f>
        <v>0</v>
      </c>
      <c r="M51" s="25">
        <f>IFERROR(Moderna!I212/$D$5,0)</f>
        <v>47.043999999999997</v>
      </c>
      <c r="N51" s="25">
        <f>IFERROR(Moderna!J212/$D$5,0)</f>
        <v>50.226999999999997</v>
      </c>
      <c r="O51" s="25"/>
      <c r="P51" s="25"/>
      <c r="Q51" s="25"/>
      <c r="R51" s="25"/>
      <c r="S51" s="25"/>
    </row>
    <row r="52" spans="1:19" ht="15" customHeight="1" x14ac:dyDescent="0.45">
      <c r="B52" s="2" t="s">
        <v>279</v>
      </c>
      <c r="D52" s="487" t="s">
        <v>596</v>
      </c>
      <c r="F52" s="25">
        <f>IFERROR(Moderna!B213/$D$5,0)</f>
        <v>0</v>
      </c>
      <c r="G52" s="25">
        <f>IFERROR(Moderna!C213/$D$5,0)</f>
        <v>0</v>
      </c>
      <c r="H52" s="25">
        <f>IFERROR(Moderna!D213/$D$5,0)</f>
        <v>0</v>
      </c>
      <c r="I52" s="25">
        <f>IFERROR(Moderna!E213/$D$5,0)</f>
        <v>0</v>
      </c>
      <c r="J52" s="25">
        <f>IFERROR(Moderna!F213/$D$5,0)</f>
        <v>0</v>
      </c>
      <c r="K52" s="25">
        <f>IFERROR(Moderna!G213/$D$5,0)</f>
        <v>0</v>
      </c>
      <c r="L52" s="25">
        <f>IFERROR(Moderna!H213/$D$5,0)</f>
        <v>0</v>
      </c>
      <c r="M52" s="25">
        <f>IFERROR(Moderna!I213/$D$5,0)</f>
        <v>39.807000000000002</v>
      </c>
      <c r="N52" s="25">
        <f>IFERROR(Moderna!J213/$D$5,0)</f>
        <v>38.636000000000003</v>
      </c>
      <c r="O52" s="25"/>
      <c r="P52" s="25"/>
      <c r="Q52" s="25"/>
      <c r="R52" s="25"/>
      <c r="S52" s="25"/>
    </row>
    <row r="53" spans="1:19" ht="15" customHeight="1" x14ac:dyDescent="0.45">
      <c r="B53" s="2" t="s">
        <v>281</v>
      </c>
      <c r="D53" s="487" t="s">
        <v>597</v>
      </c>
      <c r="F53" s="25">
        <f>IFERROR(Moderna!B214/$D$5,0)</f>
        <v>0</v>
      </c>
      <c r="G53" s="25">
        <f>IFERROR(Moderna!C214/$D$5,0)</f>
        <v>0</v>
      </c>
      <c r="H53" s="25">
        <f>IFERROR(Moderna!D214/$D$5,0)</f>
        <v>0</v>
      </c>
      <c r="I53" s="25">
        <f>IFERROR(Moderna!E214/$D$5,0)</f>
        <v>0</v>
      </c>
      <c r="J53" s="25">
        <f>IFERROR(Moderna!F214/$D$5,0)</f>
        <v>0</v>
      </c>
      <c r="K53" s="25">
        <f>IFERROR(Moderna!G214/$D$5,0)</f>
        <v>286.65199999999999</v>
      </c>
      <c r="L53" s="25">
        <f>IFERROR(Moderna!H214/$D$5,0)</f>
        <v>918.85699999999997</v>
      </c>
      <c r="M53" s="25">
        <f>IFERROR(Moderna!I214/$D$5,0)</f>
        <v>0</v>
      </c>
      <c r="N53" s="25">
        <f>IFERROR(Moderna!J214/$D$5,0)</f>
        <v>0</v>
      </c>
      <c r="O53" s="25"/>
      <c r="P53" s="25"/>
      <c r="Q53" s="25"/>
      <c r="R53" s="25"/>
      <c r="S53" s="25"/>
    </row>
    <row r="54" spans="1:19" ht="15" customHeight="1" x14ac:dyDescent="0.45">
      <c r="B54" s="2" t="s">
        <v>279</v>
      </c>
      <c r="D54" s="487" t="s">
        <v>598</v>
      </c>
      <c r="F54" s="25">
        <f>IFERROR(Moderna!B215/$D$5,0)</f>
        <v>11.599</v>
      </c>
      <c r="G54" s="25">
        <f>IFERROR(Moderna!C215/$D$5,0)</f>
        <v>13.645</v>
      </c>
      <c r="H54" s="25">
        <f>IFERROR(Moderna!D215/$D$5,0)</f>
        <v>12.381</v>
      </c>
      <c r="I54" s="25">
        <f>IFERROR(Moderna!E215/$D$5,0)</f>
        <v>11.337</v>
      </c>
      <c r="J54" s="25">
        <f>IFERROR(Moderna!F215/$D$5,0)</f>
        <v>10.628</v>
      </c>
      <c r="K54" s="25">
        <f>IFERROR(Moderna!G215/$D$5,0)</f>
        <v>40.448</v>
      </c>
      <c r="L54" s="25">
        <f>IFERROR(Moderna!H215/$D$5,0)</f>
        <v>885.17200000000003</v>
      </c>
      <c r="M54" s="25">
        <f>IFERROR(Moderna!I215/$D$5,0)</f>
        <v>546.43899999999996</v>
      </c>
      <c r="N54" s="25">
        <f>IFERROR(Moderna!J215/$D$5,0)</f>
        <v>471.35899999999998</v>
      </c>
      <c r="O54" s="25"/>
      <c r="P54" s="25"/>
      <c r="Q54" s="25"/>
      <c r="R54" s="25"/>
      <c r="S54" s="25"/>
    </row>
    <row r="55" spans="1:19" s="29" customFormat="1" ht="15" customHeight="1" x14ac:dyDescent="0.45">
      <c r="A55" s="1"/>
      <c r="B55" s="2"/>
      <c r="C55" s="1"/>
      <c r="D55" s="478" t="s">
        <v>460</v>
      </c>
      <c r="E55" s="477"/>
      <c r="F55" s="477">
        <f t="shared" ref="F55:N55" si="6">SUM(F49:F54)</f>
        <v>312.91399999999999</v>
      </c>
      <c r="G55" s="477">
        <f t="shared" si="6"/>
        <v>250.89500000000001</v>
      </c>
      <c r="H55" s="477">
        <f t="shared" si="6"/>
        <v>348.61099999999999</v>
      </c>
      <c r="I55" s="477">
        <f t="shared" si="6"/>
        <v>410.45699999999999</v>
      </c>
      <c r="J55" s="477">
        <f t="shared" si="6"/>
        <v>849.38400000000013</v>
      </c>
      <c r="K55" s="477">
        <f t="shared" si="6"/>
        <v>7560.2220000000007</v>
      </c>
      <c r="L55" s="477">
        <f t="shared" si="6"/>
        <v>11627.943000000001</v>
      </c>
      <c r="M55" s="477">
        <f t="shared" si="6"/>
        <v>7328.9750000000004</v>
      </c>
      <c r="N55" s="477">
        <f t="shared" si="6"/>
        <v>5836.9340000000002</v>
      </c>
      <c r="O55" s="477"/>
      <c r="P55" s="477"/>
      <c r="Q55" s="477"/>
      <c r="R55" s="477"/>
      <c r="S55" s="477"/>
    </row>
    <row r="56" spans="1:19" ht="15" customHeight="1" x14ac:dyDescent="0.45">
      <c r="B56" s="2"/>
      <c r="D56" s="31"/>
      <c r="E56" s="25"/>
      <c r="F56" s="25"/>
      <c r="G56" s="25"/>
      <c r="H56" s="25"/>
      <c r="I56" s="25"/>
      <c r="J56" s="25"/>
      <c r="K56" s="25"/>
      <c r="L56" s="25"/>
      <c r="M56" s="25"/>
      <c r="N56" s="25"/>
      <c r="O56" s="25"/>
      <c r="P56" s="25"/>
      <c r="Q56" s="25"/>
      <c r="R56" s="25"/>
      <c r="S56" s="25"/>
    </row>
    <row r="57" spans="1:19" ht="15" customHeight="1" x14ac:dyDescent="0.45">
      <c r="B57" s="2" t="s">
        <v>285</v>
      </c>
      <c r="D57" s="487" t="s">
        <v>599</v>
      </c>
      <c r="E57" s="25"/>
      <c r="F57" s="25">
        <f>IFERROR(Moderna!B196/$D$5,0)</f>
        <v>47.485999999999997</v>
      </c>
      <c r="G57" s="25">
        <f>IFERROR(Moderna!C196/$D$5,0)</f>
        <v>112.31100000000001</v>
      </c>
      <c r="H57" s="25">
        <f>IFERROR(Moderna!D196/$D$5,0)</f>
        <v>575.01499999999999</v>
      </c>
      <c r="I57" s="25">
        <f>IFERROR(Moderna!E196/$D$5,0)</f>
        <v>210.18899999999999</v>
      </c>
      <c r="J57" s="25">
        <f>IFERROR(Moderna!F196/$D$5,0)</f>
        <v>2145.12</v>
      </c>
      <c r="K57" s="25">
        <f>IFERROR(Moderna!G196/$D$5,0)</f>
        <v>6021.4459999999999</v>
      </c>
      <c r="L57" s="25">
        <f>IFERROR(Moderna!H196/$D$5,0)</f>
        <v>2998.9189999999999</v>
      </c>
      <c r="M57" s="25">
        <f>IFERROR(Moderna!I196/$D$5,0)</f>
        <v>2629.9630000000002</v>
      </c>
      <c r="N57" s="25">
        <f>IFERROR(Moderna!J196/$D$5,0)</f>
        <v>1861.289</v>
      </c>
      <c r="O57" s="25"/>
      <c r="P57" s="25"/>
      <c r="Q57" s="25"/>
      <c r="R57" s="25"/>
      <c r="S57" s="25"/>
    </row>
    <row r="58" spans="1:19" ht="15" customHeight="1" x14ac:dyDescent="0.45">
      <c r="B58" s="2" t="s">
        <v>285</v>
      </c>
      <c r="D58" s="487" t="s">
        <v>600</v>
      </c>
      <c r="E58" s="25"/>
      <c r="F58" s="25">
        <f>IFERROR(Moderna!B197/$D$5,0)</f>
        <v>955.84100000000001</v>
      </c>
      <c r="G58" s="25">
        <f>IFERROR(Moderna!C197/$D$5,0)</f>
        <v>517.30999999999995</v>
      </c>
      <c r="H58" s="25">
        <f>IFERROR(Moderna!D197/$D$5,0)</f>
        <v>753.79899999999998</v>
      </c>
      <c r="I58" s="25">
        <f>IFERROR(Moderna!E197/$D$5,0)</f>
        <v>772.69399999999996</v>
      </c>
      <c r="J58" s="25">
        <f>IFERROR(Moderna!F197/$D$5,0)</f>
        <v>1621.92</v>
      </c>
      <c r="K58" s="25">
        <f>IFERROR(Moderna!G197/$D$5,0)</f>
        <v>3410.8049999999998</v>
      </c>
      <c r="L58" s="25">
        <f>IFERROR(Moderna!H197/$D$5,0)</f>
        <v>6266.3829999999998</v>
      </c>
      <c r="M58" s="25">
        <f>IFERROR(Moderna!I197/$D$5,0)</f>
        <v>5154.076</v>
      </c>
      <c r="N58" s="25">
        <f>IFERROR(Moderna!J197/$D$5,0)</f>
        <v>4924.1580000000004</v>
      </c>
      <c r="O58" s="25"/>
      <c r="P58" s="25"/>
      <c r="Q58" s="25"/>
      <c r="R58" s="25"/>
      <c r="S58" s="25"/>
    </row>
    <row r="59" spans="1:19" ht="15" customHeight="1" x14ac:dyDescent="0.45">
      <c r="B59" s="2" t="s">
        <v>284</v>
      </c>
      <c r="D59" s="487" t="s">
        <v>601</v>
      </c>
      <c r="E59" s="25"/>
      <c r="F59" s="25">
        <f>IFERROR(Moderna!B205/$D$5,0)</f>
        <v>0</v>
      </c>
      <c r="G59" s="25">
        <f>IFERROR(Moderna!C205/$D$5,0)</f>
        <v>0.79200000000000004</v>
      </c>
      <c r="H59" s="25">
        <f>IFERROR(Moderna!D205/$D$5,0)</f>
        <v>0.52</v>
      </c>
      <c r="I59" s="25">
        <f>IFERROR(Moderna!E205/$D$5,0)</f>
        <v>0.92</v>
      </c>
      <c r="J59" s="25">
        <f>IFERROR(Moderna!F205/$D$5,0)</f>
        <v>0.81799999999999995</v>
      </c>
      <c r="K59" s="25">
        <f>IFERROR(Moderna!G205/$D$5,0)</f>
        <v>0</v>
      </c>
      <c r="L59" s="25">
        <f>IFERROR(Moderna!H205/$D$5,0)</f>
        <v>0</v>
      </c>
      <c r="M59" s="25">
        <f>IFERROR(Moderna!I205/$D$5,0)</f>
        <v>0</v>
      </c>
      <c r="N59" s="25">
        <f>IFERROR(Moderna!J205/$D$5,0)</f>
        <v>0</v>
      </c>
      <c r="O59" s="25"/>
      <c r="P59" s="25"/>
      <c r="Q59" s="25"/>
      <c r="R59" s="25"/>
      <c r="S59" s="25"/>
    </row>
    <row r="60" spans="1:19" ht="15" customHeight="1" x14ac:dyDescent="0.45">
      <c r="B60" s="2" t="s">
        <v>283</v>
      </c>
      <c r="D60" s="487" t="s">
        <v>602</v>
      </c>
      <c r="E60" s="25"/>
      <c r="F60" s="25">
        <f>IFERROR(Moderna!B199/$D$5,0)</f>
        <v>12.823</v>
      </c>
      <c r="G60" s="25">
        <f>IFERROR(Moderna!C199/$D$5,0)</f>
        <v>11.173999999999999</v>
      </c>
      <c r="H60" s="25">
        <f>IFERROR(Moderna!D199/$D$5,0)</f>
        <v>10.992000000000001</v>
      </c>
      <c r="I60" s="25">
        <f>IFERROR(Moderna!E199/$D$5,0)</f>
        <v>4.7839999999999998</v>
      </c>
      <c r="J60" s="25">
        <f>IFERROR(Moderna!F199/$D$5,0)</f>
        <v>1137.143</v>
      </c>
      <c r="K60" s="25">
        <f>IFERROR(Moderna!G199/$D$5,0)</f>
        <v>2791.7779999999998</v>
      </c>
      <c r="L60" s="25">
        <f>IFERROR(Moderna!H199/$D$5,0)</f>
        <v>1295.9449999999999</v>
      </c>
      <c r="M60" s="25">
        <f>IFERROR(Moderna!I199/$D$5,0)</f>
        <v>806.99199999999996</v>
      </c>
      <c r="N60" s="25">
        <f>IFERROR(Moderna!J199/$D$5,0)</f>
        <v>345.79199999999997</v>
      </c>
      <c r="O60" s="25"/>
      <c r="P60" s="25"/>
      <c r="Q60" s="25"/>
      <c r="R60" s="25"/>
      <c r="S60" s="25"/>
    </row>
    <row r="61" spans="1:19" ht="15" customHeight="1" x14ac:dyDescent="0.45">
      <c r="B61" s="2" t="s">
        <v>284</v>
      </c>
      <c r="D61" s="487" t="s">
        <v>603</v>
      </c>
      <c r="E61" s="25"/>
      <c r="F61" s="25">
        <f>IFERROR(Moderna!B200/$D$5,0)</f>
        <v>4.1989999999999998</v>
      </c>
      <c r="G61" s="25">
        <f>IFERROR(Moderna!C200/$D$5,0)</f>
        <v>4.1529999999999996</v>
      </c>
      <c r="H61" s="25">
        <f>IFERROR(Moderna!D200/$D$5,0)</f>
        <v>15.718999999999999</v>
      </c>
      <c r="I61" s="25">
        <f>IFERROR(Moderna!E200/$D$5,0)</f>
        <v>9.7379999999999995</v>
      </c>
      <c r="J61" s="25">
        <f>IFERROR(Moderna!F200/$D$5,0)</f>
        <v>13.898</v>
      </c>
      <c r="K61" s="25">
        <f>IFERROR(Moderna!G200/$D$5,0)</f>
        <v>130.136</v>
      </c>
      <c r="L61" s="25">
        <f>IFERROR(Moderna!H200/$D$5,0)</f>
        <v>247.02500000000001</v>
      </c>
      <c r="M61" s="25">
        <f>IFERROR(Moderna!I200/$D$5,0)</f>
        <v>170.988</v>
      </c>
      <c r="N61" s="25">
        <f>IFERROR(Moderna!J200/$D$5,0)</f>
        <v>226.02099999999999</v>
      </c>
      <c r="O61" s="25"/>
      <c r="P61" s="25"/>
      <c r="Q61" s="25"/>
      <c r="R61" s="25"/>
      <c r="S61" s="25"/>
    </row>
    <row r="62" spans="1:19" ht="15" customHeight="1" x14ac:dyDescent="0.45">
      <c r="B62" s="2" t="s">
        <v>283</v>
      </c>
      <c r="D62" s="487" t="s">
        <v>604</v>
      </c>
      <c r="E62" s="25"/>
      <c r="F62" s="25">
        <f>IFERROR(Moderna!B201/$D$5,0)</f>
        <v>0</v>
      </c>
      <c r="G62" s="25">
        <f>IFERROR(Moderna!C201/$D$5,0)</f>
        <v>0</v>
      </c>
      <c r="H62" s="25">
        <f>IFERROR(Moderna!D201/$D$5,0)</f>
        <v>0</v>
      </c>
      <c r="I62" s="25">
        <f>IFERROR(Moderna!E201/$D$5,0)</f>
        <v>0</v>
      </c>
      <c r="J62" s="25">
        <f>IFERROR(Moderna!F201/$D$5,0)</f>
        <v>0</v>
      </c>
      <c r="K62" s="25">
        <f>IFERROR(Moderna!G201/$D$5,0)</f>
        <v>0</v>
      </c>
      <c r="L62" s="25">
        <f>IFERROR(Moderna!H201/$D$5,0)</f>
        <v>33.685000000000002</v>
      </c>
      <c r="M62" s="25">
        <f>IFERROR(Moderna!I201/$D$5,0)</f>
        <v>0</v>
      </c>
      <c r="N62" s="25">
        <f>IFERROR(Moderna!J201/$D$5,0)</f>
        <v>0</v>
      </c>
      <c r="O62" s="25"/>
      <c r="P62" s="25"/>
      <c r="Q62" s="25"/>
      <c r="R62" s="25"/>
      <c r="S62" s="25"/>
    </row>
    <row r="63" spans="1:19" ht="15" customHeight="1" x14ac:dyDescent="0.45">
      <c r="B63" s="2" t="s">
        <v>136</v>
      </c>
      <c r="D63" s="487" t="s">
        <v>605</v>
      </c>
      <c r="E63" s="25"/>
      <c r="F63" s="25">
        <f>IFERROR(Moderna!B203/$D$5,0)</f>
        <v>0</v>
      </c>
      <c r="G63" s="25">
        <f>IFERROR(Moderna!C203/$D$5,0)</f>
        <v>0</v>
      </c>
      <c r="H63" s="25">
        <f>IFERROR(Moderna!D203/$D$5,0)</f>
        <v>0</v>
      </c>
      <c r="I63" s="25">
        <f>IFERROR(Moderna!E203/$D$5,0)</f>
        <v>0</v>
      </c>
      <c r="J63" s="25">
        <f>IFERROR(Moderna!F203/$D$5,0)</f>
        <v>38.423000000000002</v>
      </c>
      <c r="K63" s="25">
        <f>IFERROR(Moderna!G203/$D$5,0)</f>
        <v>1519.43</v>
      </c>
      <c r="L63" s="25">
        <f>IFERROR(Moderna!H203/$D$5,0)</f>
        <v>1092.8979999999999</v>
      </c>
      <c r="M63" s="25">
        <f>IFERROR(Moderna!I203/$D$5,0)</f>
        <v>182.749</v>
      </c>
      <c r="N63" s="25">
        <f>IFERROR(Moderna!J203/$D$5,0)</f>
        <v>113.01</v>
      </c>
      <c r="O63" s="25"/>
      <c r="P63" s="25"/>
      <c r="Q63" s="25"/>
      <c r="R63" s="25"/>
      <c r="S63" s="25"/>
    </row>
    <row r="64" spans="1:19" ht="15" customHeight="1" x14ac:dyDescent="0.45">
      <c r="B64" s="2" t="s">
        <v>284</v>
      </c>
      <c r="D64" s="487" t="s">
        <v>606</v>
      </c>
      <c r="E64" s="25"/>
      <c r="F64" s="25">
        <f>IFERROR(Moderna!B204/$D$5,0)</f>
        <v>10.49</v>
      </c>
      <c r="G64" s="25">
        <f>IFERROR(Moderna!C204/$D$5,0)</f>
        <v>6.5279999999999996</v>
      </c>
      <c r="H64" s="25">
        <f>IFERROR(Moderna!D204/$D$5,0)</f>
        <v>9.0839999999999996</v>
      </c>
      <c r="I64" s="25">
        <f>IFERROR(Moderna!E204/$D$5,0)</f>
        <v>7.5519999999999996</v>
      </c>
      <c r="J64" s="25">
        <f>IFERROR(Moderna!F204/$D$5,0)</f>
        <v>5.7229999999999999</v>
      </c>
      <c r="K64" s="25">
        <f>IFERROR(Moderna!G204/$D$5,0)</f>
        <v>110.792</v>
      </c>
      <c r="L64" s="25">
        <f>IFERROR(Moderna!H204/$D$5,0)</f>
        <v>237.66800000000001</v>
      </c>
      <c r="M64" s="25">
        <f>IFERROR(Moderna!I204/$D$5,0)</f>
        <v>164.655</v>
      </c>
      <c r="N64" s="25">
        <f>IFERROR(Moderna!J204/$D$5,0)</f>
        <v>167.101</v>
      </c>
      <c r="O64" s="25"/>
      <c r="P64" s="25"/>
      <c r="Q64" s="25"/>
      <c r="R64" s="25"/>
      <c r="S64" s="25"/>
    </row>
    <row r="65" spans="1:19" ht="15" customHeight="1" x14ac:dyDescent="0.45">
      <c r="B65" s="2" t="s">
        <v>284</v>
      </c>
      <c r="D65" s="487" t="s">
        <v>284</v>
      </c>
      <c r="E65" s="23"/>
      <c r="F65" s="25">
        <f>IFERROR(Moderna!B206/$D$5,0)</f>
        <v>0</v>
      </c>
      <c r="G65" s="25">
        <f>IFERROR(Moderna!C206/$D$5,0)</f>
        <v>0</v>
      </c>
      <c r="H65" s="25">
        <f>IFERROR(Moderna!D206/$D$5,0)</f>
        <v>0</v>
      </c>
      <c r="I65" s="25">
        <f>IFERROR(Moderna!E206/$D$5,0)</f>
        <v>0</v>
      </c>
      <c r="J65" s="25">
        <f>IFERROR(Moderna!F206/$D$5,0)</f>
        <v>185.57300000000001</v>
      </c>
      <c r="K65" s="25">
        <f>IFERROR(Moderna!G206/$D$5,0)</f>
        <v>146.84299999999999</v>
      </c>
      <c r="L65" s="25">
        <f>IFERROR(Moderna!H206/$D$5,0)</f>
        <v>394.86500000000001</v>
      </c>
      <c r="M65" s="25">
        <f>IFERROR(Moderna!I206/$D$5,0)</f>
        <v>231.60300000000001</v>
      </c>
      <c r="N65" s="25">
        <f>IFERROR(Moderna!J206/$D$5,0)</f>
        <v>185.453</v>
      </c>
      <c r="O65" s="23"/>
      <c r="P65" s="23"/>
      <c r="Q65" s="23"/>
      <c r="R65" s="23"/>
      <c r="S65" s="23"/>
    </row>
    <row r="66" spans="1:19" s="29" customFormat="1" ht="15" customHeight="1" x14ac:dyDescent="0.45">
      <c r="A66" s="1"/>
      <c r="B66" s="2"/>
      <c r="C66" s="1"/>
      <c r="D66" s="478" t="s">
        <v>466</v>
      </c>
      <c r="E66" s="477"/>
      <c r="F66" s="477">
        <f t="shared" ref="F66:N66" si="7">SUM(F57:F65)</f>
        <v>1030.8389999999999</v>
      </c>
      <c r="G66" s="477">
        <f t="shared" si="7"/>
        <v>652.26800000000003</v>
      </c>
      <c r="H66" s="477">
        <f t="shared" si="7"/>
        <v>1365.1289999999999</v>
      </c>
      <c r="I66" s="477">
        <f t="shared" si="7"/>
        <v>1005.8769999999998</v>
      </c>
      <c r="J66" s="477">
        <f t="shared" si="7"/>
        <v>5148.6180000000004</v>
      </c>
      <c r="K66" s="477">
        <f t="shared" si="7"/>
        <v>14131.230000000001</v>
      </c>
      <c r="L66" s="477">
        <f t="shared" si="7"/>
        <v>12567.387999999997</v>
      </c>
      <c r="M66" s="477">
        <f t="shared" si="7"/>
        <v>9341.0259999999998</v>
      </c>
      <c r="N66" s="477">
        <f t="shared" si="7"/>
        <v>7822.8240000000005</v>
      </c>
      <c r="O66" s="477"/>
      <c r="P66" s="477"/>
      <c r="Q66" s="477"/>
      <c r="R66" s="477"/>
      <c r="S66" s="477"/>
    </row>
    <row r="67" spans="1:19" ht="15" customHeight="1" x14ac:dyDescent="0.45">
      <c r="B67" s="2"/>
      <c r="D67" s="479"/>
      <c r="E67" s="23"/>
      <c r="F67" s="23"/>
      <c r="G67" s="23"/>
      <c r="H67" s="23"/>
      <c r="I67" s="23"/>
      <c r="J67" s="23"/>
      <c r="K67" s="23"/>
      <c r="L67" s="23"/>
      <c r="M67" s="23"/>
      <c r="N67" s="23"/>
      <c r="O67" s="23"/>
      <c r="P67" s="23"/>
      <c r="Q67" s="23"/>
      <c r="R67" s="23"/>
      <c r="S67" s="23"/>
    </row>
    <row r="68" spans="1:19" ht="15" customHeight="1" x14ac:dyDescent="0.45">
      <c r="B68" s="2" t="s">
        <v>287</v>
      </c>
      <c r="D68" s="478" t="s">
        <v>467</v>
      </c>
      <c r="E68" s="477"/>
      <c r="F68" s="477">
        <f t="shared" ref="F68:N68" si="8">SUM(F55,F66)</f>
        <v>1343.7529999999999</v>
      </c>
      <c r="G68" s="477">
        <f t="shared" si="8"/>
        <v>903.16300000000001</v>
      </c>
      <c r="H68" s="477">
        <f t="shared" si="8"/>
        <v>1713.7399999999998</v>
      </c>
      <c r="I68" s="477">
        <f t="shared" si="8"/>
        <v>1416.3339999999998</v>
      </c>
      <c r="J68" s="477">
        <f t="shared" si="8"/>
        <v>5998.0020000000004</v>
      </c>
      <c r="K68" s="477">
        <f t="shared" si="8"/>
        <v>21691.452000000001</v>
      </c>
      <c r="L68" s="477">
        <f t="shared" si="8"/>
        <v>24195.330999999998</v>
      </c>
      <c r="M68" s="477">
        <f t="shared" si="8"/>
        <v>16670.001</v>
      </c>
      <c r="N68" s="477">
        <f t="shared" si="8"/>
        <v>13659.758000000002</v>
      </c>
      <c r="O68" s="477"/>
      <c r="P68" s="477"/>
      <c r="Q68" s="477"/>
      <c r="R68" s="477"/>
      <c r="S68" s="477"/>
    </row>
    <row r="69" spans="1:19" ht="15" customHeight="1" x14ac:dyDescent="0.45">
      <c r="B69" s="2"/>
      <c r="D69" s="31"/>
      <c r="E69" s="25"/>
      <c r="F69" s="25"/>
      <c r="G69" s="25"/>
      <c r="H69" s="25"/>
      <c r="I69" s="25"/>
      <c r="J69" s="25"/>
      <c r="K69" s="25"/>
      <c r="L69" s="25"/>
      <c r="M69" s="25"/>
      <c r="N69" s="25"/>
      <c r="O69" s="25"/>
      <c r="P69" s="25"/>
      <c r="Q69" s="25"/>
      <c r="R69" s="25"/>
      <c r="S69" s="25"/>
    </row>
    <row r="70" spans="1:19" ht="15" customHeight="1" x14ac:dyDescent="0.45">
      <c r="B70" s="2" t="s">
        <v>290</v>
      </c>
      <c r="D70" s="487" t="s">
        <v>607</v>
      </c>
      <c r="E70" s="25"/>
      <c r="F70" s="25">
        <f>IFERROR(Moderna!B231/$D$5,0)</f>
        <v>1115.71</v>
      </c>
      <c r="G70" s="25">
        <f>IFERROR(Moderna!C231/$D$5,0)</f>
        <v>979.923</v>
      </c>
      <c r="H70" s="25">
        <f>IFERROR(Moderna!D231/$D$5,0)</f>
        <v>0</v>
      </c>
      <c r="I70" s="25">
        <f>IFERROR(Moderna!E231/$D$5,0)</f>
        <v>0</v>
      </c>
      <c r="J70" s="25">
        <f>IFERROR(Moderna!F231/$D$5,0)</f>
        <v>0</v>
      </c>
      <c r="K70" s="25">
        <f>IFERROR(Moderna!G231/$D$5,0)</f>
        <v>0</v>
      </c>
      <c r="L70" s="25">
        <f>IFERROR(Moderna!H231/$D$5,0)</f>
        <v>0</v>
      </c>
      <c r="M70" s="25">
        <f>IFERROR(Moderna!I231/$D$5,0)</f>
        <v>0</v>
      </c>
      <c r="N70" s="25">
        <f>IFERROR(Moderna!J231/$D$5,0)</f>
        <v>0</v>
      </c>
      <c r="O70" s="25"/>
      <c r="P70" s="25"/>
      <c r="Q70" s="25"/>
      <c r="R70" s="25"/>
      <c r="S70" s="25"/>
    </row>
    <row r="71" spans="1:19" ht="15" customHeight="1" x14ac:dyDescent="0.45">
      <c r="B71" s="2" t="s">
        <v>289</v>
      </c>
      <c r="D71" s="487" t="s">
        <v>608</v>
      </c>
      <c r="E71" s="25"/>
      <c r="F71" s="25">
        <f>IFERROR(Moderna!B233/$D$5,0)</f>
        <v>1.2999999999999999E-2</v>
      </c>
      <c r="G71" s="25">
        <f>IFERROR(Moderna!C233/$D$5,0)</f>
        <v>5.0000000000000001E-3</v>
      </c>
      <c r="H71" s="25">
        <f>IFERROR(Moderna!D233/$D$5,0)</f>
        <v>2.9000000000000001E-2</v>
      </c>
      <c r="I71" s="25">
        <f>IFERROR(Moderna!E233/$D$5,0)</f>
        <v>0.03</v>
      </c>
      <c r="J71" s="25">
        <f>IFERROR(Moderna!F233/$D$5,0)</f>
        <v>0</v>
      </c>
      <c r="K71" s="25">
        <f>IFERROR(Moderna!G233/$D$5,0)</f>
        <v>0</v>
      </c>
      <c r="L71" s="25">
        <f>IFERROR(Moderna!H233/$D$5,0)</f>
        <v>0</v>
      </c>
      <c r="M71" s="25">
        <f>IFERROR(Moderna!I233/$D$5,0)</f>
        <v>0</v>
      </c>
      <c r="N71" s="25">
        <f>IFERROR(Moderna!J233/$D$5,0)</f>
        <v>0</v>
      </c>
      <c r="O71" s="25"/>
      <c r="P71" s="25"/>
      <c r="Q71" s="25"/>
      <c r="R71" s="25"/>
      <c r="S71" s="25"/>
    </row>
    <row r="72" spans="1:19" ht="15" customHeight="1" x14ac:dyDescent="0.45">
      <c r="B72" s="2" t="s">
        <v>289</v>
      </c>
      <c r="D72" s="487" t="s">
        <v>609</v>
      </c>
      <c r="E72" s="25"/>
      <c r="F72" s="25">
        <f>IFERROR(Moderna!B234/$D$5,0)</f>
        <v>29.675999999999998</v>
      </c>
      <c r="G72" s="25">
        <f>IFERROR(Moderna!C234/$D$5,0)</f>
        <v>59.694000000000003</v>
      </c>
      <c r="H72" s="25">
        <f>IFERROR(Moderna!D234/$D$5,0)</f>
        <v>2216.8249999999998</v>
      </c>
      <c r="I72" s="25">
        <f>IFERROR(Moderna!E234/$D$5,0)</f>
        <v>2378.7260000000001</v>
      </c>
      <c r="J72" s="25">
        <f>IFERROR(Moderna!F234/$D$5,0)</f>
        <v>3925.6350000000002</v>
      </c>
      <c r="K72" s="25">
        <f>IFERROR(Moderna!G234/$D$5,0)</f>
        <v>3702.732</v>
      </c>
      <c r="L72" s="25">
        <f>IFERROR(Moderna!H234/$D$5,0)</f>
        <v>1097.576</v>
      </c>
      <c r="M72" s="25">
        <f>IFERROR(Moderna!I234/$D$5,0)</f>
        <v>335.64400000000001</v>
      </c>
      <c r="N72" s="25">
        <f>IFERROR(Moderna!J234/$D$5,0)</f>
        <v>836.46900000000005</v>
      </c>
      <c r="O72" s="25"/>
      <c r="P72" s="25"/>
      <c r="Q72" s="25"/>
      <c r="R72" s="25"/>
      <c r="S72" s="25"/>
    </row>
    <row r="73" spans="1:19" ht="15" customHeight="1" x14ac:dyDescent="0.45">
      <c r="B73" s="2" t="s">
        <v>289</v>
      </c>
      <c r="D73" s="487" t="s">
        <v>610</v>
      </c>
      <c r="E73" s="25"/>
      <c r="F73" s="25">
        <f>IFERROR(Moderna!B235/$D$5,0)</f>
        <v>-346.774</v>
      </c>
      <c r="G73" s="25">
        <f>IFERROR(Moderna!C235/$D$5,0)</f>
        <v>-517.91200000000003</v>
      </c>
      <c r="H73" s="25">
        <f>IFERROR(Moderna!D235/$D$5,0)</f>
        <v>-879.18799999999999</v>
      </c>
      <c r="I73" s="25">
        <f>IFERROR(Moderna!E235/$D$5,0)</f>
        <v>-1333.49</v>
      </c>
      <c r="J73" s="25">
        <f>IFERROR(Moderna!F235/$D$5,0)</f>
        <v>-1834.47</v>
      </c>
      <c r="K73" s="25">
        <f>IFERROR(Moderna!G235/$D$5,0)</f>
        <v>8756.0689999999995</v>
      </c>
      <c r="L73" s="25">
        <f>IFERROR(Moderna!H235/$D$5,0)</f>
        <v>17142.024000000001</v>
      </c>
      <c r="M73" s="25">
        <f>IFERROR(Moderna!I235/$D$5,0)</f>
        <v>12309.348</v>
      </c>
      <c r="N73" s="25">
        <f>IFERROR(Moderna!J235/$D$5,0)</f>
        <v>9702.4660000000003</v>
      </c>
      <c r="O73" s="25"/>
      <c r="P73" s="25"/>
      <c r="Q73" s="25"/>
      <c r="R73" s="25"/>
      <c r="S73" s="25"/>
    </row>
    <row r="74" spans="1:19" ht="15" customHeight="1" x14ac:dyDescent="0.45">
      <c r="B74" s="2" t="s">
        <v>289</v>
      </c>
      <c r="D74" s="487" t="s">
        <v>611</v>
      </c>
      <c r="E74" s="25"/>
      <c r="F74" s="25">
        <f>IFERROR(Moderna!B236/$D$5,0)</f>
        <v>-0.38200000000000001</v>
      </c>
      <c r="G74" s="25">
        <f>IFERROR(Moderna!C236/$D$5,0)</f>
        <v>-0.96399999999999997</v>
      </c>
      <c r="H74" s="25">
        <f>IFERROR(Moderna!D236/$D$5,0)</f>
        <v>-1.153</v>
      </c>
      <c r="I74" s="25">
        <f>IFERROR(Moderna!E236/$D$5,0)</f>
        <v>1.6080000000000001</v>
      </c>
      <c r="J74" s="25">
        <f>IFERROR(Moderna!F236/$D$5,0)</f>
        <v>2.4529999999999998</v>
      </c>
      <c r="K74" s="25">
        <f>IFERROR(Moderna!G236/$D$5,0)</f>
        <v>-21.103000000000002</v>
      </c>
      <c r="L74" s="25">
        <f>IFERROR(Moderna!H236/$D$5,0)</f>
        <v>-346.209</v>
      </c>
      <c r="M74" s="25">
        <f>IFERROR(Moderna!I236/$D$5,0)</f>
        <v>-111.27800000000001</v>
      </c>
      <c r="N74" s="25">
        <f>IFERROR(Moderna!J236/$D$5,0)</f>
        <v>-9.6590000000000007</v>
      </c>
      <c r="O74" s="25"/>
      <c r="P74" s="25"/>
      <c r="Q74" s="25"/>
      <c r="R74" s="25"/>
      <c r="S74" s="25"/>
    </row>
    <row r="75" spans="1:19" s="30" customFormat="1" ht="15" customHeight="1" x14ac:dyDescent="0.45">
      <c r="A75" s="4"/>
      <c r="B75" s="5"/>
      <c r="C75" s="4"/>
      <c r="D75" s="478" t="s">
        <v>245</v>
      </c>
      <c r="E75" s="477"/>
      <c r="F75" s="477">
        <f t="shared" ref="F75:N75" si="9">SUM(F70:F74)</f>
        <v>798.24299999999994</v>
      </c>
      <c r="G75" s="477">
        <f t="shared" si="9"/>
        <v>520.74599999999998</v>
      </c>
      <c r="H75" s="477">
        <f t="shared" si="9"/>
        <v>1336.5129999999997</v>
      </c>
      <c r="I75" s="477">
        <f t="shared" si="9"/>
        <v>1046.8740000000003</v>
      </c>
      <c r="J75" s="477">
        <f t="shared" si="9"/>
        <v>2093.6179999999999</v>
      </c>
      <c r="K75" s="477">
        <f t="shared" si="9"/>
        <v>12437.698</v>
      </c>
      <c r="L75" s="477">
        <f t="shared" si="9"/>
        <v>17893.391000000003</v>
      </c>
      <c r="M75" s="477">
        <f t="shared" si="9"/>
        <v>12533.714</v>
      </c>
      <c r="N75" s="477">
        <f t="shared" si="9"/>
        <v>10529.276000000002</v>
      </c>
      <c r="O75" s="477"/>
      <c r="P75" s="477"/>
      <c r="Q75" s="477"/>
      <c r="R75" s="477"/>
      <c r="S75" s="477"/>
    </row>
    <row r="76" spans="1:19" ht="15" customHeight="1" x14ac:dyDescent="0.45">
      <c r="B76" s="2"/>
      <c r="D76" s="479"/>
      <c r="E76" s="25"/>
      <c r="F76" s="25"/>
      <c r="G76" s="25"/>
      <c r="H76" s="25"/>
      <c r="I76" s="25"/>
      <c r="J76" s="25"/>
      <c r="K76" s="25"/>
      <c r="L76" s="25"/>
      <c r="M76" s="25"/>
      <c r="N76" s="25"/>
      <c r="O76" s="25"/>
      <c r="P76" s="25"/>
      <c r="Q76" s="25"/>
      <c r="R76" s="25"/>
      <c r="S76" s="25"/>
    </row>
    <row r="77" spans="1:19" ht="15" customHeight="1" x14ac:dyDescent="0.45">
      <c r="B77" s="2"/>
      <c r="D77" s="479"/>
      <c r="E77" s="25"/>
      <c r="F77" s="25"/>
      <c r="G77" s="25"/>
      <c r="H77" s="25"/>
      <c r="I77" s="25"/>
      <c r="J77" s="25"/>
      <c r="K77" s="25"/>
      <c r="L77" s="25"/>
      <c r="M77" s="25"/>
      <c r="N77" s="25"/>
      <c r="O77" s="25"/>
      <c r="P77" s="25"/>
      <c r="Q77" s="25"/>
      <c r="R77" s="25"/>
      <c r="S77" s="25"/>
    </row>
    <row r="78" spans="1:19" ht="15" customHeight="1" x14ac:dyDescent="0.45">
      <c r="B78" s="2" t="s">
        <v>292</v>
      </c>
      <c r="D78" s="487" t="s">
        <v>612</v>
      </c>
      <c r="E78" s="25"/>
      <c r="F78" s="25">
        <f>IFERROR(Moderna!B225/$D$5,0)</f>
        <v>11.853</v>
      </c>
      <c r="G78" s="25">
        <f>IFERROR(Moderna!C225/$D$5,0)</f>
        <v>0</v>
      </c>
      <c r="H78" s="25">
        <f>IFERROR(Moderna!D225/$D$5,0)</f>
        <v>0</v>
      </c>
      <c r="I78" s="25">
        <f>IFERROR(Moderna!E225/$D$5,0)</f>
        <v>0</v>
      </c>
      <c r="J78" s="25">
        <f>IFERROR(Moderna!F225/$D$5,0)</f>
        <v>0</v>
      </c>
      <c r="K78" s="25">
        <f>IFERROR(Moderna!G225/$D$5,0)</f>
        <v>0</v>
      </c>
      <c r="L78" s="25">
        <f>IFERROR(Moderna!H225/$D$5,0)</f>
        <v>0</v>
      </c>
      <c r="M78" s="25">
        <f>IFERROR(Moderna!I225/$D$5,0)</f>
        <v>0</v>
      </c>
      <c r="N78" s="25">
        <f>IFERROR(Moderna!J225/$D$5,0)</f>
        <v>0</v>
      </c>
      <c r="O78" s="25"/>
      <c r="P78" s="25"/>
      <c r="Q78" s="25"/>
      <c r="R78" s="25"/>
      <c r="S78" s="25"/>
    </row>
    <row r="79" spans="1:19" ht="15" customHeight="1" x14ac:dyDescent="0.45">
      <c r="B79" s="2" t="s">
        <v>292</v>
      </c>
      <c r="D79" s="487" t="s">
        <v>613</v>
      </c>
      <c r="E79" s="25"/>
      <c r="F79" s="25">
        <f>IFERROR(Moderna!B226/$D$5,0)</f>
        <v>0</v>
      </c>
      <c r="G79" s="25">
        <f>IFERROR(Moderna!C226/$D$5,0)</f>
        <v>13.064</v>
      </c>
      <c r="H79" s="25">
        <f>IFERROR(Moderna!D226/$D$5,0)</f>
        <v>29.248999999999999</v>
      </c>
      <c r="I79" s="25">
        <f>IFERROR(Moderna!E226/$D$5,0)</f>
        <v>117.95</v>
      </c>
      <c r="J79" s="25">
        <f>IFERROR(Moderna!F226/$D$5,0)</f>
        <v>169.22300000000001</v>
      </c>
      <c r="K79" s="25">
        <f>IFERROR(Moderna!G226/$D$5,0)</f>
        <v>619.90700000000004</v>
      </c>
      <c r="L79" s="25">
        <f>IFERROR(Moderna!H226/$D$5,0)</f>
        <v>939.44299999999998</v>
      </c>
      <c r="M79" s="25">
        <f>IFERROR(Moderna!I226/$D$5,0)</f>
        <v>1101.925</v>
      </c>
      <c r="N79" s="25">
        <f>IFERROR(Moderna!J226/$D$5,0)</f>
        <v>685.78899999999999</v>
      </c>
      <c r="O79" s="25"/>
      <c r="P79" s="25"/>
      <c r="Q79" s="25"/>
      <c r="R79" s="25"/>
      <c r="S79" s="25"/>
    </row>
    <row r="80" spans="1:19" ht="15" customHeight="1" x14ac:dyDescent="0.45">
      <c r="B80" s="2" t="s">
        <v>294</v>
      </c>
      <c r="D80" s="487" t="s">
        <v>614</v>
      </c>
      <c r="E80" s="25"/>
      <c r="F80" s="25">
        <f>IFERROR(Moderna!B227/$D$5,0)</f>
        <v>373.82799999999997</v>
      </c>
      <c r="G80" s="25">
        <f>IFERROR(Moderna!C227/$D$5,0)</f>
        <v>202.31100000000001</v>
      </c>
      <c r="H80" s="25">
        <f>IFERROR(Moderna!D227/$D$5,0)</f>
        <v>144.41800000000001</v>
      </c>
      <c r="I80" s="25">
        <f>IFERROR(Moderna!E227/$D$5,0)</f>
        <v>123.858</v>
      </c>
      <c r="J80" s="25">
        <f>IFERROR(Moderna!F227/$D$5,0)</f>
        <v>144.69800000000001</v>
      </c>
      <c r="K80" s="25">
        <f>IFERROR(Moderna!G227/$D$5,0)</f>
        <v>540.77</v>
      </c>
      <c r="L80" s="25">
        <f>IFERROR(Moderna!H227/$D$5,0)</f>
        <v>629.726</v>
      </c>
      <c r="M80" s="25">
        <f>IFERROR(Moderna!I227/$D$5,0)</f>
        <v>75.09</v>
      </c>
      <c r="N80" s="25">
        <f>IFERROR(Moderna!J227/$D$5,0)</f>
        <v>56.021999999999998</v>
      </c>
      <c r="O80" s="25"/>
      <c r="P80" s="25"/>
      <c r="Q80" s="25"/>
      <c r="R80" s="25"/>
      <c r="S80" s="25"/>
    </row>
    <row r="81" spans="1:19" ht="15" customHeight="1" x14ac:dyDescent="0.45">
      <c r="B81" s="2" t="s">
        <v>294</v>
      </c>
      <c r="D81" s="487" t="s">
        <v>615</v>
      </c>
      <c r="E81" s="25"/>
      <c r="F81" s="25">
        <f>IFERROR(Moderna!B228/$D$5,0)</f>
        <v>5.46</v>
      </c>
      <c r="G81" s="25">
        <f>IFERROR(Moderna!C228/$D$5,0)</f>
        <v>7.5919999999999996</v>
      </c>
      <c r="H81" s="25">
        <f>IFERROR(Moderna!D228/$D$5,0)</f>
        <v>8.9649999999999999</v>
      </c>
      <c r="I81" s="25">
        <f>IFERROR(Moderna!E228/$D$5,0)</f>
        <v>0.123</v>
      </c>
      <c r="J81" s="25">
        <f>IFERROR(Moderna!F228/$D$5,0)</f>
        <v>2.4529999999999998</v>
      </c>
      <c r="K81" s="25">
        <f>IFERROR(Moderna!G228/$D$5,0)</f>
        <v>66.826999999999998</v>
      </c>
      <c r="L81" s="25">
        <f>IFERROR(Moderna!H228/$D$5,0)</f>
        <v>126.32</v>
      </c>
      <c r="M81" s="25">
        <f>IFERROR(Moderna!I228/$D$5,0)</f>
        <v>231.60300000000001</v>
      </c>
      <c r="N81" s="25">
        <f>IFERROR(Moderna!J228/$D$5,0)</f>
        <v>257.89499999999998</v>
      </c>
      <c r="O81" s="25"/>
      <c r="P81" s="25"/>
      <c r="Q81" s="25"/>
      <c r="R81" s="25"/>
      <c r="S81" s="25"/>
    </row>
    <row r="82" spans="1:19" s="29" customFormat="1" ht="15" customHeight="1" x14ac:dyDescent="0.45">
      <c r="A82" s="1"/>
      <c r="B82" s="2"/>
      <c r="C82" s="1"/>
      <c r="D82" s="478" t="s">
        <v>486</v>
      </c>
      <c r="E82" s="477"/>
      <c r="F82" s="477">
        <f t="shared" ref="F82:N82" si="10">SUM(F78:F81)</f>
        <v>391.14099999999996</v>
      </c>
      <c r="G82" s="477">
        <f t="shared" si="10"/>
        <v>222.96700000000001</v>
      </c>
      <c r="H82" s="477">
        <f t="shared" si="10"/>
        <v>182.63200000000001</v>
      </c>
      <c r="I82" s="477">
        <f t="shared" si="10"/>
        <v>241.93099999999998</v>
      </c>
      <c r="J82" s="477">
        <f t="shared" si="10"/>
        <v>316.37400000000002</v>
      </c>
      <c r="K82" s="477">
        <f t="shared" si="10"/>
        <v>1227.5040000000001</v>
      </c>
      <c r="L82" s="477">
        <f t="shared" si="10"/>
        <v>1695.4889999999998</v>
      </c>
      <c r="M82" s="477">
        <f t="shared" si="10"/>
        <v>1408.6179999999999</v>
      </c>
      <c r="N82" s="477">
        <f t="shared" si="10"/>
        <v>999.70600000000002</v>
      </c>
      <c r="O82" s="477"/>
      <c r="P82" s="477"/>
      <c r="Q82" s="477"/>
      <c r="R82" s="477"/>
      <c r="S82" s="477"/>
    </row>
    <row r="83" spans="1:19" ht="15" customHeight="1" x14ac:dyDescent="0.45">
      <c r="B83" s="2"/>
      <c r="D83" s="479"/>
      <c r="E83" s="23"/>
      <c r="F83" s="23"/>
      <c r="G83" s="23"/>
      <c r="H83" s="23"/>
      <c r="I83" s="23"/>
      <c r="J83" s="23"/>
      <c r="K83" s="23"/>
      <c r="L83" s="23"/>
      <c r="M83" s="23"/>
      <c r="N83" s="23"/>
      <c r="O83" s="23"/>
      <c r="P83" s="23"/>
      <c r="Q83" s="23"/>
      <c r="R83" s="23"/>
      <c r="S83" s="23"/>
    </row>
    <row r="84" spans="1:19" ht="15" customHeight="1" x14ac:dyDescent="0.45">
      <c r="B84" s="2" t="s">
        <v>296</v>
      </c>
      <c r="D84" s="487" t="s">
        <v>616</v>
      </c>
      <c r="E84" s="25"/>
      <c r="F84" s="25">
        <f>IFERROR(Moderna!B218/$D$5,0)</f>
        <v>26.698</v>
      </c>
      <c r="G84" s="25">
        <f>IFERROR(Moderna!C218/$D$5,0)</f>
        <v>17.260000000000002</v>
      </c>
      <c r="H84" s="25">
        <f>IFERROR(Moderna!D218/$D$5,0)</f>
        <v>27.259</v>
      </c>
      <c r="I84" s="25">
        <f>IFERROR(Moderna!E218/$D$5,0)</f>
        <v>6.3179999999999996</v>
      </c>
      <c r="J84" s="25">
        <f>IFERROR(Moderna!F218/$D$5,0)</f>
        <v>14.715</v>
      </c>
      <c r="K84" s="25">
        <f>IFERROR(Moderna!G218/$D$5,0)</f>
        <v>265.54899999999998</v>
      </c>
      <c r="L84" s="25">
        <f>IFERROR(Moderna!H218/$D$5,0)</f>
        <v>455.68599999999998</v>
      </c>
      <c r="M84" s="25">
        <f>IFERROR(Moderna!I218/$D$5,0)</f>
        <v>470.44400000000002</v>
      </c>
      <c r="N84" s="25">
        <f>IFERROR(Moderna!J218/$D$5,0)</f>
        <v>391.19</v>
      </c>
      <c r="O84" s="25"/>
      <c r="P84" s="25"/>
      <c r="Q84" s="25"/>
      <c r="R84" s="25"/>
      <c r="S84" s="25"/>
    </row>
    <row r="85" spans="1:19" ht="15" customHeight="1" x14ac:dyDescent="0.45">
      <c r="B85" s="2" t="s">
        <v>297</v>
      </c>
      <c r="D85" s="487" t="s">
        <v>617</v>
      </c>
      <c r="E85" s="25"/>
      <c r="F85" s="25">
        <f>IFERROR(Moderna!B219/$D$5,0)</f>
        <v>16.664000000000001</v>
      </c>
      <c r="G85" s="25">
        <f>IFERROR(Moderna!C219/$D$5,0)</f>
        <v>48.378</v>
      </c>
      <c r="H85" s="25">
        <f>IFERROR(Moderna!D219/$D$5,0)</f>
        <v>58.503999999999998</v>
      </c>
      <c r="I85" s="25">
        <f>IFERROR(Moderna!E219/$D$5,0)</f>
        <v>56.694000000000003</v>
      </c>
      <c r="J85" s="25">
        <f>IFERROR(Moderna!F219/$D$5,0)</f>
        <v>384.22500000000002</v>
      </c>
      <c r="K85" s="25">
        <f>IFERROR(Moderna!G219/$D$5,0)</f>
        <v>1294.33</v>
      </c>
      <c r="L85" s="25">
        <f>IFERROR(Moderna!H219/$D$5,0)</f>
        <v>1710.46</v>
      </c>
      <c r="M85" s="25">
        <f>IFERROR(Moderna!I219/$D$5,0)</f>
        <v>967.12400000000002</v>
      </c>
      <c r="N85" s="25">
        <f>IFERROR(Moderna!J219/$D$5,0)</f>
        <v>867.37800000000004</v>
      </c>
      <c r="O85" s="25"/>
      <c r="P85" s="25"/>
      <c r="Q85" s="25"/>
      <c r="R85" s="25"/>
      <c r="S85" s="25"/>
    </row>
    <row r="86" spans="1:19" ht="15" customHeight="1" x14ac:dyDescent="0.45">
      <c r="B86" s="2" t="s">
        <v>298</v>
      </c>
      <c r="D86" s="487" t="s">
        <v>618</v>
      </c>
      <c r="E86" s="25"/>
      <c r="F86" s="25">
        <f>IFERROR(Moderna!B220/$D$5,0)</f>
        <v>0</v>
      </c>
      <c r="G86" s="25">
        <f>IFERROR(Moderna!C220/$D$5,0)</f>
        <v>0</v>
      </c>
      <c r="H86" s="25">
        <f>IFERROR(Moderna!D220/$D$5,0)</f>
        <v>0</v>
      </c>
      <c r="I86" s="25">
        <f>IFERROR(Moderna!E220/$D$5,0)</f>
        <v>3.1930000000000001</v>
      </c>
      <c r="J86" s="25">
        <f>IFERROR(Moderna!F220/$D$5,0)</f>
        <v>24.524999999999999</v>
      </c>
      <c r="K86" s="25">
        <f>IFERROR(Moderna!G220/$D$5,0)</f>
        <v>185.53200000000001</v>
      </c>
      <c r="L86" s="25">
        <f>IFERROR(Moderna!H220/$D$5,0)</f>
        <v>183.39699999999999</v>
      </c>
      <c r="M86" s="25">
        <f>IFERROR(Moderna!I220/$D$5,0)</f>
        <v>22.617999999999999</v>
      </c>
      <c r="N86" s="25">
        <f>IFERROR(Moderna!J220/$D$5,0)</f>
        <v>35.738</v>
      </c>
      <c r="O86" s="25"/>
      <c r="P86" s="25"/>
      <c r="Q86" s="25"/>
      <c r="R86" s="25"/>
      <c r="S86" s="25"/>
    </row>
    <row r="87" spans="1:19" ht="15" customHeight="1" x14ac:dyDescent="0.45">
      <c r="B87" s="2" t="s">
        <v>297</v>
      </c>
      <c r="D87" s="487" t="s">
        <v>619</v>
      </c>
      <c r="E87" s="25"/>
      <c r="F87" s="25">
        <f>IFERROR(Moderna!B221/$D$5,0)</f>
        <v>0</v>
      </c>
      <c r="G87" s="25">
        <f>IFERROR(Moderna!C221/$D$5,0)</f>
        <v>0</v>
      </c>
      <c r="H87" s="25">
        <f>IFERROR(Moderna!D221/$D$5,0)</f>
        <v>0</v>
      </c>
      <c r="I87" s="25">
        <f>IFERROR(Moderna!E221/$D$5,0)</f>
        <v>0</v>
      </c>
      <c r="J87" s="25">
        <f>IFERROR(Moderna!F221/$D$5,0)</f>
        <v>0</v>
      </c>
      <c r="K87" s="25">
        <f>IFERROR(Moderna!G221/$D$5,0)</f>
        <v>770.26700000000005</v>
      </c>
      <c r="L87" s="25">
        <f>IFERROR(Moderna!H221/$D$5,0)</f>
        <v>44.914000000000001</v>
      </c>
      <c r="M87" s="25">
        <f>IFERROR(Moderna!I221/$D$5,0)</f>
        <v>0</v>
      </c>
      <c r="N87" s="25">
        <f>IFERROR(Moderna!J221/$D$5,0)</f>
        <v>0</v>
      </c>
      <c r="O87" s="25"/>
      <c r="P87" s="25"/>
      <c r="Q87" s="25"/>
      <c r="R87" s="25"/>
      <c r="S87" s="25"/>
    </row>
    <row r="88" spans="1:19" ht="15" customHeight="1" x14ac:dyDescent="0.45">
      <c r="B88" s="2" t="s">
        <v>297</v>
      </c>
      <c r="D88" s="487" t="s">
        <v>620</v>
      </c>
      <c r="E88" s="25"/>
      <c r="F88" s="25">
        <f>IFERROR(Moderna!B222/$D$5,0)</f>
        <v>102.158</v>
      </c>
      <c r="G88" s="25">
        <f>IFERROR(Moderna!C222/$D$5,0)</f>
        <v>80.563999999999993</v>
      </c>
      <c r="H88" s="25">
        <f>IFERROR(Moderna!D222/$D$5,0)</f>
        <v>95.25</v>
      </c>
      <c r="I88" s="25">
        <f>IFERROR(Moderna!E222/$D$5,0)</f>
        <v>56.415999999999997</v>
      </c>
      <c r="J88" s="25">
        <f>IFERROR(Moderna!F222/$D$5,0)</f>
        <v>3161.2730000000001</v>
      </c>
      <c r="K88" s="25">
        <f>IFERROR(Moderna!G222/$D$5,0)</f>
        <v>5498.2629999999999</v>
      </c>
      <c r="L88" s="25">
        <f>IFERROR(Moderna!H222/$D$5,0)</f>
        <v>1906.9570000000001</v>
      </c>
      <c r="M88" s="25">
        <f>IFERROR(Moderna!I222/$D$5,0)</f>
        <v>513.87</v>
      </c>
      <c r="N88" s="25">
        <f>IFERROR(Moderna!J222/$D$5,0)</f>
        <v>147.78299999999999</v>
      </c>
      <c r="O88" s="25"/>
      <c r="P88" s="25"/>
      <c r="Q88" s="25"/>
      <c r="R88" s="25"/>
      <c r="S88" s="25"/>
    </row>
    <row r="89" spans="1:19" ht="15" customHeight="1" x14ac:dyDescent="0.45">
      <c r="B89" s="2" t="s">
        <v>297</v>
      </c>
      <c r="D89" s="487" t="s">
        <v>297</v>
      </c>
      <c r="E89" s="25"/>
      <c r="F89" s="25">
        <f>IFERROR(Moderna!B223/$D$5,0)</f>
        <v>8.8490000000000002</v>
      </c>
      <c r="G89" s="25">
        <f>IFERROR(Moderna!C223/$D$5,0)</f>
        <v>13.247</v>
      </c>
      <c r="H89" s="25">
        <f>IFERROR(Moderna!D223/$D$5,0)</f>
        <v>13.584</v>
      </c>
      <c r="I89" s="25">
        <f>IFERROR(Moderna!E223/$D$5,0)</f>
        <v>4.9089999999999998</v>
      </c>
      <c r="J89" s="25">
        <f>IFERROR(Moderna!F223/$D$5,0)</f>
        <v>3.27</v>
      </c>
      <c r="K89" s="25">
        <f>IFERROR(Moderna!G223/$D$5,0)</f>
        <v>12.31</v>
      </c>
      <c r="L89" s="25">
        <f>IFERROR(Moderna!H223/$D$5,0)</f>
        <v>305.03800000000001</v>
      </c>
      <c r="M89" s="25">
        <f>IFERROR(Moderna!I223/$D$5,0)</f>
        <v>753.61500000000001</v>
      </c>
      <c r="N89" s="25">
        <f>IFERROR(Moderna!J223/$D$5,0)</f>
        <v>688.68700000000001</v>
      </c>
      <c r="O89" s="25"/>
      <c r="P89" s="25"/>
      <c r="Q89" s="25"/>
      <c r="R89" s="25"/>
      <c r="S89" s="25"/>
    </row>
    <row r="90" spans="1:19" s="30" customFormat="1" ht="15" customHeight="1" x14ac:dyDescent="0.45">
      <c r="A90" s="4"/>
      <c r="B90" s="5"/>
      <c r="C90" s="4"/>
      <c r="D90" s="478" t="s">
        <v>491</v>
      </c>
      <c r="E90" s="477"/>
      <c r="F90" s="477">
        <f t="shared" ref="F90:N90" si="11">SUM(F84:F89)</f>
        <v>154.369</v>
      </c>
      <c r="G90" s="477">
        <f t="shared" si="11"/>
        <v>159.44900000000001</v>
      </c>
      <c r="H90" s="477">
        <f t="shared" si="11"/>
        <v>194.59700000000001</v>
      </c>
      <c r="I90" s="477">
        <f t="shared" si="11"/>
        <v>127.53</v>
      </c>
      <c r="J90" s="477">
        <f t="shared" si="11"/>
        <v>3588.0080000000003</v>
      </c>
      <c r="K90" s="477">
        <f t="shared" si="11"/>
        <v>8026.2510000000002</v>
      </c>
      <c r="L90" s="477">
        <f t="shared" si="11"/>
        <v>4606.4520000000011</v>
      </c>
      <c r="M90" s="477">
        <f t="shared" si="11"/>
        <v>2727.6710000000003</v>
      </c>
      <c r="N90" s="477">
        <f t="shared" si="11"/>
        <v>2130.7759999999998</v>
      </c>
      <c r="O90" s="477"/>
      <c r="P90" s="477"/>
      <c r="Q90" s="477"/>
      <c r="R90" s="477"/>
      <c r="S90" s="477"/>
    </row>
    <row r="91" spans="1:19" ht="15" customHeight="1" x14ac:dyDescent="0.45">
      <c r="B91" s="2"/>
      <c r="D91" s="479"/>
      <c r="E91" s="28"/>
      <c r="F91" s="25"/>
      <c r="G91" s="25"/>
      <c r="H91" s="25"/>
      <c r="I91" s="25"/>
      <c r="J91" s="25"/>
      <c r="K91" s="25"/>
      <c r="L91" s="25"/>
      <c r="M91" s="25"/>
      <c r="N91" s="28"/>
      <c r="O91" s="28"/>
      <c r="P91" s="28"/>
      <c r="Q91" s="28"/>
      <c r="R91" s="28"/>
      <c r="S91" s="28"/>
    </row>
    <row r="92" spans="1:19" ht="15" customHeight="1" x14ac:dyDescent="0.45">
      <c r="B92" s="2" t="s">
        <v>300</v>
      </c>
      <c r="D92" s="479" t="s">
        <v>492</v>
      </c>
      <c r="E92" s="23"/>
      <c r="F92" s="477">
        <f t="shared" ref="F92:N92" si="12">SUM(F75,F90,F82)</f>
        <v>1343.7529999999999</v>
      </c>
      <c r="G92" s="477">
        <f t="shared" si="12"/>
        <v>903.16199999999992</v>
      </c>
      <c r="H92" s="477">
        <f t="shared" si="12"/>
        <v>1713.7419999999997</v>
      </c>
      <c r="I92" s="477">
        <f t="shared" si="12"/>
        <v>1416.3350000000003</v>
      </c>
      <c r="J92" s="477">
        <f t="shared" si="12"/>
        <v>5998</v>
      </c>
      <c r="K92" s="477">
        <f t="shared" si="12"/>
        <v>21691.453000000001</v>
      </c>
      <c r="L92" s="477">
        <f t="shared" si="12"/>
        <v>24195.332000000006</v>
      </c>
      <c r="M92" s="477">
        <f t="shared" si="12"/>
        <v>16670.003000000001</v>
      </c>
      <c r="N92" s="477">
        <f t="shared" si="12"/>
        <v>13659.758000000002</v>
      </c>
      <c r="O92" s="23"/>
      <c r="P92" s="23"/>
      <c r="Q92" s="23"/>
      <c r="R92" s="23"/>
      <c r="S92" s="23"/>
    </row>
    <row r="93" spans="1:19" ht="15" customHeight="1" x14ac:dyDescent="0.45">
      <c r="B93" s="2"/>
      <c r="D93" s="474" t="s">
        <v>301</v>
      </c>
      <c r="E93" s="25"/>
      <c r="F93" s="486">
        <f t="shared" ref="F93:N93" si="13">F92-F68</f>
        <v>0</v>
      </c>
      <c r="G93" s="486">
        <f t="shared" si="13"/>
        <v>-1.00000000009004E-3</v>
      </c>
      <c r="H93" s="486">
        <f t="shared" si="13"/>
        <v>1.9999999999527063E-3</v>
      </c>
      <c r="I93" s="486">
        <f t="shared" si="13"/>
        <v>1.0000000004311005E-3</v>
      </c>
      <c r="J93" s="486">
        <f t="shared" si="13"/>
        <v>-2.0000000004074536E-3</v>
      </c>
      <c r="K93" s="486">
        <f t="shared" si="13"/>
        <v>1.0000000002037268E-3</v>
      </c>
      <c r="L93" s="486">
        <f t="shared" si="13"/>
        <v>1.0000000074796844E-3</v>
      </c>
      <c r="M93" s="486">
        <f t="shared" si="13"/>
        <v>2.0000000004074536E-3</v>
      </c>
      <c r="N93" s="486">
        <f t="shared" si="13"/>
        <v>0</v>
      </c>
      <c r="O93" s="25"/>
      <c r="P93" s="25"/>
      <c r="Q93" s="25"/>
      <c r="R93" s="25"/>
      <c r="S93" s="25"/>
    </row>
    <row r="94" spans="1:19" ht="15" customHeight="1" x14ac:dyDescent="0.45">
      <c r="B94" s="2"/>
      <c r="D94" s="31"/>
      <c r="E94" s="25"/>
      <c r="F94" s="25"/>
      <c r="G94" s="25"/>
      <c r="H94" s="25"/>
      <c r="I94" s="25"/>
      <c r="J94" s="25"/>
      <c r="K94" s="25"/>
      <c r="L94" s="25"/>
      <c r="M94" s="25"/>
      <c r="N94" s="25"/>
      <c r="O94" s="25"/>
      <c r="P94" s="25"/>
      <c r="Q94" s="25"/>
      <c r="R94" s="25"/>
      <c r="S94" s="25"/>
    </row>
    <row r="96" spans="1:19" ht="15" customHeight="1" x14ac:dyDescent="0.45">
      <c r="B96" s="3"/>
      <c r="D96" s="485" t="s">
        <v>493</v>
      </c>
      <c r="E96" s="23"/>
      <c r="F96" s="23"/>
      <c r="G96" s="23"/>
      <c r="H96" s="23"/>
      <c r="I96" s="23"/>
      <c r="J96" s="23"/>
      <c r="K96" s="23"/>
      <c r="L96" s="23"/>
      <c r="M96" s="23"/>
      <c r="N96" s="23"/>
      <c r="O96" s="23"/>
      <c r="P96" s="23"/>
      <c r="Q96" s="23"/>
      <c r="R96" s="23"/>
      <c r="S96" s="23"/>
    </row>
    <row r="97" spans="2:19" ht="15" customHeight="1" x14ac:dyDescent="0.45">
      <c r="B97" s="3"/>
      <c r="D97" s="31"/>
      <c r="E97" s="23"/>
      <c r="F97" s="23"/>
      <c r="G97" s="23"/>
      <c r="H97" s="23"/>
      <c r="I97" s="23"/>
      <c r="J97" s="23"/>
      <c r="K97" s="23"/>
      <c r="L97" s="23"/>
      <c r="M97" s="23"/>
      <c r="N97" s="23"/>
      <c r="O97" s="23"/>
      <c r="P97" s="23"/>
      <c r="Q97" s="23"/>
      <c r="R97" s="23"/>
      <c r="S97" s="23"/>
    </row>
    <row r="98" spans="2:19" ht="15" customHeight="1" x14ac:dyDescent="0.45">
      <c r="B98" s="2"/>
      <c r="D98" s="480" t="s">
        <v>494</v>
      </c>
      <c r="E98" s="25"/>
      <c r="F98" s="25"/>
      <c r="G98" s="25"/>
      <c r="H98" s="25"/>
      <c r="I98" s="25"/>
      <c r="J98" s="25"/>
      <c r="K98" s="25"/>
      <c r="L98" s="25"/>
      <c r="M98" s="25"/>
      <c r="N98" s="25"/>
      <c r="O98" s="25"/>
      <c r="P98" s="25"/>
      <c r="Q98" s="25"/>
      <c r="R98" s="25"/>
      <c r="S98" s="25"/>
    </row>
    <row r="99" spans="2:19" ht="15" customHeight="1" x14ac:dyDescent="0.45">
      <c r="B99" s="2" t="s">
        <v>303</v>
      </c>
      <c r="D99" s="509" t="s">
        <v>621</v>
      </c>
      <c r="E99" s="25"/>
      <c r="F99" s="25">
        <f t="shared" ref="F99:N99" si="14">F27-F20-F21-F26</f>
        <v>-204.672</v>
      </c>
      <c r="G99" s="25">
        <f t="shared" si="14"/>
        <v>-240.43399999999997</v>
      </c>
      <c r="H99" s="25">
        <f t="shared" si="14"/>
        <v>-346.09299999999996</v>
      </c>
      <c r="I99" s="25">
        <f t="shared" si="14"/>
        <v>-494.90799999999996</v>
      </c>
      <c r="J99" s="25">
        <f t="shared" si="14"/>
        <v>-665.74199999999996</v>
      </c>
      <c r="K99" s="25">
        <f t="shared" si="14"/>
        <v>11237.673999999999</v>
      </c>
      <c r="L99" s="25">
        <f t="shared" si="14"/>
        <v>8946.1630000000005</v>
      </c>
      <c r="M99" s="25">
        <f t="shared" si="14"/>
        <v>-4000.0349999999999</v>
      </c>
      <c r="N99" s="25">
        <f t="shared" si="14"/>
        <v>-3705.7380000000007</v>
      </c>
      <c r="O99" s="25"/>
      <c r="P99" s="25"/>
      <c r="Q99" s="25"/>
      <c r="R99" s="25"/>
      <c r="S99" s="25"/>
    </row>
    <row r="100" spans="2:19" ht="15" customHeight="1" x14ac:dyDescent="0.45">
      <c r="B100" s="2" t="s">
        <v>314</v>
      </c>
      <c r="D100" s="1" t="s">
        <v>408</v>
      </c>
      <c r="E100" s="25"/>
      <c r="F100" s="25">
        <f t="shared" ref="F100:N100" si="15">F20</f>
        <v>-0.126</v>
      </c>
      <c r="G100" s="25">
        <f t="shared" si="15"/>
        <v>-0.11700000000000001</v>
      </c>
      <c r="H100" s="25">
        <f t="shared" si="15"/>
        <v>-2.6240000000000001</v>
      </c>
      <c r="I100" s="25">
        <f t="shared" si="15"/>
        <v>0</v>
      </c>
      <c r="J100" s="25">
        <f t="shared" si="15"/>
        <v>-8.7710000000000008</v>
      </c>
      <c r="K100" s="25">
        <f t="shared" si="15"/>
        <v>-14.381</v>
      </c>
      <c r="L100" s="25">
        <f t="shared" si="15"/>
        <v>-27.588000000000001</v>
      </c>
      <c r="M100" s="25">
        <f t="shared" si="15"/>
        <v>-35.145000000000003</v>
      </c>
      <c r="N100" s="25">
        <f t="shared" si="15"/>
        <v>-22.19</v>
      </c>
      <c r="O100" s="25"/>
      <c r="P100" s="25"/>
      <c r="Q100" s="25"/>
      <c r="R100" s="25"/>
      <c r="S100" s="25"/>
    </row>
    <row r="101" spans="2:19" ht="15" customHeight="1" x14ac:dyDescent="0.45">
      <c r="B101" s="2" t="s">
        <v>310</v>
      </c>
      <c r="D101" s="1" t="s">
        <v>622</v>
      </c>
      <c r="E101" s="25"/>
      <c r="F101" s="25">
        <f t="shared" ref="F101:N101" si="16">F21</f>
        <v>10.228999999999999</v>
      </c>
      <c r="G101" s="25">
        <f t="shared" si="16"/>
        <v>13.512</v>
      </c>
      <c r="H101" s="25">
        <f t="shared" si="16"/>
        <v>22.904</v>
      </c>
      <c r="I101" s="25">
        <f t="shared" si="16"/>
        <v>34.840000000000003</v>
      </c>
      <c r="J101" s="25">
        <f t="shared" si="16"/>
        <v>21.928000000000001</v>
      </c>
      <c r="K101" s="25">
        <f t="shared" si="16"/>
        <v>15.227</v>
      </c>
      <c r="L101" s="25">
        <f t="shared" si="16"/>
        <v>190.26300000000001</v>
      </c>
      <c r="M101" s="25">
        <f t="shared" si="16"/>
        <v>389.36799999999999</v>
      </c>
      <c r="N101" s="25">
        <f t="shared" si="16"/>
        <v>392.94900000000001</v>
      </c>
      <c r="O101" s="25"/>
      <c r="P101" s="25"/>
      <c r="Q101" s="25"/>
      <c r="R101" s="25"/>
      <c r="S101" s="25"/>
    </row>
    <row r="102" spans="2:19" ht="15" customHeight="1" x14ac:dyDescent="0.45">
      <c r="B102" s="2" t="s">
        <v>304</v>
      </c>
      <c r="D102" s="1" t="s">
        <v>402</v>
      </c>
      <c r="E102" s="25"/>
      <c r="F102" s="25">
        <f t="shared" ref="F102:N102" si="17">F26</f>
        <v>-0.94299999999999995</v>
      </c>
      <c r="G102" s="25">
        <f t="shared" si="17"/>
        <v>7.0999999999999994E-2</v>
      </c>
      <c r="H102" s="25">
        <f t="shared" si="17"/>
        <v>-0.27600000000000002</v>
      </c>
      <c r="I102" s="25">
        <f t="shared" si="17"/>
        <v>0.89300000000000002</v>
      </c>
      <c r="J102" s="25">
        <f t="shared" si="17"/>
        <v>-2.6309999999999998</v>
      </c>
      <c r="K102" s="25">
        <f t="shared" si="17"/>
        <v>-916.17</v>
      </c>
      <c r="L102" s="25">
        <f t="shared" si="17"/>
        <v>-1153.9449999999999</v>
      </c>
      <c r="M102" s="25">
        <f t="shared" si="17"/>
        <v>-713.995</v>
      </c>
      <c r="N102" s="25">
        <f t="shared" si="17"/>
        <v>42.530999999999999</v>
      </c>
      <c r="O102" s="25"/>
      <c r="P102" s="25"/>
      <c r="Q102" s="25"/>
      <c r="R102" s="25"/>
      <c r="S102" s="25"/>
    </row>
    <row r="103" spans="2:19" ht="15" customHeight="1" x14ac:dyDescent="0.45">
      <c r="B103" s="2" t="s">
        <v>306</v>
      </c>
      <c r="D103" s="509" t="s">
        <v>556</v>
      </c>
      <c r="E103" s="25"/>
      <c r="F103" s="25">
        <f>IFERROR(Moderna!B130/$D$5,0)</f>
        <v>13.667</v>
      </c>
      <c r="G103" s="25">
        <f>IFERROR(Moderna!C130/$D$5,0)</f>
        <v>18.213999999999999</v>
      </c>
      <c r="H103" s="25">
        <f>IFERROR(Moderna!D130/$D$5,0)</f>
        <v>21.071999999999999</v>
      </c>
      <c r="I103" s="25">
        <f>IFERROR(Moderna!E130/$D$5,0)</f>
        <v>27.693000000000001</v>
      </c>
      <c r="J103" s="25">
        <f>IFERROR(Moderna!F130/$D$5,0)</f>
        <v>81.572999999999993</v>
      </c>
      <c r="K103" s="25">
        <f>IFERROR(Moderna!G130/$D$5,0)</f>
        <v>196.262</v>
      </c>
      <c r="L103" s="25">
        <f>IFERROR(Moderna!H130/$D$5,0)</f>
        <v>331.05700000000002</v>
      </c>
      <c r="M103" s="25">
        <f>IFERROR(Moderna!I130/$D$5,0)</f>
        <v>574.34</v>
      </c>
      <c r="N103" s="25">
        <f>IFERROR(Moderna!J130/$D$5,0)</f>
        <v>174.74700000000001</v>
      </c>
      <c r="O103" s="25"/>
      <c r="P103" s="25"/>
      <c r="Q103" s="25"/>
      <c r="R103" s="25"/>
      <c r="S103" s="25"/>
    </row>
    <row r="104" spans="2:19" ht="15" customHeight="1" x14ac:dyDescent="0.45">
      <c r="B104" s="2" t="s">
        <v>305</v>
      </c>
      <c r="D104" s="509" t="s">
        <v>562</v>
      </c>
      <c r="E104" s="25"/>
      <c r="F104" s="25">
        <f>IFERROR(Moderna!B132/$D$5,0)</f>
        <v>0</v>
      </c>
      <c r="G104" s="25">
        <f>IFERROR(Moderna!C132/$D$5,0)</f>
        <v>0</v>
      </c>
      <c r="H104" s="25">
        <f>IFERROR(Moderna!D132/$D$5,0)</f>
        <v>0.755</v>
      </c>
      <c r="I104" s="25">
        <f>IFERROR(Moderna!E132/$D$5,0)</f>
        <v>0</v>
      </c>
      <c r="J104" s="25">
        <f>IFERROR(Moderna!F132/$D$5,0)</f>
        <v>0</v>
      </c>
      <c r="K104" s="25">
        <f>IFERROR(Moderna!G132/$D$5,0)</f>
        <v>0</v>
      </c>
      <c r="L104" s="25">
        <f>IFERROR(Moderna!H132/$D$5,0)</f>
        <v>0</v>
      </c>
      <c r="M104" s="25">
        <f>IFERROR(Moderna!I132/$D$5,0)</f>
        <v>0</v>
      </c>
      <c r="N104" s="25">
        <f>IFERROR(Moderna!J132/$D$5,0)</f>
        <v>0</v>
      </c>
      <c r="O104" s="25"/>
      <c r="P104" s="25"/>
      <c r="Q104" s="25"/>
      <c r="R104" s="25"/>
      <c r="S104" s="25"/>
    </row>
    <row r="105" spans="2:19" ht="15" customHeight="1" x14ac:dyDescent="0.45">
      <c r="B105" s="2" t="s">
        <v>305</v>
      </c>
      <c r="D105" s="509" t="s">
        <v>563</v>
      </c>
      <c r="E105" s="25"/>
      <c r="F105" s="25">
        <f>IFERROR(Moderna!B133/$D$5,0)</f>
        <v>2.2410000000000001</v>
      </c>
      <c r="G105" s="25">
        <f>IFERROR(Moderna!C133/$D$5,0)</f>
        <v>0.96299999999999997</v>
      </c>
      <c r="H105" s="25">
        <f>IFERROR(Moderna!D133/$D$5,0)</f>
        <v>-1.5820000000000001</v>
      </c>
      <c r="I105" s="25">
        <f>IFERROR(Moderna!E133/$D$5,0)</f>
        <v>-3.573</v>
      </c>
      <c r="J105" s="25">
        <f>IFERROR(Moderna!F133/$D$5,0)</f>
        <v>8.7710000000000008</v>
      </c>
      <c r="K105" s="25">
        <f>IFERROR(Moderna!G133/$D$5,0)</f>
        <v>45.682000000000002</v>
      </c>
      <c r="L105" s="25">
        <f>IFERROR(Moderna!H133/$D$5,0)</f>
        <v>29.491</v>
      </c>
      <c r="M105" s="25">
        <f>IFERROR(Moderna!I133/$D$5,0)</f>
        <v>-24.045999999999999</v>
      </c>
      <c r="N105" s="25">
        <f>IFERROR(Moderna!J133/$D$5,0)</f>
        <v>-39.756999999999998</v>
      </c>
      <c r="O105" s="25"/>
      <c r="P105" s="25"/>
      <c r="Q105" s="25"/>
      <c r="R105" s="25"/>
      <c r="S105" s="25"/>
    </row>
    <row r="106" spans="2:19" ht="15" customHeight="1" x14ac:dyDescent="0.45">
      <c r="B106" s="2" t="s">
        <v>306</v>
      </c>
      <c r="D106" s="509" t="s">
        <v>566</v>
      </c>
      <c r="E106" s="25"/>
      <c r="F106" s="25">
        <f>IFERROR(Moderna!B134/$D$5,0)</f>
        <v>35.591999999999999</v>
      </c>
      <c r="G106" s="25">
        <f>IFERROR(Moderna!C134/$D$5,0)</f>
        <v>35.524000000000001</v>
      </c>
      <c r="H106" s="25">
        <f>IFERROR(Moderna!D134/$D$5,0)</f>
        <v>61.503999999999998</v>
      </c>
      <c r="I106" s="25">
        <f>IFERROR(Moderna!E134/$D$5,0)</f>
        <v>72.36</v>
      </c>
      <c r="J106" s="25">
        <f>IFERROR(Moderna!F134/$D$5,0)</f>
        <v>81.572999999999993</v>
      </c>
      <c r="K106" s="25">
        <f>IFERROR(Moderna!G134/$D$5,0)</f>
        <v>120.126</v>
      </c>
      <c r="L106" s="25">
        <f>IFERROR(Moderna!H134/$D$5,0)</f>
        <v>214.99700000000001</v>
      </c>
      <c r="M106" s="25">
        <f>IFERROR(Moderna!I134/$D$5,0)</f>
        <v>282.08300000000003</v>
      </c>
      <c r="N106" s="25">
        <f>IFERROR(Moderna!J134/$D$5,0)</f>
        <v>396.64699999999999</v>
      </c>
      <c r="O106" s="25"/>
      <c r="P106" s="25"/>
      <c r="Q106" s="25"/>
      <c r="R106" s="25"/>
      <c r="S106" s="25"/>
    </row>
    <row r="107" spans="2:19" ht="15" customHeight="1" x14ac:dyDescent="0.45">
      <c r="B107" s="2" t="s">
        <v>306</v>
      </c>
      <c r="D107" s="509" t="s">
        <v>567</v>
      </c>
      <c r="E107" s="25"/>
      <c r="F107" s="25">
        <f>IFERROR(Moderna!B135/$D$5,0)</f>
        <v>0</v>
      </c>
      <c r="G107" s="25">
        <f>IFERROR(Moderna!C135/$D$5,0)</f>
        <v>0</v>
      </c>
      <c r="H107" s="25">
        <f>IFERROR(Moderna!D135/$D$5,0)</f>
        <v>0</v>
      </c>
      <c r="I107" s="25">
        <f>IFERROR(Moderna!E135/$D$5,0)</f>
        <v>0</v>
      </c>
      <c r="J107" s="25">
        <f>IFERROR(Moderna!F135/$D$5,0)</f>
        <v>0</v>
      </c>
      <c r="K107" s="25">
        <f>IFERROR(Moderna!G135/$D$5,0)</f>
        <v>-269.01400000000001</v>
      </c>
      <c r="L107" s="25">
        <f>IFERROR(Moderna!H135/$D$5,0)</f>
        <v>26.637</v>
      </c>
      <c r="M107" s="25">
        <f>IFERROR(Moderna!I135/$D$5,0)</f>
        <v>6.4740000000000002</v>
      </c>
      <c r="N107" s="25">
        <f>IFERROR(Moderna!J135/$D$5,0)</f>
        <v>55.475000000000001</v>
      </c>
      <c r="O107" s="25"/>
      <c r="P107" s="25"/>
      <c r="Q107" s="25"/>
      <c r="R107" s="25"/>
      <c r="S107" s="25"/>
    </row>
    <row r="108" spans="2:19" ht="15" customHeight="1" x14ac:dyDescent="0.45">
      <c r="B108" s="2" t="s">
        <v>308</v>
      </c>
      <c r="D108" s="509" t="s">
        <v>568</v>
      </c>
      <c r="E108" s="25"/>
      <c r="F108" s="25">
        <f>IFERROR(Moderna!B136/$D$5,0)</f>
        <v>47.326000000000001</v>
      </c>
      <c r="G108" s="25">
        <f>IFERROR(Moderna!C136/$D$5,0)</f>
        <v>9.4E-2</v>
      </c>
      <c r="H108" s="25">
        <f>IFERROR(Moderna!D136/$D$5,0)</f>
        <v>0.70499999999999996</v>
      </c>
      <c r="I108" s="25">
        <f>IFERROR(Moderna!E136/$D$5,0)</f>
        <v>6.2530000000000001</v>
      </c>
      <c r="J108" s="25">
        <f>IFERROR(Moderna!F136/$D$5,0)</f>
        <v>-1214.826</v>
      </c>
      <c r="K108" s="25">
        <f>IFERROR(Moderna!G136/$D$5,0)</f>
        <v>-1509.1849999999999</v>
      </c>
      <c r="L108" s="25">
        <f>IFERROR(Moderna!H136/$D$5,0)</f>
        <v>1702.8530000000001</v>
      </c>
      <c r="M108" s="25">
        <f>IFERROR(Moderna!I136/$D$5,0)</f>
        <v>455.95800000000003</v>
      </c>
      <c r="N108" s="25">
        <f>IFERROR(Moderna!J136/$D$5,0)</f>
        <v>493.72800000000001</v>
      </c>
      <c r="O108" s="25"/>
      <c r="P108" s="25"/>
      <c r="Q108" s="25"/>
      <c r="R108" s="25"/>
      <c r="S108" s="25"/>
    </row>
    <row r="109" spans="2:19" ht="15" customHeight="1" x14ac:dyDescent="0.45">
      <c r="B109" s="2" t="s">
        <v>308</v>
      </c>
      <c r="D109" s="509" t="s">
        <v>569</v>
      </c>
      <c r="E109" s="25"/>
      <c r="F109" s="25">
        <f>IFERROR(Moderna!B137/$D$5,0)</f>
        <v>0</v>
      </c>
      <c r="G109" s="25">
        <f>IFERROR(Moderna!C137/$D$5,0)</f>
        <v>0</v>
      </c>
      <c r="H109" s="25">
        <f>IFERROR(Moderna!D137/$D$5,0)</f>
        <v>0</v>
      </c>
      <c r="I109" s="25">
        <f>IFERROR(Moderna!E137/$D$5,0)</f>
        <v>0</v>
      </c>
      <c r="J109" s="25">
        <f>IFERROR(Moderna!F137/$D$5,0)</f>
        <v>-41.225000000000001</v>
      </c>
      <c r="K109" s="25">
        <f>IFERROR(Moderna!G137/$D$5,0)</f>
        <v>-1179.2619999999999</v>
      </c>
      <c r="L109" s="25">
        <f>IFERROR(Moderna!H137/$D$5,0)</f>
        <v>468.04700000000003</v>
      </c>
      <c r="M109" s="25">
        <f>IFERROR(Moderna!I137/$D$5,0)</f>
        <v>690.87300000000005</v>
      </c>
      <c r="N109" s="25">
        <f>IFERROR(Moderna!J137/$D$5,0)</f>
        <v>76.741</v>
      </c>
      <c r="O109" s="25"/>
      <c r="P109" s="25"/>
      <c r="Q109" s="25"/>
      <c r="R109" s="25"/>
      <c r="S109" s="25"/>
    </row>
    <row r="110" spans="2:19" ht="15" customHeight="1" x14ac:dyDescent="0.45">
      <c r="B110" s="2" t="s">
        <v>308</v>
      </c>
      <c r="D110" s="509" t="s">
        <v>570</v>
      </c>
      <c r="E110" s="25"/>
      <c r="F110" s="25">
        <f>IFERROR(Moderna!B138/$D$5,0)</f>
        <v>5.4189999999999996</v>
      </c>
      <c r="G110" s="25">
        <f>IFERROR(Moderna!C138/$D$5,0)</f>
        <v>-11.321999999999999</v>
      </c>
      <c r="H110" s="25">
        <f>IFERROR(Moderna!D138/$D$5,0)</f>
        <v>12.728</v>
      </c>
      <c r="I110" s="25">
        <f>IFERROR(Moderna!E138/$D$5,0)</f>
        <v>-21.44</v>
      </c>
      <c r="J110" s="25">
        <f>IFERROR(Moderna!F138/$D$5,0)</f>
        <v>10.526</v>
      </c>
      <c r="K110" s="25">
        <f>IFERROR(Moderna!G138/$D$5,0)</f>
        <v>172.57499999999999</v>
      </c>
      <c r="L110" s="25">
        <f>IFERROR(Moderna!H138/$D$5,0)</f>
        <v>228.316</v>
      </c>
      <c r="M110" s="25">
        <f>IFERROR(Moderna!I138/$D$5,0)</f>
        <v>12.023</v>
      </c>
      <c r="N110" s="25">
        <f>IFERROR(Moderna!J138/$D$5,0)</f>
        <v>-63.795999999999999</v>
      </c>
      <c r="O110" s="25"/>
      <c r="P110" s="25"/>
      <c r="Q110" s="25"/>
      <c r="R110" s="25"/>
      <c r="S110" s="25"/>
    </row>
    <row r="111" spans="2:19" ht="15" customHeight="1" x14ac:dyDescent="0.45">
      <c r="B111" s="2" t="s">
        <v>308</v>
      </c>
      <c r="D111" s="509" t="s">
        <v>623</v>
      </c>
      <c r="E111" s="25"/>
      <c r="F111" s="25">
        <f>IFERROR(Moderna!B139/$D$5,0)</f>
        <v>148.41499999999999</v>
      </c>
      <c r="G111" s="25">
        <f>IFERROR(Moderna!C139/$D$5,0)</f>
        <v>-143.96</v>
      </c>
      <c r="H111" s="25">
        <f>IFERROR(Moderna!D139/$D$5,0)</f>
        <v>-55.313000000000002</v>
      </c>
      <c r="I111" s="25">
        <f>IFERROR(Moderna!E139/$D$5,0)</f>
        <v>-39.307000000000002</v>
      </c>
      <c r="J111" s="25">
        <f>IFERROR(Moderna!F139/$D$5,0)</f>
        <v>3369.9360000000001</v>
      </c>
      <c r="K111" s="25">
        <f>IFERROR(Moderna!G139/$D$5,0)</f>
        <v>2388.9780000000001</v>
      </c>
      <c r="L111" s="25">
        <f>IFERROR(Moderna!H139/$D$5,0)</f>
        <v>-3954.6149999999998</v>
      </c>
      <c r="M111" s="25">
        <f>IFERROR(Moderna!I139/$D$5,0)</f>
        <v>-1905.2190000000001</v>
      </c>
      <c r="N111" s="25">
        <f>IFERROR(Moderna!J139/$D$5,0)</f>
        <v>-405.89299999999997</v>
      </c>
      <c r="O111" s="25"/>
      <c r="P111" s="25"/>
      <c r="Q111" s="25"/>
      <c r="R111" s="25"/>
      <c r="S111" s="25"/>
    </row>
    <row r="112" spans="2:19" ht="15" customHeight="1" x14ac:dyDescent="0.45">
      <c r="B112" s="2" t="s">
        <v>304</v>
      </c>
      <c r="D112" s="509" t="s">
        <v>624</v>
      </c>
      <c r="E112" s="25"/>
      <c r="F112" s="25">
        <f>IFERROR(Moderna!B140/$D$5,0)</f>
        <v>0</v>
      </c>
      <c r="G112" s="25">
        <f>IFERROR(Moderna!C140/$D$5,0)</f>
        <v>0</v>
      </c>
      <c r="H112" s="25">
        <f>IFERROR(Moderna!D140/$D$5,0)</f>
        <v>0</v>
      </c>
      <c r="I112" s="25">
        <f>IFERROR(Moderna!E140/$D$5,0)</f>
        <v>0</v>
      </c>
      <c r="J112" s="25">
        <f>IFERROR(Moderna!F140/$D$5,0)</f>
        <v>0</v>
      </c>
      <c r="K112" s="25">
        <f>IFERROR(Moderna!G140/$D$5,0)</f>
        <v>741.05700000000002</v>
      </c>
      <c r="L112" s="25">
        <f>IFERROR(Moderna!H140/$D$5,0)</f>
        <v>0</v>
      </c>
      <c r="M112" s="25">
        <f>IFERROR(Moderna!I140/$D$5,0)</f>
        <v>0</v>
      </c>
      <c r="N112" s="25">
        <f>IFERROR(Moderna!J140/$D$5,0)</f>
        <v>0</v>
      </c>
      <c r="O112" s="25"/>
      <c r="P112" s="25"/>
      <c r="Q112" s="25"/>
      <c r="R112" s="25"/>
      <c r="S112" s="25"/>
    </row>
    <row r="113" spans="1:19" ht="15" customHeight="1" x14ac:dyDescent="0.45">
      <c r="B113" s="2" t="s">
        <v>306</v>
      </c>
      <c r="D113" s="509" t="s">
        <v>625</v>
      </c>
      <c r="E113" s="25"/>
      <c r="F113" s="25">
        <f>IFERROR(Moderna!B141/$D$5,0)</f>
        <v>0.26</v>
      </c>
      <c r="G113" s="25">
        <f>IFERROR(Moderna!C141/$D$5,0)</f>
        <v>0</v>
      </c>
      <c r="H113" s="25">
        <f>IFERROR(Moderna!D141/$D$5,0)</f>
        <v>0</v>
      </c>
      <c r="I113" s="25">
        <f>IFERROR(Moderna!E141/$D$5,0)</f>
        <v>0</v>
      </c>
      <c r="J113" s="25">
        <f>IFERROR(Moderna!F141/$D$5,0)</f>
        <v>0</v>
      </c>
      <c r="K113" s="25">
        <f>IFERROR(Moderna!G141/$D$5,0)</f>
        <v>0</v>
      </c>
      <c r="L113" s="25">
        <f>IFERROR(Moderna!H141/$D$5,0)</f>
        <v>0</v>
      </c>
      <c r="M113" s="25">
        <f>IFERROR(Moderna!I141/$D$5,0)</f>
        <v>0</v>
      </c>
      <c r="N113" s="25">
        <f>IFERROR(Moderna!J141/$D$5,0)</f>
        <v>0</v>
      </c>
      <c r="O113" s="25"/>
      <c r="P113" s="25"/>
      <c r="Q113" s="25"/>
      <c r="R113" s="25"/>
      <c r="S113" s="25"/>
    </row>
    <row r="114" spans="1:19" ht="15" customHeight="1" x14ac:dyDescent="0.45">
      <c r="B114" s="2" t="s">
        <v>306</v>
      </c>
      <c r="D114" s="509" t="s">
        <v>626</v>
      </c>
      <c r="E114" s="25"/>
      <c r="F114" s="25">
        <f>IFERROR(Moderna!B142/$D$5,0)</f>
        <v>2.9350000000000001</v>
      </c>
      <c r="G114" s="25">
        <f>IFERROR(Moderna!C142/$D$5,0)</f>
        <v>33.466999999999999</v>
      </c>
      <c r="H114" s="25">
        <f>IFERROR(Moderna!D142/$D$5,0)</f>
        <v>5.7869999999999999</v>
      </c>
      <c r="I114" s="25">
        <f>IFERROR(Moderna!E142/$D$5,0)</f>
        <v>7.1470000000000002</v>
      </c>
      <c r="J114" s="25">
        <f>IFERROR(Moderna!F142/$D$5,0)</f>
        <v>136.83199999999999</v>
      </c>
      <c r="K114" s="25">
        <f>IFERROR(Moderna!G142/$D$5,0)</f>
        <v>492.346</v>
      </c>
      <c r="L114" s="25">
        <f>IFERROR(Moderna!H142/$D$5,0)</f>
        <v>-2263.1770000000001</v>
      </c>
      <c r="M114" s="25">
        <f>IFERROR(Moderna!I142/$D$5,0)</f>
        <v>1383.596</v>
      </c>
      <c r="N114" s="25">
        <f>IFERROR(Moderna!J142/$D$5,0)</f>
        <v>-172.89699999999999</v>
      </c>
      <c r="O114" s="25"/>
      <c r="P114" s="25"/>
      <c r="Q114" s="25"/>
      <c r="R114" s="25"/>
      <c r="S114" s="25"/>
    </row>
    <row r="115" spans="1:19" ht="15" customHeight="1" x14ac:dyDescent="0.45">
      <c r="B115" s="2"/>
      <c r="D115" s="1"/>
      <c r="E115" s="25"/>
      <c r="F115" s="25"/>
      <c r="G115" s="25"/>
      <c r="H115" s="25"/>
      <c r="I115" s="25"/>
      <c r="J115" s="25"/>
      <c r="K115" s="25"/>
      <c r="L115" s="25"/>
      <c r="M115" s="25"/>
      <c r="N115" s="25"/>
      <c r="O115" s="25"/>
      <c r="P115" s="25"/>
      <c r="Q115" s="25"/>
      <c r="R115" s="25"/>
      <c r="S115" s="25"/>
    </row>
    <row r="116" spans="1:19" ht="15" customHeight="1" x14ac:dyDescent="0.45">
      <c r="B116" s="2"/>
      <c r="D116" s="1"/>
      <c r="E116" s="25"/>
      <c r="F116" s="25"/>
      <c r="G116" s="25"/>
      <c r="H116" s="25"/>
      <c r="I116" s="25"/>
      <c r="J116" s="25"/>
      <c r="K116" s="25"/>
      <c r="L116" s="25"/>
      <c r="M116" s="25"/>
      <c r="N116" s="25"/>
      <c r="O116" s="25"/>
      <c r="P116" s="25"/>
      <c r="Q116" s="25"/>
      <c r="R116" s="25"/>
      <c r="S116" s="25"/>
    </row>
    <row r="117" spans="1:19" ht="15" customHeight="1" x14ac:dyDescent="0.45">
      <c r="B117" s="2"/>
      <c r="D117" s="1"/>
      <c r="E117" s="25"/>
      <c r="F117" s="25"/>
      <c r="G117" s="25"/>
      <c r="H117" s="25"/>
      <c r="I117" s="25"/>
      <c r="J117" s="25"/>
      <c r="K117" s="25"/>
      <c r="L117" s="25"/>
      <c r="M117" s="25"/>
      <c r="N117" s="25"/>
      <c r="O117" s="25"/>
      <c r="P117" s="25"/>
      <c r="Q117" s="25"/>
      <c r="R117" s="25"/>
      <c r="S117" s="25"/>
    </row>
    <row r="118" spans="1:19" ht="15" customHeight="1" x14ac:dyDescent="0.45">
      <c r="B118" s="2"/>
      <c r="D118" s="1"/>
      <c r="E118" s="25"/>
      <c r="F118" s="25"/>
      <c r="G118" s="25"/>
      <c r="H118" s="25"/>
      <c r="I118" s="25"/>
      <c r="J118" s="25"/>
      <c r="K118" s="25"/>
      <c r="L118" s="25"/>
      <c r="M118" s="25"/>
      <c r="N118" s="25"/>
      <c r="O118" s="25"/>
      <c r="P118" s="25"/>
      <c r="Q118" s="25"/>
      <c r="R118" s="25"/>
      <c r="S118" s="25"/>
    </row>
    <row r="119" spans="1:19" ht="15" customHeight="1" x14ac:dyDescent="0.45">
      <c r="B119" s="2"/>
      <c r="D119" s="1"/>
      <c r="E119" s="25"/>
      <c r="F119" s="25"/>
      <c r="G119" s="25"/>
      <c r="H119" s="25"/>
      <c r="I119" s="25"/>
      <c r="J119" s="25"/>
      <c r="K119" s="25"/>
      <c r="L119" s="25"/>
      <c r="M119" s="25"/>
      <c r="N119" s="25"/>
      <c r="O119" s="25"/>
      <c r="P119" s="25"/>
      <c r="Q119" s="25"/>
      <c r="R119" s="25"/>
      <c r="S119" s="25"/>
    </row>
    <row r="120" spans="1:19" ht="15" customHeight="1" x14ac:dyDescent="0.45">
      <c r="B120" s="2"/>
      <c r="D120" s="1"/>
      <c r="E120" s="25"/>
      <c r="F120" s="25"/>
      <c r="G120" s="25"/>
      <c r="H120" s="25"/>
      <c r="I120" s="25"/>
      <c r="J120" s="25"/>
      <c r="K120" s="25"/>
      <c r="L120" s="25"/>
      <c r="M120" s="25"/>
      <c r="N120" s="25"/>
      <c r="O120" s="25"/>
      <c r="P120" s="25"/>
      <c r="Q120" s="25"/>
      <c r="R120" s="25"/>
      <c r="S120" s="25"/>
    </row>
    <row r="121" spans="1:19" ht="15" customHeight="1" x14ac:dyDescent="0.45">
      <c r="B121" s="2"/>
      <c r="D121" s="1"/>
      <c r="E121" s="25"/>
      <c r="F121" s="25"/>
      <c r="G121" s="25"/>
      <c r="H121" s="25"/>
      <c r="I121" s="25"/>
      <c r="J121" s="25"/>
      <c r="K121" s="25"/>
      <c r="L121" s="25"/>
      <c r="M121" s="25"/>
      <c r="N121" s="25"/>
      <c r="O121" s="25"/>
      <c r="P121" s="25"/>
      <c r="Q121" s="25"/>
      <c r="R121" s="25"/>
      <c r="S121" s="25"/>
    </row>
    <row r="122" spans="1:19" ht="15" customHeight="1" x14ac:dyDescent="0.45">
      <c r="B122" s="2"/>
      <c r="D122" s="1"/>
      <c r="E122" s="25"/>
      <c r="F122" s="25"/>
      <c r="G122" s="25"/>
      <c r="H122" s="25"/>
      <c r="I122" s="25"/>
      <c r="J122" s="25"/>
      <c r="K122" s="25"/>
      <c r="L122" s="25"/>
      <c r="M122" s="25"/>
      <c r="N122" s="25"/>
      <c r="O122" s="25"/>
      <c r="P122" s="25"/>
      <c r="Q122" s="25"/>
      <c r="R122" s="25"/>
      <c r="S122" s="25"/>
    </row>
    <row r="123" spans="1:19" ht="15" customHeight="1" x14ac:dyDescent="0.45">
      <c r="B123" s="2"/>
      <c r="D123" s="1"/>
      <c r="E123" s="25"/>
      <c r="F123" s="25"/>
      <c r="G123" s="25"/>
      <c r="H123" s="25"/>
      <c r="I123" s="25"/>
      <c r="J123" s="25"/>
      <c r="K123" s="25"/>
      <c r="L123" s="25"/>
      <c r="M123" s="25"/>
      <c r="N123" s="25"/>
      <c r="O123" s="25"/>
      <c r="P123" s="25"/>
      <c r="Q123" s="25"/>
      <c r="R123" s="25"/>
      <c r="S123" s="25"/>
    </row>
    <row r="124" spans="1:19" ht="15" customHeight="1" x14ac:dyDescent="0.45">
      <c r="B124" s="2"/>
      <c r="D124" s="1"/>
      <c r="E124" s="25"/>
      <c r="F124" s="25"/>
      <c r="G124" s="25"/>
      <c r="H124" s="25"/>
      <c r="I124" s="25"/>
      <c r="J124" s="25"/>
      <c r="K124" s="25"/>
      <c r="L124" s="25"/>
      <c r="M124" s="25"/>
      <c r="N124" s="25"/>
      <c r="O124" s="25"/>
      <c r="P124" s="25"/>
      <c r="Q124" s="25"/>
      <c r="R124" s="25"/>
      <c r="S124" s="25"/>
    </row>
    <row r="125" spans="1:19" ht="15" customHeight="1" x14ac:dyDescent="0.45">
      <c r="B125" s="2"/>
      <c r="D125" s="1"/>
      <c r="E125" s="25"/>
      <c r="F125" s="25"/>
      <c r="G125" s="25"/>
      <c r="H125" s="25"/>
      <c r="I125" s="25"/>
      <c r="J125" s="25"/>
      <c r="K125" s="25"/>
      <c r="L125" s="25"/>
      <c r="M125" s="25"/>
      <c r="N125" s="25"/>
      <c r="O125" s="25"/>
      <c r="P125" s="25"/>
      <c r="Q125" s="25"/>
      <c r="R125" s="25"/>
      <c r="S125" s="25"/>
    </row>
    <row r="126" spans="1:19" ht="15" customHeight="1" x14ac:dyDescent="0.45">
      <c r="B126" s="2"/>
      <c r="D126" s="1"/>
      <c r="E126" s="25"/>
      <c r="F126" s="25"/>
      <c r="G126" s="25"/>
      <c r="H126" s="25"/>
      <c r="I126" s="25"/>
      <c r="J126" s="25"/>
      <c r="K126" s="25"/>
      <c r="L126" s="25"/>
      <c r="M126" s="25"/>
      <c r="N126" s="25"/>
      <c r="O126" s="25"/>
      <c r="P126" s="25"/>
      <c r="Q126" s="25"/>
      <c r="R126" s="25"/>
      <c r="S126" s="25"/>
    </row>
    <row r="127" spans="1:19" s="29" customFormat="1" ht="15" customHeight="1" x14ac:dyDescent="0.45">
      <c r="A127" s="1"/>
      <c r="B127" s="2"/>
      <c r="C127" s="1"/>
      <c r="D127" s="478" t="s">
        <v>519</v>
      </c>
      <c r="E127" s="477"/>
      <c r="F127" s="477">
        <f t="shared" ref="F127:N127" si="18">SUM(F99:F126)</f>
        <v>60.342999999999982</v>
      </c>
      <c r="G127" s="477">
        <f t="shared" si="18"/>
        <v>-293.988</v>
      </c>
      <c r="H127" s="477">
        <f t="shared" si="18"/>
        <v>-280.43299999999999</v>
      </c>
      <c r="I127" s="477">
        <f t="shared" si="18"/>
        <v>-410.04200000000003</v>
      </c>
      <c r="J127" s="477">
        <f t="shared" si="18"/>
        <v>1777.9440000000004</v>
      </c>
      <c r="K127" s="477">
        <f t="shared" si="18"/>
        <v>11521.915000000003</v>
      </c>
      <c r="L127" s="477">
        <f t="shared" si="18"/>
        <v>4738.4990000000053</v>
      </c>
      <c r="M127" s="477">
        <f t="shared" si="18"/>
        <v>-2883.724999999999</v>
      </c>
      <c r="N127" s="477">
        <f t="shared" si="18"/>
        <v>-2777.4530000000009</v>
      </c>
      <c r="O127" s="477"/>
      <c r="P127" s="477"/>
      <c r="Q127" s="477"/>
      <c r="R127" s="477"/>
      <c r="S127" s="477"/>
    </row>
    <row r="128" spans="1:19" ht="15" customHeight="1" x14ac:dyDescent="0.45">
      <c r="B128" s="2"/>
      <c r="D128" s="479"/>
      <c r="E128" s="23"/>
      <c r="F128" s="23"/>
      <c r="G128" s="23"/>
      <c r="H128" s="23"/>
      <c r="I128" s="23"/>
      <c r="J128" s="23"/>
      <c r="K128" s="23"/>
      <c r="L128" s="23"/>
      <c r="M128" s="23"/>
      <c r="N128" s="23"/>
      <c r="O128" s="23"/>
      <c r="P128" s="23"/>
      <c r="Q128" s="23"/>
      <c r="R128" s="23"/>
      <c r="S128" s="23"/>
    </row>
    <row r="129" spans="1:19" s="481" customFormat="1" ht="15" customHeight="1" x14ac:dyDescent="0.45">
      <c r="A129" s="484"/>
      <c r="B129" s="6"/>
      <c r="C129" s="484"/>
      <c r="E129" s="482"/>
      <c r="F129" s="482"/>
      <c r="G129" s="483"/>
      <c r="H129" s="483"/>
      <c r="I129" s="483"/>
      <c r="J129" s="483"/>
      <c r="K129" s="483"/>
      <c r="L129" s="483"/>
      <c r="M129" s="483"/>
      <c r="N129" s="482"/>
      <c r="O129" s="482"/>
      <c r="P129" s="482"/>
      <c r="Q129" s="482"/>
      <c r="R129" s="482"/>
      <c r="S129" s="482"/>
    </row>
    <row r="130" spans="1:19" ht="15" customHeight="1" x14ac:dyDescent="0.45">
      <c r="B130" s="2"/>
      <c r="D130" s="480" t="s">
        <v>520</v>
      </c>
      <c r="E130" s="25"/>
      <c r="F130" s="25"/>
      <c r="G130" s="25"/>
      <c r="H130" s="25"/>
      <c r="I130" s="25"/>
      <c r="J130" s="25"/>
      <c r="K130" s="25"/>
      <c r="L130" s="25"/>
      <c r="M130" s="25"/>
      <c r="N130" s="25"/>
      <c r="O130" s="25"/>
      <c r="P130" s="25"/>
      <c r="Q130" s="25"/>
      <c r="R130" s="25"/>
      <c r="S130" s="25"/>
    </row>
    <row r="131" spans="1:19" ht="15" customHeight="1" x14ac:dyDescent="0.45">
      <c r="B131" s="2" t="s">
        <v>312</v>
      </c>
      <c r="D131" s="509" t="s">
        <v>571</v>
      </c>
      <c r="E131" s="25"/>
      <c r="F131" s="25">
        <f>IFERROR(Moderna!B145/$D$5,0)</f>
        <v>-29.971</v>
      </c>
      <c r="G131" s="25">
        <f>IFERROR(Moderna!C145/$D$5,0)</f>
        <v>-51.795000000000002</v>
      </c>
      <c r="H131" s="25">
        <f>IFERROR(Moderna!D145/$D$5,0)</f>
        <v>-89.644000000000005</v>
      </c>
      <c r="I131" s="25">
        <f>IFERROR(Moderna!E145/$D$5,0)</f>
        <v>-28.587</v>
      </c>
      <c r="J131" s="25">
        <f>IFERROR(Moderna!F145/$D$5,0)</f>
        <v>-59.645000000000003</v>
      </c>
      <c r="K131" s="25">
        <f>IFERROR(Moderna!G145/$D$5,0)</f>
        <v>-240.251</v>
      </c>
      <c r="L131" s="25">
        <f>IFERROR(Moderna!H145/$D$5,0)</f>
        <v>-380.52600000000001</v>
      </c>
      <c r="M131" s="25">
        <f>IFERROR(Moderna!I145/$D$5,0)</f>
        <v>-653.87800000000004</v>
      </c>
      <c r="N131" s="25">
        <f>IFERROR(Moderna!J145/$D$5,0)</f>
        <v>-971.73900000000003</v>
      </c>
      <c r="O131" s="25"/>
      <c r="P131" s="25"/>
      <c r="Q131" s="25"/>
      <c r="R131" s="25"/>
      <c r="S131" s="25"/>
    </row>
    <row r="132" spans="1:19" ht="15" customHeight="1" x14ac:dyDescent="0.45">
      <c r="B132" s="2" t="s">
        <v>312</v>
      </c>
      <c r="D132" s="509" t="s">
        <v>573</v>
      </c>
      <c r="E132" s="25"/>
      <c r="F132" s="25">
        <f>IFERROR(Moderna!B146/$D$5,0)</f>
        <v>0</v>
      </c>
      <c r="G132" s="25">
        <f>IFERROR(Moderna!C146/$D$5,0)</f>
        <v>0</v>
      </c>
      <c r="H132" s="25">
        <f>IFERROR(Moderna!D146/$D$5,0)</f>
        <v>0</v>
      </c>
      <c r="I132" s="25">
        <f>IFERROR(Moderna!E146/$D$5,0)</f>
        <v>0</v>
      </c>
      <c r="J132" s="25">
        <f>IFERROR(Moderna!F146/$D$5,0)</f>
        <v>0</v>
      </c>
      <c r="K132" s="25">
        <f>IFERROR(Moderna!G146/$D$5,0)</f>
        <v>0</v>
      </c>
      <c r="L132" s="25">
        <f>IFERROR(Moderna!H146/$D$5,0)</f>
        <v>0</v>
      </c>
      <c r="M132" s="25">
        <f>IFERROR(Moderna!I146/$D$5,0)</f>
        <v>-78.613</v>
      </c>
      <c r="N132" s="25">
        <f>IFERROR(Moderna!J146/$D$5,0)</f>
        <v>0</v>
      </c>
      <c r="O132" s="25"/>
      <c r="P132" s="25"/>
      <c r="Q132" s="25"/>
      <c r="R132" s="25"/>
      <c r="S132" s="25"/>
    </row>
    <row r="133" spans="1:19" ht="15" customHeight="1" x14ac:dyDescent="0.45">
      <c r="B133" s="2" t="s">
        <v>312</v>
      </c>
      <c r="D133" s="509" t="s">
        <v>575</v>
      </c>
      <c r="E133" s="25"/>
      <c r="F133" s="25">
        <f>IFERROR(Moderna!B147/$D$5,0)</f>
        <v>-548.48900000000003</v>
      </c>
      <c r="G133" s="25">
        <f>IFERROR(Moderna!C147/$D$5,0)</f>
        <v>421.94900000000001</v>
      </c>
      <c r="H133" s="25">
        <f>IFERROR(Moderna!D147/$D$5,0)</f>
        <v>-226.58</v>
      </c>
      <c r="I133" s="25">
        <f>IFERROR(Moderna!E147/$D$5,0)</f>
        <v>15.186999999999999</v>
      </c>
      <c r="J133" s="25">
        <f>IFERROR(Moderna!F147/$D$5,0)</f>
        <v>-1406.9169999999999</v>
      </c>
      <c r="K133" s="25">
        <f>IFERROR(Moderna!G147/$D$5,0)</f>
        <v>-6944.4489999999996</v>
      </c>
      <c r="L133" s="25">
        <f>IFERROR(Moderna!H147/$D$5,0)</f>
        <v>-4505.4260000000004</v>
      </c>
      <c r="M133" s="25">
        <f>IFERROR(Moderna!I147/$D$5,0)</f>
        <v>4643.7389999999996</v>
      </c>
      <c r="N133" s="25">
        <f>IFERROR(Moderna!J147/$D$5,0)</f>
        <v>2773.7550000000001</v>
      </c>
      <c r="O133" s="25"/>
      <c r="P133" s="25"/>
      <c r="Q133" s="25"/>
      <c r="R133" s="25"/>
      <c r="S133" s="25"/>
    </row>
    <row r="134" spans="1:19" ht="15" customHeight="1" x14ac:dyDescent="0.45">
      <c r="B134" s="2" t="s">
        <v>312</v>
      </c>
      <c r="D134" s="509" t="s">
        <v>576</v>
      </c>
      <c r="E134" s="25"/>
      <c r="F134" s="25">
        <f>IFERROR(Moderna!B148/$D$5,0)</f>
        <v>-8.0500000000000007</v>
      </c>
      <c r="G134" s="25">
        <f>IFERROR(Moderna!C148/$D$5,0)</f>
        <v>0</v>
      </c>
      <c r="H134" s="25">
        <f>IFERROR(Moderna!D148/$D$5,0)</f>
        <v>0</v>
      </c>
      <c r="I134" s="25">
        <f>IFERROR(Moderna!E148/$D$5,0)</f>
        <v>0</v>
      </c>
      <c r="J134" s="25">
        <f>IFERROR(Moderna!F148/$D$5,0)</f>
        <v>0</v>
      </c>
      <c r="K134" s="25">
        <f>IFERROR(Moderna!G148/$D$5,0)</f>
        <v>-25.379000000000001</v>
      </c>
      <c r="L134" s="25">
        <f>IFERROR(Moderna!H148/$D$5,0)</f>
        <v>-38.052999999999997</v>
      </c>
      <c r="M134" s="25">
        <f>IFERROR(Moderna!I148/$D$5,0)</f>
        <v>-21.271999999999998</v>
      </c>
      <c r="N134" s="25">
        <f>IFERROR(Moderna!J148/$D$5,0)</f>
        <v>0</v>
      </c>
      <c r="O134" s="25"/>
      <c r="P134" s="25"/>
      <c r="Q134" s="25"/>
      <c r="R134" s="25"/>
      <c r="S134" s="25"/>
    </row>
    <row r="135" spans="1:19" ht="15" customHeight="1" x14ac:dyDescent="0.45">
      <c r="B135" s="2"/>
      <c r="D135" s="1"/>
      <c r="E135" s="25"/>
      <c r="F135" s="25"/>
      <c r="G135" s="25"/>
      <c r="H135" s="25"/>
      <c r="I135" s="25"/>
      <c r="J135" s="25"/>
      <c r="K135" s="25"/>
      <c r="L135" s="25"/>
      <c r="M135" s="25"/>
      <c r="N135" s="25"/>
      <c r="O135" s="25"/>
      <c r="P135" s="25"/>
      <c r="Q135" s="25"/>
      <c r="R135" s="25"/>
      <c r="S135" s="25"/>
    </row>
    <row r="136" spans="1:19" ht="15" customHeight="1" x14ac:dyDescent="0.45">
      <c r="B136" s="2"/>
      <c r="D136" s="1"/>
      <c r="E136" s="25"/>
      <c r="F136" s="25"/>
      <c r="G136" s="25"/>
      <c r="H136" s="25"/>
      <c r="I136" s="25"/>
      <c r="J136" s="25"/>
      <c r="K136" s="25"/>
      <c r="L136" s="25"/>
      <c r="M136" s="25"/>
      <c r="N136" s="25"/>
      <c r="O136" s="25"/>
      <c r="P136" s="25"/>
      <c r="Q136" s="25"/>
      <c r="R136" s="25"/>
      <c r="S136" s="25"/>
    </row>
    <row r="137" spans="1:19" ht="15" customHeight="1" x14ac:dyDescent="0.45">
      <c r="B137" s="2"/>
      <c r="D137" s="1"/>
      <c r="E137" s="25"/>
      <c r="F137" s="25"/>
      <c r="G137" s="25"/>
      <c r="H137" s="25"/>
      <c r="I137" s="25"/>
      <c r="J137" s="25"/>
      <c r="K137" s="25"/>
      <c r="L137" s="25"/>
      <c r="M137" s="25"/>
      <c r="N137" s="25"/>
      <c r="O137" s="25"/>
      <c r="P137" s="25"/>
      <c r="Q137" s="25"/>
      <c r="R137" s="25"/>
      <c r="S137" s="25"/>
    </row>
    <row r="138" spans="1:19" ht="15" customHeight="1" x14ac:dyDescent="0.45">
      <c r="B138" s="2"/>
      <c r="D138" s="1"/>
      <c r="E138" s="25"/>
      <c r="F138" s="25"/>
      <c r="G138" s="25"/>
      <c r="H138" s="25"/>
      <c r="I138" s="25"/>
      <c r="J138" s="25"/>
      <c r="K138" s="25"/>
      <c r="L138" s="25"/>
      <c r="M138" s="25"/>
      <c r="N138" s="25"/>
      <c r="O138" s="25"/>
      <c r="P138" s="25"/>
      <c r="Q138" s="25"/>
      <c r="R138" s="25"/>
      <c r="S138" s="25"/>
    </row>
    <row r="139" spans="1:19" s="29" customFormat="1" ht="15" customHeight="1" x14ac:dyDescent="0.45">
      <c r="A139" s="1"/>
      <c r="B139" s="2"/>
      <c r="C139" s="1"/>
      <c r="D139" s="478" t="s">
        <v>529</v>
      </c>
      <c r="E139" s="477"/>
      <c r="F139" s="477">
        <f t="shared" ref="F139:N139" si="19">SUM(F131:F138)</f>
        <v>-586.51</v>
      </c>
      <c r="G139" s="477">
        <f t="shared" si="19"/>
        <v>370.154</v>
      </c>
      <c r="H139" s="477">
        <f t="shared" si="19"/>
        <v>-316.22400000000005</v>
      </c>
      <c r="I139" s="477">
        <f t="shared" si="19"/>
        <v>-13.4</v>
      </c>
      <c r="J139" s="477">
        <f t="shared" si="19"/>
        <v>-1466.5619999999999</v>
      </c>
      <c r="K139" s="477">
        <f t="shared" si="19"/>
        <v>-7210.0789999999997</v>
      </c>
      <c r="L139" s="477">
        <f t="shared" si="19"/>
        <v>-4924.0050000000001</v>
      </c>
      <c r="M139" s="477">
        <f t="shared" si="19"/>
        <v>3889.9759999999997</v>
      </c>
      <c r="N139" s="477">
        <f t="shared" si="19"/>
        <v>1802.0160000000001</v>
      </c>
      <c r="O139" s="477"/>
      <c r="P139" s="477"/>
      <c r="Q139" s="477"/>
      <c r="R139" s="477"/>
      <c r="S139" s="477"/>
    </row>
    <row r="140" spans="1:19" ht="15" customHeight="1" x14ac:dyDescent="0.45">
      <c r="B140" s="2"/>
      <c r="D140" s="31"/>
      <c r="E140" s="25"/>
      <c r="F140" s="25"/>
      <c r="G140" s="25"/>
      <c r="H140" s="25"/>
      <c r="I140" s="25"/>
      <c r="J140" s="25"/>
      <c r="K140" s="25"/>
      <c r="L140" s="25"/>
      <c r="M140" s="25"/>
      <c r="N140" s="25"/>
      <c r="O140" s="25"/>
      <c r="P140" s="25"/>
      <c r="Q140" s="25"/>
      <c r="R140" s="25"/>
      <c r="S140" s="25"/>
    </row>
    <row r="141" spans="1:19" ht="15" customHeight="1" x14ac:dyDescent="0.45">
      <c r="B141" s="2" t="s">
        <v>315</v>
      </c>
      <c r="D141" s="509" t="s">
        <v>578</v>
      </c>
      <c r="E141" s="25"/>
      <c r="F141" s="25">
        <f>IFERROR(Moderna!B151/$D$5,0)</f>
        <v>0</v>
      </c>
      <c r="G141" s="25">
        <f>IFERROR(Moderna!C151/$D$5,0)</f>
        <v>2.4159999999999999</v>
      </c>
      <c r="H141" s="25">
        <f>IFERROR(Moderna!D151/$D$5,0)</f>
        <v>9.8620000000000001</v>
      </c>
      <c r="I141" s="25">
        <f>IFERROR(Moderna!E151/$D$5,0)</f>
        <v>0.89300000000000002</v>
      </c>
      <c r="J141" s="25">
        <f>IFERROR(Moderna!F151/$D$5,0)</f>
        <v>0</v>
      </c>
      <c r="K141" s="25">
        <f>IFERROR(Moderna!G151/$D$5,0)</f>
        <v>0</v>
      </c>
      <c r="L141" s="25">
        <f>IFERROR(Moderna!H151/$D$5,0)</f>
        <v>0</v>
      </c>
      <c r="M141" s="25">
        <f>IFERROR(Moderna!I151/$D$5,0)</f>
        <v>0</v>
      </c>
      <c r="N141" s="25">
        <f>IFERROR(Moderna!J151/$D$5,0)</f>
        <v>0</v>
      </c>
      <c r="O141" s="25"/>
      <c r="P141" s="25"/>
      <c r="Q141" s="25"/>
      <c r="R141" s="25"/>
      <c r="S141" s="25"/>
    </row>
    <row r="142" spans="1:19" ht="15" customHeight="1" x14ac:dyDescent="0.45">
      <c r="B142" s="2" t="s">
        <v>315</v>
      </c>
      <c r="D142" s="509" t="s">
        <v>580</v>
      </c>
      <c r="E142" s="25"/>
      <c r="F142" s="25">
        <f>IFERROR(Moderna!B153/$D$5,0)</f>
        <v>0</v>
      </c>
      <c r="G142" s="25">
        <f>IFERROR(Moderna!C153/$D$5,0)</f>
        <v>-1.1399999999999999</v>
      </c>
      <c r="H142" s="25">
        <f>IFERROR(Moderna!D153/$D$5,0)</f>
        <v>-1.843</v>
      </c>
      <c r="I142" s="25">
        <f>IFERROR(Moderna!E153/$D$5,0)</f>
        <v>0</v>
      </c>
      <c r="J142" s="25">
        <f>IFERROR(Moderna!F153/$D$5,0)</f>
        <v>-5.2629999999999999</v>
      </c>
      <c r="K142" s="25">
        <f>IFERROR(Moderna!G153/$D$5,0)</f>
        <v>-118.434</v>
      </c>
      <c r="L142" s="25">
        <f>IFERROR(Moderna!H153/$D$5,0)</f>
        <v>-175.042</v>
      </c>
      <c r="M142" s="25">
        <f>IFERROR(Moderna!I153/$D$5,0)</f>
        <v>-249.71299999999999</v>
      </c>
      <c r="N142" s="25">
        <f>IFERROR(Moderna!J153/$D$5,0)</f>
        <v>-9.2460000000000004</v>
      </c>
      <c r="O142" s="25"/>
      <c r="P142" s="25"/>
      <c r="Q142" s="25"/>
      <c r="R142" s="25"/>
      <c r="S142" s="25"/>
    </row>
    <row r="143" spans="1:19" ht="15" customHeight="1" x14ac:dyDescent="0.45">
      <c r="B143" s="2" t="s">
        <v>418</v>
      </c>
      <c r="D143" s="509" t="s">
        <v>581</v>
      </c>
      <c r="E143" s="25"/>
      <c r="F143" s="25">
        <f>IFERROR(Moderna!B155/$D$5,0)</f>
        <v>0.01</v>
      </c>
      <c r="G143" s="25">
        <f>IFERROR(Moderna!C155/$D$5,0)</f>
        <v>0.188</v>
      </c>
      <c r="H143" s="25">
        <f>IFERROR(Moderna!D155/$D$5,0)</f>
        <v>478.41500000000002</v>
      </c>
      <c r="I143" s="25">
        <f>IFERROR(Moderna!E155/$D$5,0)</f>
        <v>45.56</v>
      </c>
      <c r="J143" s="25">
        <f>IFERROR(Moderna!F155/$D$5,0)</f>
        <v>1788.4690000000001</v>
      </c>
      <c r="K143" s="25">
        <f>IFERROR(Moderna!G155/$D$5,0)</f>
        <v>104.898</v>
      </c>
      <c r="L143" s="25">
        <f>IFERROR(Moderna!H155/$D$5,0)</f>
        <v>61.835000000000001</v>
      </c>
      <c r="M143" s="25">
        <f>IFERROR(Moderna!I155/$D$5,0)</f>
        <v>42.543999999999997</v>
      </c>
      <c r="N143" s="25">
        <f>IFERROR(Moderna!J155/$D$5,0)</f>
        <v>61.023000000000003</v>
      </c>
      <c r="O143" s="25"/>
      <c r="P143" s="25"/>
      <c r="Q143" s="25"/>
      <c r="R143" s="25"/>
      <c r="S143" s="25"/>
    </row>
    <row r="144" spans="1:19" ht="15" customHeight="1" x14ac:dyDescent="0.45">
      <c r="B144" s="2" t="s">
        <v>418</v>
      </c>
      <c r="D144" s="509" t="s">
        <v>582</v>
      </c>
      <c r="E144" s="25"/>
      <c r="F144" s="25">
        <f>IFERROR(Moderna!B156/$D$5,0)</f>
        <v>0</v>
      </c>
      <c r="G144" s="25">
        <f>IFERROR(Moderna!C156/$D$5,0)</f>
        <v>0</v>
      </c>
      <c r="H144" s="25">
        <f>IFERROR(Moderna!D156/$D$5,0)</f>
        <v>0</v>
      </c>
      <c r="I144" s="25">
        <f>IFERROR(Moderna!E156/$D$5,0)</f>
        <v>0</v>
      </c>
      <c r="J144" s="25">
        <f>IFERROR(Moderna!F156/$D$5,0)</f>
        <v>0</v>
      </c>
      <c r="K144" s="25">
        <f>IFERROR(Moderna!G156/$D$5,0)</f>
        <v>-724.98400000000004</v>
      </c>
      <c r="L144" s="25">
        <f>IFERROR(Moderna!H156/$D$5,0)</f>
        <v>-3166.9259999999999</v>
      </c>
      <c r="M144" s="25">
        <f>IFERROR(Moderna!I156/$D$5,0)</f>
        <v>-1066.3679999999999</v>
      </c>
      <c r="N144" s="25">
        <f>IFERROR(Moderna!J156/$D$5,0)</f>
        <v>0</v>
      </c>
      <c r="O144" s="25"/>
      <c r="P144" s="25"/>
      <c r="Q144" s="25"/>
      <c r="R144" s="25"/>
      <c r="S144" s="25"/>
    </row>
    <row r="145" spans="1:19" ht="15" customHeight="1" x14ac:dyDescent="0.45">
      <c r="B145" s="2" t="s">
        <v>418</v>
      </c>
      <c r="D145" s="509" t="s">
        <v>627</v>
      </c>
      <c r="E145" s="25"/>
      <c r="F145" s="25">
        <f>IFERROR(Moderna!B157/$D$5,0)</f>
        <v>428.19600000000003</v>
      </c>
      <c r="G145" s="25">
        <f>IFERROR(Moderna!C157/$D$5,0)</f>
        <v>0</v>
      </c>
      <c r="H145" s="25">
        <f>IFERROR(Moderna!D157/$D$5,0)</f>
        <v>560.33900000000006</v>
      </c>
      <c r="I145" s="25">
        <f>IFERROR(Moderna!E157/$D$5,0)</f>
        <v>0</v>
      </c>
      <c r="J145" s="25">
        <f>IFERROR(Moderna!F157/$D$5,0)</f>
        <v>0</v>
      </c>
      <c r="K145" s="25">
        <f>IFERROR(Moderna!G157/$D$5,0)</f>
        <v>0</v>
      </c>
      <c r="L145" s="25">
        <f>IFERROR(Moderna!H157/$D$5,0)</f>
        <v>0</v>
      </c>
      <c r="M145" s="25">
        <f>IFERROR(Moderna!I157/$D$5,0)</f>
        <v>0</v>
      </c>
      <c r="N145" s="25">
        <f>IFERROR(Moderna!J157/$D$5,0)</f>
        <v>0</v>
      </c>
      <c r="O145" s="25"/>
      <c r="P145" s="25"/>
      <c r="Q145" s="25"/>
      <c r="R145" s="25"/>
      <c r="S145" s="25"/>
    </row>
    <row r="146" spans="1:19" ht="15" customHeight="1" x14ac:dyDescent="0.45">
      <c r="B146" s="2" t="s">
        <v>418</v>
      </c>
      <c r="D146" s="509" t="s">
        <v>628</v>
      </c>
      <c r="E146" s="25"/>
      <c r="F146" s="25">
        <f>IFERROR(Moderna!B158/$D$5,0)</f>
        <v>0</v>
      </c>
      <c r="G146" s="25">
        <f>IFERROR(Moderna!C158/$D$5,0)</f>
        <v>0</v>
      </c>
      <c r="H146" s="25">
        <f>IFERROR(Moderna!D158/$D$5,0)</f>
        <v>-6.9349999999999996</v>
      </c>
      <c r="I146" s="25">
        <f>IFERROR(Moderna!E158/$D$5,0)</f>
        <v>0</v>
      </c>
      <c r="J146" s="25">
        <f>IFERROR(Moderna!F158/$D$5,0)</f>
        <v>0</v>
      </c>
      <c r="K146" s="25">
        <f>IFERROR(Moderna!G158/$D$5,0)</f>
        <v>0</v>
      </c>
      <c r="L146" s="25">
        <f>IFERROR(Moderna!H158/$D$5,0)</f>
        <v>0</v>
      </c>
      <c r="M146" s="25">
        <f>IFERROR(Moderna!I158/$D$5,0)</f>
        <v>0</v>
      </c>
      <c r="N146" s="25">
        <f>IFERROR(Moderna!J158/$D$5,0)</f>
        <v>0</v>
      </c>
      <c r="O146" s="25"/>
      <c r="P146" s="25"/>
      <c r="Q146" s="25"/>
      <c r="R146" s="25"/>
      <c r="S146" s="25"/>
    </row>
    <row r="147" spans="1:19" ht="15" customHeight="1" x14ac:dyDescent="0.45">
      <c r="B147" s="2" t="s">
        <v>317</v>
      </c>
      <c r="D147" s="509" t="s">
        <v>629</v>
      </c>
      <c r="E147" s="25"/>
      <c r="F147" s="25">
        <f>IFERROR(Moderna!B159/$D$5,0)</f>
        <v>-0.57199999999999995</v>
      </c>
      <c r="G147" s="25">
        <f>IFERROR(Moderna!C159/$D$5,0)</f>
        <v>-1.3149999999999999</v>
      </c>
      <c r="H147" s="25">
        <f>IFERROR(Moderna!D159/$D$5,0)</f>
        <v>0</v>
      </c>
      <c r="I147" s="25">
        <f>IFERROR(Moderna!E159/$D$5,0)</f>
        <v>0</v>
      </c>
      <c r="J147" s="25">
        <f>IFERROR(Moderna!F159/$D$5,0)</f>
        <v>0</v>
      </c>
      <c r="K147" s="25">
        <f>IFERROR(Moderna!G159/$D$5,0)</f>
        <v>0</v>
      </c>
      <c r="L147" s="25">
        <f>IFERROR(Moderna!H159/$D$5,0)</f>
        <v>0</v>
      </c>
      <c r="M147" s="25">
        <f>IFERROR(Moderna!I159/$D$5,0)</f>
        <v>0</v>
      </c>
      <c r="N147" s="25">
        <f>IFERROR(Moderna!J159/$D$5,0)</f>
        <v>0</v>
      </c>
      <c r="O147" s="25"/>
      <c r="P147" s="25"/>
      <c r="Q147" s="25"/>
      <c r="R147" s="25"/>
      <c r="S147" s="25"/>
    </row>
    <row r="148" spans="1:19" ht="15" customHeight="1" x14ac:dyDescent="0.45">
      <c r="D148" s="1"/>
      <c r="E148" s="25"/>
      <c r="F148" s="25"/>
      <c r="G148" s="25"/>
      <c r="H148" s="25"/>
      <c r="I148" s="25"/>
      <c r="J148" s="25"/>
      <c r="K148" s="25"/>
      <c r="L148" s="25"/>
      <c r="M148" s="25"/>
      <c r="N148" s="25"/>
      <c r="O148" s="25"/>
      <c r="P148" s="25"/>
      <c r="Q148" s="25"/>
      <c r="R148" s="25"/>
      <c r="S148" s="25"/>
    </row>
    <row r="149" spans="1:19" s="29" customFormat="1" ht="15" customHeight="1" x14ac:dyDescent="0.45">
      <c r="A149" s="1"/>
      <c r="B149" s="2"/>
      <c r="C149" s="1"/>
      <c r="D149" s="478" t="s">
        <v>538</v>
      </c>
      <c r="E149" s="477"/>
      <c r="F149" s="477">
        <f t="shared" ref="F149:N149" si="20">SUM(F141:F148)</f>
        <v>427.63400000000001</v>
      </c>
      <c r="G149" s="477">
        <f t="shared" si="20"/>
        <v>0.14900000000000002</v>
      </c>
      <c r="H149" s="477">
        <f t="shared" si="20"/>
        <v>1039.8380000000002</v>
      </c>
      <c r="I149" s="477">
        <f t="shared" si="20"/>
        <v>46.453000000000003</v>
      </c>
      <c r="J149" s="477">
        <f t="shared" si="20"/>
        <v>1783.2060000000001</v>
      </c>
      <c r="K149" s="477">
        <f t="shared" si="20"/>
        <v>-738.52</v>
      </c>
      <c r="L149" s="477">
        <f t="shared" si="20"/>
        <v>-3280.1329999999998</v>
      </c>
      <c r="M149" s="477">
        <f t="shared" si="20"/>
        <v>-1273.5369999999998</v>
      </c>
      <c r="N149" s="477">
        <f t="shared" si="20"/>
        <v>51.777000000000001</v>
      </c>
      <c r="O149" s="477"/>
      <c r="P149" s="477"/>
      <c r="Q149" s="477"/>
      <c r="R149" s="477"/>
      <c r="S149" s="477"/>
    </row>
    <row r="150" spans="1:19" ht="15" customHeight="1" x14ac:dyDescent="0.45">
      <c r="B150" s="2"/>
      <c r="D150" s="31"/>
      <c r="E150" s="25"/>
      <c r="F150" s="25"/>
      <c r="G150" s="25"/>
      <c r="H150" s="25"/>
      <c r="I150" s="25"/>
      <c r="J150" s="25"/>
      <c r="K150" s="25"/>
      <c r="L150" s="25"/>
      <c r="M150" s="25"/>
      <c r="N150" s="25"/>
      <c r="O150" s="25"/>
      <c r="P150" s="25"/>
      <c r="Q150" s="25"/>
      <c r="R150" s="25"/>
      <c r="S150" s="25"/>
    </row>
    <row r="151" spans="1:19" ht="15" customHeight="1" x14ac:dyDescent="0.45">
      <c r="B151" s="2"/>
      <c r="D151" s="31"/>
      <c r="E151" s="25"/>
      <c r="F151" s="25"/>
      <c r="G151" s="25"/>
      <c r="H151" s="25"/>
      <c r="I151" s="25"/>
      <c r="J151" s="25"/>
      <c r="K151" s="25"/>
      <c r="L151" s="25"/>
      <c r="M151" s="25"/>
      <c r="N151" s="25"/>
      <c r="O151" s="25"/>
      <c r="P151" s="25"/>
      <c r="Q151" s="25"/>
      <c r="R151" s="25"/>
      <c r="S151" s="25"/>
    </row>
    <row r="152" spans="1:19" s="26" customFormat="1" ht="15" customHeight="1" x14ac:dyDescent="0.45">
      <c r="A152" s="4"/>
      <c r="B152" s="5"/>
      <c r="C152" s="4"/>
      <c r="D152" s="479" t="s">
        <v>539</v>
      </c>
      <c r="E152" s="23"/>
      <c r="F152" s="23"/>
      <c r="G152" s="23"/>
      <c r="H152" s="23"/>
      <c r="I152" s="23"/>
      <c r="J152" s="23"/>
      <c r="K152" s="23"/>
      <c r="L152" s="23"/>
      <c r="M152" s="23"/>
      <c r="N152" s="23"/>
      <c r="O152" s="23"/>
      <c r="P152" s="23"/>
      <c r="Q152" s="23"/>
      <c r="R152" s="23"/>
      <c r="S152" s="23"/>
    </row>
    <row r="153" spans="1:19" ht="15" customHeight="1" x14ac:dyDescent="0.45">
      <c r="B153" s="2"/>
      <c r="D153" s="31" t="s">
        <v>540</v>
      </c>
      <c r="E153" s="25"/>
      <c r="F153" s="25">
        <f t="shared" ref="F153:N153" si="21">SUM(F127,F139,F149)</f>
        <v>-98.533000000000015</v>
      </c>
      <c r="G153" s="25">
        <f t="shared" si="21"/>
        <v>76.314999999999998</v>
      </c>
      <c r="H153" s="25">
        <f t="shared" si="21"/>
        <v>443.18100000000015</v>
      </c>
      <c r="I153" s="25">
        <f t="shared" si="21"/>
        <v>-376.98900000000003</v>
      </c>
      <c r="J153" s="25">
        <f t="shared" si="21"/>
        <v>2094.5880000000006</v>
      </c>
      <c r="K153" s="25">
        <f t="shared" si="21"/>
        <v>3573.316000000003</v>
      </c>
      <c r="L153" s="25">
        <f t="shared" si="21"/>
        <v>-3465.6389999999947</v>
      </c>
      <c r="M153" s="25">
        <f t="shared" si="21"/>
        <v>-267.28599999999915</v>
      </c>
      <c r="N153" s="25">
        <f t="shared" si="21"/>
        <v>-923.66000000000076</v>
      </c>
      <c r="O153" s="25"/>
      <c r="P153" s="25"/>
      <c r="Q153" s="25"/>
      <c r="R153" s="25"/>
      <c r="S153" s="25"/>
    </row>
    <row r="154" spans="1:19" ht="15" customHeight="1" x14ac:dyDescent="0.45">
      <c r="B154" s="2"/>
      <c r="D154" s="31" t="s">
        <v>541</v>
      </c>
      <c r="E154" s="25"/>
      <c r="F154" s="25"/>
      <c r="G154" s="25"/>
      <c r="H154" s="25"/>
      <c r="I154" s="25"/>
      <c r="J154" s="25"/>
      <c r="K154" s="25"/>
      <c r="L154" s="25"/>
      <c r="M154" s="25"/>
      <c r="N154" s="25"/>
      <c r="O154" s="25"/>
      <c r="P154" s="25"/>
      <c r="Q154" s="25"/>
      <c r="R154" s="25"/>
      <c r="S154" s="25"/>
    </row>
    <row r="155" spans="1:19" ht="15" customHeight="1" x14ac:dyDescent="0.45">
      <c r="B155" s="2"/>
      <c r="D155" s="31" t="s">
        <v>542</v>
      </c>
      <c r="E155" s="25"/>
      <c r="F155" s="25"/>
      <c r="G155" s="25"/>
      <c r="H155" s="25"/>
      <c r="I155" s="25"/>
      <c r="J155" s="25"/>
      <c r="K155" s="25"/>
      <c r="L155" s="25"/>
      <c r="M155" s="25"/>
      <c r="N155" s="25"/>
      <c r="O155" s="25"/>
      <c r="P155" s="25"/>
      <c r="Q155" s="25"/>
      <c r="R155" s="25"/>
      <c r="S155" s="25"/>
    </row>
    <row r="156" spans="1:19" s="29" customFormat="1" ht="15" customHeight="1" x14ac:dyDescent="0.45">
      <c r="A156" s="1"/>
      <c r="B156" s="2"/>
      <c r="C156" s="1"/>
      <c r="D156" s="478" t="s">
        <v>543</v>
      </c>
      <c r="E156" s="477"/>
      <c r="F156" s="477">
        <f t="shared" ref="F156:N156" si="22">SUM(F153:F155)</f>
        <v>-98.533000000000015</v>
      </c>
      <c r="G156" s="477">
        <f t="shared" si="22"/>
        <v>76.314999999999998</v>
      </c>
      <c r="H156" s="477">
        <f t="shared" si="22"/>
        <v>443.18100000000015</v>
      </c>
      <c r="I156" s="477">
        <f t="shared" si="22"/>
        <v>-376.98900000000003</v>
      </c>
      <c r="J156" s="477">
        <f t="shared" si="22"/>
        <v>2094.5880000000006</v>
      </c>
      <c r="K156" s="477">
        <f t="shared" si="22"/>
        <v>3573.316000000003</v>
      </c>
      <c r="L156" s="477">
        <f t="shared" si="22"/>
        <v>-3465.6389999999947</v>
      </c>
      <c r="M156" s="477">
        <f t="shared" si="22"/>
        <v>-267.28599999999915</v>
      </c>
      <c r="N156" s="477">
        <f t="shared" si="22"/>
        <v>-923.66000000000076</v>
      </c>
      <c r="O156" s="477"/>
      <c r="P156" s="477"/>
      <c r="Q156" s="477"/>
      <c r="R156" s="477"/>
      <c r="S156" s="477"/>
    </row>
    <row r="157" spans="1:19" s="472" customFormat="1" ht="15" customHeight="1" x14ac:dyDescent="0.45">
      <c r="A157" s="475"/>
      <c r="B157" s="476"/>
      <c r="C157" s="475"/>
      <c r="D157" s="474" t="s">
        <v>301</v>
      </c>
      <c r="E157" s="473"/>
      <c r="F157" s="473"/>
      <c r="G157" s="473"/>
      <c r="H157" s="473"/>
      <c r="I157" s="473"/>
      <c r="J157" s="473"/>
      <c r="K157" s="473"/>
      <c r="L157" s="473"/>
      <c r="M157" s="473"/>
      <c r="N157" s="473"/>
      <c r="O157" s="473"/>
      <c r="P157" s="473"/>
      <c r="Q157" s="473"/>
      <c r="R157" s="473"/>
      <c r="S157" s="473"/>
    </row>
    <row r="158" spans="1:19" ht="15" customHeight="1" x14ac:dyDescent="0.45">
      <c r="B158" s="2"/>
      <c r="D158" s="31"/>
      <c r="E158" s="25"/>
      <c r="F158" s="25"/>
      <c r="G158" s="25"/>
      <c r="H158" s="25"/>
      <c r="I158" s="25"/>
      <c r="J158" s="25"/>
      <c r="K158" s="25"/>
      <c r="L158" s="25"/>
      <c r="M158" s="25"/>
      <c r="N158" s="25"/>
      <c r="O158" s="25"/>
      <c r="P158" s="25"/>
      <c r="Q158" s="25"/>
      <c r="R158" s="25"/>
      <c r="S158" s="25"/>
    </row>
    <row r="159" spans="1:19" ht="15" customHeight="1" x14ac:dyDescent="0.45">
      <c r="B159" s="2"/>
      <c r="D159" s="31"/>
      <c r="E159" s="25"/>
      <c r="F159" s="25"/>
      <c r="G159" s="25"/>
      <c r="H159" s="25"/>
      <c r="I159" s="25"/>
      <c r="J159" s="25"/>
      <c r="K159" s="25"/>
      <c r="L159" s="25"/>
      <c r="M159" s="25"/>
      <c r="N159" s="25"/>
      <c r="O159" s="25"/>
      <c r="P159" s="25"/>
      <c r="Q159" s="25"/>
      <c r="R159" s="25"/>
      <c r="S159" s="25"/>
    </row>
    <row r="160" spans="1:19" ht="15" customHeight="1" x14ac:dyDescent="0.45">
      <c r="B160" s="2"/>
      <c r="D160" s="31"/>
      <c r="E160" s="25"/>
      <c r="F160" s="25"/>
      <c r="G160" s="25"/>
      <c r="H160" s="25"/>
      <c r="I160" s="25"/>
      <c r="J160" s="25"/>
      <c r="K160" s="25"/>
      <c r="L160" s="25"/>
      <c r="M160" s="25"/>
      <c r="N160" s="25"/>
      <c r="O160" s="25"/>
      <c r="P160" s="25"/>
      <c r="Q160" s="25"/>
      <c r="R160" s="25"/>
      <c r="S160" s="25"/>
    </row>
    <row r="161" spans="2:19" ht="15" customHeight="1" x14ac:dyDescent="0.45">
      <c r="B161" s="2"/>
      <c r="D161" s="31"/>
      <c r="E161" s="25"/>
      <c r="F161" s="25"/>
      <c r="G161" s="25"/>
      <c r="H161" s="25"/>
      <c r="I161" s="25"/>
      <c r="J161" s="25"/>
      <c r="K161" s="25"/>
      <c r="L161" s="25"/>
      <c r="M161" s="25"/>
      <c r="N161" s="25"/>
      <c r="O161" s="25"/>
      <c r="P161" s="25"/>
      <c r="Q161" s="25"/>
      <c r="R161" s="25"/>
      <c r="S161" s="25"/>
    </row>
    <row r="162" spans="2:19" ht="15" customHeight="1" x14ac:dyDescent="0.45">
      <c r="B162" s="2"/>
      <c r="D162" s="31"/>
      <c r="E162" s="25"/>
      <c r="F162" s="25"/>
      <c r="G162" s="25"/>
      <c r="H162" s="25"/>
      <c r="I162" s="25"/>
      <c r="J162" s="25"/>
      <c r="K162" s="25"/>
      <c r="L162" s="25"/>
      <c r="M162" s="25"/>
      <c r="N162" s="25"/>
      <c r="O162" s="25"/>
      <c r="P162" s="25"/>
      <c r="Q162" s="25"/>
      <c r="R162" s="25"/>
      <c r="S162" s="25"/>
    </row>
    <row r="163" spans="2:19" ht="15" customHeight="1" x14ac:dyDescent="0.45">
      <c r="B163" s="2"/>
      <c r="D163" s="31"/>
      <c r="E163" s="25"/>
      <c r="F163" s="25"/>
      <c r="G163" s="25"/>
      <c r="H163" s="25"/>
      <c r="I163" s="25"/>
      <c r="J163" s="25"/>
      <c r="K163" s="25"/>
      <c r="L163" s="25"/>
      <c r="M163" s="25"/>
      <c r="N163" s="25"/>
      <c r="O163" s="25"/>
      <c r="P163" s="25"/>
      <c r="Q163" s="25"/>
      <c r="R163" s="25"/>
      <c r="S163" s="25"/>
    </row>
    <row r="164" spans="2:19" ht="15" customHeight="1" x14ac:dyDescent="0.45">
      <c r="B164" s="2"/>
      <c r="D164" s="31"/>
      <c r="E164" s="25"/>
      <c r="F164" s="25"/>
      <c r="G164" s="25"/>
      <c r="H164" s="25"/>
      <c r="I164" s="25"/>
      <c r="J164" s="25"/>
      <c r="K164" s="25"/>
      <c r="L164" s="25"/>
      <c r="M164" s="25"/>
      <c r="N164" s="25"/>
      <c r="O164" s="25"/>
      <c r="P164" s="25"/>
      <c r="Q164" s="25"/>
      <c r="R164" s="25"/>
      <c r="S164" s="25"/>
    </row>
    <row r="165" spans="2:19" ht="15" customHeight="1" x14ac:dyDescent="0.45">
      <c r="B165" s="2"/>
      <c r="D165" s="31"/>
      <c r="E165" s="25"/>
      <c r="F165" s="25"/>
      <c r="G165" s="25"/>
      <c r="H165" s="25"/>
      <c r="I165" s="25"/>
      <c r="J165" s="25"/>
      <c r="K165" s="25"/>
      <c r="L165" s="25"/>
      <c r="M165" s="25"/>
      <c r="N165" s="25"/>
      <c r="O165" s="25"/>
      <c r="P165" s="25"/>
      <c r="Q165" s="25"/>
      <c r="R165" s="25"/>
      <c r="S165" s="25"/>
    </row>
    <row r="166" spans="2:19" ht="15" customHeight="1" x14ac:dyDescent="0.45">
      <c r="B166" s="2"/>
      <c r="D166" s="471"/>
      <c r="E166" s="470"/>
      <c r="F166" s="470"/>
      <c r="G166" s="470"/>
      <c r="H166" s="470"/>
      <c r="I166" s="470"/>
      <c r="J166" s="470"/>
      <c r="K166" s="470"/>
      <c r="L166" s="25"/>
      <c r="M166" s="25"/>
      <c r="N166" s="25"/>
      <c r="O166" s="25"/>
      <c r="P166" s="25"/>
      <c r="Q166" s="25"/>
      <c r="R166" s="25"/>
      <c r="S166" s="25"/>
    </row>
    <row r="167" spans="2:19" ht="15" customHeight="1" x14ac:dyDescent="0.45">
      <c r="B167" s="2"/>
      <c r="D167" s="468"/>
      <c r="G167" s="469"/>
      <c r="H167" s="469"/>
      <c r="I167" s="470"/>
      <c r="J167" s="469"/>
      <c r="K167" s="469"/>
      <c r="L167" s="469"/>
      <c r="M167" s="469"/>
      <c r="N167" s="25"/>
      <c r="O167" s="25"/>
      <c r="P167" s="25"/>
      <c r="Q167" s="25"/>
      <c r="R167" s="25"/>
      <c r="S167" s="25"/>
    </row>
    <row r="168" spans="2:19" ht="15" customHeight="1" x14ac:dyDescent="0.45">
      <c r="B168" s="2"/>
      <c r="D168" s="468"/>
      <c r="G168" s="469"/>
      <c r="H168" s="470"/>
      <c r="I168" s="470"/>
      <c r="J168" s="470"/>
      <c r="K168" s="470"/>
      <c r="L168" s="469"/>
      <c r="M168" s="469"/>
      <c r="N168" s="25"/>
      <c r="O168" s="25"/>
      <c r="P168" s="25"/>
      <c r="Q168" s="25"/>
      <c r="R168" s="25"/>
      <c r="S168" s="25"/>
    </row>
    <row r="169" spans="2:19" ht="15" customHeight="1" x14ac:dyDescent="0.45">
      <c r="B169" s="2"/>
      <c r="D169" s="31"/>
      <c r="E169" s="25"/>
      <c r="F169" s="25"/>
      <c r="G169" s="25"/>
      <c r="H169" s="25"/>
      <c r="I169" s="25"/>
      <c r="J169" s="25"/>
      <c r="K169" s="25"/>
      <c r="L169" s="25"/>
      <c r="M169" s="25"/>
      <c r="N169" s="25"/>
      <c r="O169" s="25"/>
      <c r="P169" s="25"/>
      <c r="Q169" s="25"/>
      <c r="R169" s="25"/>
      <c r="S169" s="25"/>
    </row>
    <row r="170" spans="2:19" ht="15" customHeight="1" x14ac:dyDescent="0.45">
      <c r="B170" s="2"/>
      <c r="D170" s="468"/>
      <c r="E170" s="25"/>
      <c r="F170" s="25"/>
      <c r="G170" s="25"/>
      <c r="H170" s="25"/>
      <c r="I170" s="25"/>
      <c r="J170" s="25"/>
      <c r="K170" s="25"/>
      <c r="L170" s="25"/>
      <c r="M170" s="25"/>
      <c r="N170" s="25"/>
      <c r="O170" s="25"/>
      <c r="P170" s="25"/>
      <c r="Q170" s="25"/>
      <c r="R170" s="25"/>
      <c r="S170" s="25"/>
    </row>
    <row r="171" spans="2:19" ht="15" customHeight="1" x14ac:dyDescent="0.45">
      <c r="B171" s="2"/>
      <c r="D171" s="468"/>
      <c r="E171" s="25"/>
      <c r="F171" s="25"/>
      <c r="G171" s="25"/>
      <c r="H171" s="25"/>
      <c r="I171" s="25"/>
      <c r="J171" s="25"/>
      <c r="K171" s="25"/>
      <c r="L171" s="25"/>
      <c r="M171" s="25"/>
      <c r="N171" s="25"/>
      <c r="O171" s="25"/>
      <c r="P171" s="25"/>
      <c r="Q171" s="25"/>
      <c r="R171" s="25"/>
      <c r="S171" s="25"/>
    </row>
    <row r="172" spans="2:19" ht="15" customHeight="1" x14ac:dyDescent="0.45">
      <c r="B172" s="2"/>
      <c r="D172" s="31"/>
      <c r="E172" s="25"/>
      <c r="F172" s="25"/>
      <c r="G172" s="25"/>
      <c r="H172" s="25"/>
      <c r="I172" s="25"/>
      <c r="J172" s="25"/>
      <c r="K172" s="25"/>
      <c r="L172" s="25"/>
      <c r="M172" s="25"/>
      <c r="N172" s="25"/>
      <c r="O172" s="25"/>
      <c r="P172" s="25"/>
      <c r="Q172" s="25"/>
      <c r="R172" s="25"/>
      <c r="S172" s="25"/>
    </row>
    <row r="173" spans="2:19" ht="15" customHeight="1" x14ac:dyDescent="0.45">
      <c r="B173" s="2"/>
      <c r="D173" s="31"/>
      <c r="E173" s="25"/>
      <c r="F173" s="25"/>
      <c r="G173" s="25"/>
      <c r="H173" s="25"/>
      <c r="I173" s="25"/>
      <c r="J173" s="25"/>
      <c r="K173" s="25"/>
      <c r="L173" s="25"/>
      <c r="M173" s="25"/>
      <c r="N173" s="25"/>
      <c r="O173" s="25"/>
      <c r="P173" s="25"/>
      <c r="Q173" s="25"/>
      <c r="R173" s="25"/>
      <c r="S173" s="25"/>
    </row>
    <row r="174" spans="2:19" ht="15" customHeight="1" x14ac:dyDescent="0.45">
      <c r="B174" s="2"/>
      <c r="E174" s="25"/>
      <c r="F174" s="25"/>
      <c r="G174" s="25"/>
      <c r="H174" s="25"/>
      <c r="I174" s="25"/>
      <c r="J174" s="25"/>
      <c r="K174" s="25"/>
      <c r="L174" s="25"/>
      <c r="M174" s="25"/>
      <c r="N174" s="25"/>
      <c r="O174" s="25"/>
      <c r="P174" s="25"/>
      <c r="Q174" s="25"/>
      <c r="R174" s="25"/>
      <c r="S174" s="25"/>
    </row>
    <row r="175" spans="2:19" ht="15" customHeight="1" x14ac:dyDescent="0.45">
      <c r="B175" s="2"/>
      <c r="D175" s="31"/>
      <c r="E175" s="25"/>
      <c r="F175" s="25"/>
      <c r="G175" s="25"/>
      <c r="H175" s="25"/>
      <c r="I175" s="25"/>
      <c r="J175" s="25"/>
      <c r="K175" s="25"/>
      <c r="L175" s="25"/>
      <c r="M175" s="25"/>
      <c r="N175" s="25"/>
      <c r="O175" s="25"/>
      <c r="P175" s="25"/>
      <c r="Q175" s="25"/>
      <c r="R175" s="25"/>
      <c r="S175" s="25"/>
    </row>
    <row r="176" spans="2:19" ht="15" customHeight="1" x14ac:dyDescent="0.45">
      <c r="B176" s="2"/>
      <c r="D176" s="31"/>
      <c r="E176" s="25"/>
      <c r="F176" s="25"/>
      <c r="G176" s="25"/>
      <c r="H176" s="25"/>
      <c r="I176" s="25"/>
      <c r="J176" s="25"/>
      <c r="K176" s="25"/>
      <c r="L176" s="25"/>
      <c r="M176" s="25"/>
      <c r="N176" s="25"/>
      <c r="O176" s="25"/>
      <c r="P176" s="25"/>
      <c r="Q176" s="25"/>
      <c r="R176" s="25"/>
      <c r="S176" s="25"/>
    </row>
    <row r="177" spans="2:19" ht="15" customHeight="1" x14ac:dyDescent="0.45">
      <c r="B177" s="2"/>
      <c r="D177" s="31"/>
      <c r="E177" s="25"/>
      <c r="F177" s="25"/>
      <c r="G177" s="25"/>
      <c r="H177" s="25"/>
      <c r="I177" s="25"/>
      <c r="J177" s="25"/>
      <c r="K177" s="25"/>
      <c r="L177" s="25"/>
      <c r="M177" s="25"/>
      <c r="N177" s="25"/>
      <c r="O177" s="25"/>
      <c r="P177" s="25"/>
      <c r="Q177" s="25"/>
      <c r="R177" s="25"/>
      <c r="S177" s="25"/>
    </row>
    <row r="178" spans="2:19" ht="15" customHeight="1" x14ac:dyDescent="0.45">
      <c r="B178" s="2"/>
      <c r="D178" s="31"/>
      <c r="E178" s="25"/>
      <c r="F178" s="25"/>
      <c r="G178" s="25"/>
      <c r="H178" s="25"/>
      <c r="I178" s="25"/>
      <c r="J178" s="25"/>
      <c r="K178" s="25"/>
      <c r="L178" s="25"/>
      <c r="M178" s="25"/>
      <c r="N178" s="25"/>
      <c r="O178" s="25"/>
      <c r="P178" s="25"/>
      <c r="Q178" s="25"/>
      <c r="R178" s="25"/>
      <c r="S178" s="25"/>
    </row>
    <row r="179" spans="2:19" ht="15" customHeight="1" x14ac:dyDescent="0.45">
      <c r="B179" s="2"/>
    </row>
    <row r="180" spans="2:19" ht="15" customHeight="1" x14ac:dyDescent="0.45">
      <c r="B180" s="2"/>
      <c r="D180" s="31"/>
      <c r="E180" s="25"/>
      <c r="F180" s="25"/>
      <c r="G180" s="25"/>
      <c r="H180" s="25"/>
      <c r="I180" s="25"/>
      <c r="J180" s="25"/>
      <c r="K180" s="25"/>
      <c r="L180" s="25"/>
      <c r="M180" s="25"/>
      <c r="N180" s="25"/>
      <c r="O180" s="25"/>
      <c r="P180" s="25"/>
      <c r="Q180" s="25"/>
      <c r="R180" s="25"/>
      <c r="S180" s="25"/>
    </row>
    <row r="181" spans="2:19" ht="15" customHeight="1" x14ac:dyDescent="0.45">
      <c r="B181" s="2"/>
      <c r="D181" s="31"/>
      <c r="E181" s="25"/>
      <c r="F181" s="25"/>
      <c r="G181" s="25"/>
      <c r="H181" s="25"/>
      <c r="I181" s="25"/>
      <c r="J181" s="25"/>
      <c r="K181" s="25"/>
      <c r="L181" s="25"/>
      <c r="M181" s="25"/>
      <c r="N181" s="25"/>
      <c r="O181" s="25"/>
      <c r="P181" s="25"/>
      <c r="Q181" s="25"/>
      <c r="R181" s="25"/>
      <c r="S181" s="25"/>
    </row>
    <row r="182" spans="2:19" ht="15" customHeight="1" x14ac:dyDescent="0.45">
      <c r="B182" s="2"/>
      <c r="D182" s="31"/>
      <c r="E182" s="25"/>
      <c r="F182" s="25"/>
      <c r="G182" s="25"/>
      <c r="H182" s="25"/>
      <c r="I182" s="25"/>
      <c r="J182" s="25"/>
      <c r="K182" s="25"/>
      <c r="L182" s="25"/>
      <c r="M182" s="25"/>
      <c r="N182" s="25"/>
      <c r="O182" s="25"/>
      <c r="P182" s="25"/>
      <c r="Q182" s="25"/>
      <c r="R182" s="25"/>
      <c r="S182" s="25"/>
    </row>
    <row r="183" spans="2:19" ht="15" customHeight="1" x14ac:dyDescent="0.45">
      <c r="B183" s="2"/>
      <c r="D183" s="31"/>
      <c r="E183" s="25"/>
      <c r="F183" s="25"/>
      <c r="G183" s="25"/>
      <c r="H183" s="25"/>
      <c r="I183" s="25"/>
      <c r="J183" s="25"/>
      <c r="K183" s="25"/>
      <c r="L183" s="25"/>
      <c r="M183" s="25"/>
      <c r="N183" s="25"/>
      <c r="O183" s="25"/>
      <c r="P183" s="25"/>
      <c r="Q183" s="25"/>
      <c r="R183" s="25"/>
      <c r="S183" s="25"/>
    </row>
    <row r="184" spans="2:19" ht="15" customHeight="1" x14ac:dyDescent="0.45">
      <c r="B184" s="2"/>
      <c r="D184" s="31"/>
      <c r="E184" s="25"/>
      <c r="F184" s="25"/>
      <c r="G184" s="25"/>
      <c r="H184" s="25"/>
      <c r="I184" s="25"/>
      <c r="J184" s="25"/>
      <c r="K184" s="25"/>
      <c r="L184" s="25"/>
      <c r="M184" s="25"/>
      <c r="N184" s="25"/>
      <c r="O184" s="25"/>
      <c r="P184" s="25"/>
      <c r="Q184" s="25"/>
      <c r="R184" s="25"/>
      <c r="S184" s="25"/>
    </row>
    <row r="185" spans="2:19" ht="15" customHeight="1" x14ac:dyDescent="0.45">
      <c r="B185" s="2"/>
      <c r="D185" s="31"/>
      <c r="E185" s="25"/>
      <c r="F185" s="25"/>
      <c r="G185" s="25"/>
      <c r="H185" s="25"/>
      <c r="I185" s="25"/>
      <c r="J185" s="25"/>
      <c r="K185" s="25"/>
      <c r="L185" s="25"/>
      <c r="M185" s="25"/>
      <c r="N185" s="25"/>
      <c r="O185" s="25"/>
      <c r="P185" s="25"/>
      <c r="Q185" s="25"/>
      <c r="R185" s="25"/>
      <c r="S185" s="25"/>
    </row>
    <row r="186" spans="2:19" ht="15" customHeight="1" x14ac:dyDescent="0.45">
      <c r="B186" s="2"/>
      <c r="D186" s="31"/>
      <c r="E186" s="25"/>
      <c r="F186" s="25"/>
      <c r="G186" s="25"/>
      <c r="H186" s="25"/>
      <c r="I186" s="25"/>
      <c r="J186" s="25"/>
      <c r="K186" s="25"/>
      <c r="L186" s="25"/>
      <c r="M186" s="25"/>
      <c r="N186" s="25"/>
      <c r="O186" s="25"/>
      <c r="P186" s="25"/>
      <c r="Q186" s="25"/>
      <c r="R186" s="25"/>
      <c r="S186" s="25"/>
    </row>
    <row r="187" spans="2:19" ht="15" customHeight="1" x14ac:dyDescent="0.45">
      <c r="B187" s="2"/>
      <c r="D187" s="31"/>
      <c r="E187" s="25"/>
      <c r="F187" s="25"/>
      <c r="G187" s="25"/>
      <c r="H187" s="25"/>
      <c r="I187" s="25"/>
      <c r="J187" s="25"/>
      <c r="K187" s="25"/>
      <c r="L187" s="25"/>
      <c r="M187" s="25"/>
      <c r="N187" s="25"/>
      <c r="O187" s="25"/>
      <c r="P187" s="25"/>
      <c r="Q187" s="25"/>
      <c r="R187" s="25"/>
      <c r="S187" s="25"/>
    </row>
    <row r="188" spans="2:19" ht="15" customHeight="1" x14ac:dyDescent="0.45">
      <c r="B188" s="2"/>
      <c r="D188" s="31"/>
      <c r="E188" s="25"/>
      <c r="F188" s="25"/>
      <c r="G188" s="25"/>
      <c r="H188" s="25"/>
      <c r="I188" s="25"/>
      <c r="J188" s="25"/>
      <c r="K188" s="25"/>
      <c r="L188" s="25"/>
      <c r="M188" s="25"/>
      <c r="N188" s="25"/>
      <c r="O188" s="25"/>
      <c r="P188" s="25"/>
      <c r="Q188" s="25"/>
      <c r="R188" s="25"/>
      <c r="S188" s="25"/>
    </row>
    <row r="189" spans="2:19" ht="15" customHeight="1" x14ac:dyDescent="0.45">
      <c r="B189" s="2"/>
      <c r="D189" s="31"/>
      <c r="E189" s="25"/>
      <c r="F189" s="25"/>
      <c r="G189" s="25"/>
      <c r="H189" s="25"/>
      <c r="I189" s="25"/>
      <c r="J189" s="25"/>
      <c r="K189" s="25"/>
      <c r="L189" s="25"/>
      <c r="M189" s="25"/>
      <c r="N189" s="25"/>
      <c r="O189" s="25"/>
      <c r="P189" s="25"/>
      <c r="Q189" s="25"/>
      <c r="R189" s="25"/>
      <c r="S189" s="25"/>
    </row>
    <row r="190" spans="2:19" ht="15" customHeight="1" x14ac:dyDescent="0.45">
      <c r="B190" s="2"/>
      <c r="D190" s="31"/>
      <c r="E190" s="25"/>
      <c r="F190" s="25"/>
      <c r="G190" s="25"/>
      <c r="H190" s="25"/>
      <c r="I190" s="25"/>
      <c r="J190" s="25"/>
      <c r="K190" s="25"/>
      <c r="L190" s="25"/>
      <c r="M190" s="25"/>
      <c r="N190" s="25"/>
      <c r="O190" s="25"/>
      <c r="P190" s="25"/>
      <c r="Q190" s="25"/>
      <c r="R190" s="25"/>
      <c r="S190" s="25"/>
    </row>
    <row r="191" spans="2:19" ht="15" customHeight="1" x14ac:dyDescent="0.45">
      <c r="B191" s="2"/>
      <c r="D191" s="31"/>
      <c r="E191" s="25"/>
      <c r="F191" s="25"/>
      <c r="G191" s="25"/>
      <c r="H191" s="25"/>
      <c r="I191" s="25"/>
      <c r="J191" s="25"/>
      <c r="K191" s="25"/>
      <c r="L191" s="25"/>
      <c r="M191" s="25"/>
      <c r="N191" s="25"/>
      <c r="O191" s="25"/>
      <c r="P191" s="25"/>
      <c r="Q191" s="25"/>
      <c r="R191" s="25"/>
      <c r="S191" s="25"/>
    </row>
    <row r="192" spans="2:19" ht="15" customHeight="1" x14ac:dyDescent="0.45">
      <c r="B192" s="2"/>
      <c r="D192" s="31"/>
      <c r="E192" s="25"/>
      <c r="F192" s="25"/>
      <c r="G192" s="25"/>
      <c r="H192" s="25"/>
      <c r="I192" s="25"/>
      <c r="J192" s="25"/>
      <c r="K192" s="25"/>
      <c r="L192" s="25"/>
      <c r="M192" s="25"/>
      <c r="N192" s="25"/>
      <c r="O192" s="25"/>
      <c r="P192" s="25"/>
      <c r="Q192" s="25"/>
      <c r="R192" s="25"/>
      <c r="S192" s="25"/>
    </row>
    <row r="193" spans="2:19" ht="15" customHeight="1" x14ac:dyDescent="0.45">
      <c r="B193" s="2"/>
      <c r="D193" s="31"/>
      <c r="E193" s="25"/>
      <c r="F193" s="25"/>
      <c r="G193" s="25"/>
      <c r="H193" s="25"/>
      <c r="I193" s="25"/>
      <c r="J193" s="25"/>
      <c r="K193" s="25"/>
      <c r="L193" s="25"/>
      <c r="M193" s="25"/>
      <c r="N193" s="25"/>
      <c r="O193" s="25"/>
      <c r="P193" s="25"/>
      <c r="Q193" s="25"/>
      <c r="R193" s="25"/>
      <c r="S193" s="25"/>
    </row>
    <row r="194" spans="2:19" ht="15" customHeight="1" x14ac:dyDescent="0.45">
      <c r="B194" s="2"/>
      <c r="D194" s="31"/>
      <c r="E194" s="25"/>
      <c r="F194" s="25"/>
      <c r="G194" s="25"/>
      <c r="H194" s="25"/>
      <c r="I194" s="25"/>
      <c r="J194" s="25"/>
      <c r="K194" s="25"/>
      <c r="L194" s="25"/>
      <c r="M194" s="25"/>
      <c r="N194" s="25"/>
      <c r="O194" s="25"/>
      <c r="P194" s="25"/>
      <c r="Q194" s="25"/>
      <c r="R194" s="25"/>
      <c r="S194" s="25"/>
    </row>
    <row r="195" spans="2:19" ht="15" customHeight="1" x14ac:dyDescent="0.45">
      <c r="B195" s="2"/>
      <c r="D195" s="31"/>
      <c r="E195" s="25"/>
      <c r="F195" s="25"/>
      <c r="G195" s="25"/>
      <c r="H195" s="25"/>
      <c r="I195" s="25"/>
      <c r="J195" s="25"/>
      <c r="K195" s="25"/>
      <c r="L195" s="25"/>
      <c r="M195" s="25"/>
      <c r="N195" s="25"/>
      <c r="O195" s="25"/>
      <c r="P195" s="25"/>
      <c r="Q195" s="25"/>
      <c r="R195" s="25"/>
      <c r="S195" s="25"/>
    </row>
    <row r="196" spans="2:19" ht="15" customHeight="1" x14ac:dyDescent="0.45">
      <c r="B196" s="2"/>
      <c r="D196" s="31"/>
      <c r="E196" s="25"/>
      <c r="F196" s="25"/>
      <c r="G196" s="25"/>
      <c r="H196" s="25"/>
      <c r="I196" s="25"/>
      <c r="J196" s="25"/>
      <c r="K196" s="25"/>
      <c r="L196" s="25"/>
      <c r="M196" s="25"/>
      <c r="N196" s="25"/>
      <c r="O196" s="25"/>
      <c r="P196" s="25"/>
      <c r="Q196" s="25"/>
      <c r="R196" s="25"/>
      <c r="S196" s="25"/>
    </row>
    <row r="197" spans="2:19" ht="15" customHeight="1" x14ac:dyDescent="0.45">
      <c r="B197" s="2"/>
      <c r="D197" s="31"/>
      <c r="E197" s="25"/>
      <c r="F197" s="25"/>
      <c r="G197" s="25"/>
      <c r="H197" s="25"/>
      <c r="I197" s="25"/>
      <c r="J197" s="25"/>
      <c r="K197" s="25"/>
      <c r="L197" s="25"/>
      <c r="M197" s="25"/>
      <c r="N197" s="25"/>
      <c r="O197" s="25"/>
      <c r="P197" s="25"/>
      <c r="Q197" s="25"/>
      <c r="R197" s="25"/>
      <c r="S197" s="25"/>
    </row>
    <row r="198" spans="2:19" ht="15" customHeight="1" x14ac:dyDescent="0.45">
      <c r="B198" s="2"/>
      <c r="D198" s="31"/>
      <c r="E198" s="25"/>
      <c r="F198" s="25"/>
      <c r="G198" s="25"/>
      <c r="H198" s="25"/>
      <c r="I198" s="25"/>
      <c r="J198" s="25"/>
      <c r="K198" s="25"/>
      <c r="L198" s="25"/>
      <c r="M198" s="25"/>
      <c r="N198" s="25"/>
      <c r="O198" s="25"/>
      <c r="P198" s="25"/>
      <c r="Q198" s="25"/>
      <c r="R198" s="25"/>
      <c r="S198" s="25"/>
    </row>
    <row r="199" spans="2:19" ht="15" customHeight="1" x14ac:dyDescent="0.45">
      <c r="B199" s="2"/>
      <c r="D199" s="31"/>
      <c r="E199" s="25"/>
      <c r="F199" s="25"/>
      <c r="G199" s="25"/>
      <c r="H199" s="25"/>
      <c r="I199" s="25"/>
      <c r="J199" s="25"/>
      <c r="K199" s="25"/>
      <c r="L199" s="25"/>
      <c r="M199" s="25"/>
      <c r="N199" s="25"/>
      <c r="O199" s="25"/>
      <c r="P199" s="25"/>
      <c r="Q199" s="25"/>
      <c r="R199" s="25"/>
      <c r="S199" s="25"/>
    </row>
    <row r="200" spans="2:19" ht="15" customHeight="1" x14ac:dyDescent="0.45">
      <c r="B200" s="2"/>
      <c r="D200" s="31"/>
      <c r="E200" s="25"/>
      <c r="F200" s="25"/>
      <c r="G200" s="25"/>
      <c r="H200" s="25"/>
      <c r="I200" s="25"/>
      <c r="J200" s="25"/>
      <c r="K200" s="25"/>
      <c r="L200" s="25"/>
      <c r="M200" s="25"/>
      <c r="N200" s="25"/>
      <c r="O200" s="25"/>
      <c r="P200" s="25"/>
      <c r="Q200" s="25"/>
      <c r="R200" s="25"/>
      <c r="S200" s="25"/>
    </row>
    <row r="201" spans="2:19" ht="15" customHeight="1" x14ac:dyDescent="0.45">
      <c r="B201" s="2"/>
      <c r="D201" s="31"/>
      <c r="E201" s="25"/>
      <c r="F201" s="25"/>
      <c r="G201" s="25"/>
      <c r="H201" s="25"/>
      <c r="I201" s="25"/>
      <c r="J201" s="25"/>
      <c r="K201" s="25"/>
      <c r="L201" s="25"/>
      <c r="M201" s="25"/>
      <c r="N201" s="25"/>
      <c r="O201" s="25"/>
      <c r="P201" s="25"/>
      <c r="Q201" s="25"/>
      <c r="R201" s="25"/>
      <c r="S201" s="25"/>
    </row>
    <row r="202" spans="2:19" ht="15" customHeight="1" x14ac:dyDescent="0.45">
      <c r="B202" s="2"/>
      <c r="D202" s="31"/>
      <c r="E202" s="25"/>
      <c r="F202" s="25"/>
      <c r="G202" s="25"/>
      <c r="H202" s="25"/>
      <c r="I202" s="25"/>
      <c r="J202" s="25"/>
      <c r="K202" s="25"/>
      <c r="L202" s="25"/>
      <c r="M202" s="25"/>
      <c r="N202" s="25"/>
      <c r="O202" s="25"/>
      <c r="P202" s="25"/>
      <c r="Q202" s="25"/>
      <c r="R202" s="25"/>
      <c r="S202" s="25"/>
    </row>
    <row r="203" spans="2:19" ht="15" customHeight="1" x14ac:dyDescent="0.45">
      <c r="B203" s="2"/>
      <c r="D203" s="31"/>
      <c r="E203" s="25"/>
      <c r="F203" s="25"/>
      <c r="G203" s="25"/>
      <c r="H203" s="25"/>
      <c r="I203" s="25"/>
      <c r="J203" s="25"/>
      <c r="K203" s="25"/>
      <c r="L203" s="25"/>
      <c r="M203" s="25"/>
      <c r="N203" s="25"/>
      <c r="O203" s="25"/>
      <c r="P203" s="25"/>
      <c r="Q203" s="25"/>
      <c r="R203" s="25"/>
      <c r="S203" s="25"/>
    </row>
    <row r="204" spans="2:19" ht="15" customHeight="1" x14ac:dyDescent="0.45">
      <c r="B204" s="2"/>
      <c r="D204" s="31"/>
      <c r="E204" s="25"/>
      <c r="F204" s="25"/>
      <c r="G204" s="25"/>
      <c r="H204" s="25"/>
      <c r="I204" s="25"/>
      <c r="J204" s="25"/>
      <c r="K204" s="25"/>
      <c r="L204" s="25"/>
      <c r="M204" s="25"/>
      <c r="N204" s="25"/>
      <c r="O204" s="25"/>
      <c r="P204" s="25"/>
      <c r="Q204" s="25"/>
      <c r="R204" s="25"/>
      <c r="S204" s="25"/>
    </row>
    <row r="205" spans="2:19" ht="15" customHeight="1" x14ac:dyDescent="0.45">
      <c r="B205" s="2"/>
      <c r="D205" s="31"/>
      <c r="E205" s="25"/>
      <c r="F205" s="25"/>
      <c r="G205" s="25"/>
      <c r="H205" s="25"/>
      <c r="I205" s="25"/>
      <c r="J205" s="25"/>
      <c r="K205" s="25"/>
      <c r="L205" s="25"/>
      <c r="M205" s="25"/>
      <c r="N205" s="25"/>
      <c r="O205" s="25"/>
      <c r="P205" s="25"/>
      <c r="Q205" s="25"/>
      <c r="R205" s="25"/>
      <c r="S205" s="25"/>
    </row>
    <row r="206" spans="2:19" ht="15" customHeight="1" x14ac:dyDescent="0.45">
      <c r="B206" s="2"/>
      <c r="D206" s="31"/>
      <c r="E206" s="25"/>
      <c r="F206" s="25"/>
      <c r="G206" s="25"/>
      <c r="H206" s="25"/>
      <c r="I206" s="25"/>
      <c r="J206" s="25"/>
      <c r="K206" s="25"/>
      <c r="L206" s="25"/>
      <c r="M206" s="25"/>
      <c r="N206" s="25"/>
      <c r="O206" s="25"/>
      <c r="P206" s="25"/>
      <c r="Q206" s="25"/>
      <c r="R206" s="25"/>
      <c r="S206" s="25"/>
    </row>
    <row r="207" spans="2:19" ht="15" customHeight="1" x14ac:dyDescent="0.45">
      <c r="B207" s="2"/>
      <c r="D207" s="31"/>
      <c r="E207" s="25"/>
      <c r="F207" s="25"/>
      <c r="G207" s="25"/>
      <c r="H207" s="25"/>
      <c r="I207" s="25"/>
      <c r="J207" s="25"/>
      <c r="K207" s="25"/>
      <c r="L207" s="25"/>
      <c r="M207" s="25"/>
      <c r="N207" s="25"/>
      <c r="O207" s="25"/>
      <c r="P207" s="25"/>
      <c r="Q207" s="25"/>
      <c r="R207" s="25"/>
      <c r="S207" s="25"/>
    </row>
    <row r="208" spans="2:19" ht="15" customHeight="1" x14ac:dyDescent="0.45">
      <c r="B208" s="2"/>
      <c r="D208" s="31"/>
      <c r="E208" s="25"/>
      <c r="F208" s="25"/>
      <c r="G208" s="25"/>
      <c r="H208" s="25"/>
      <c r="I208" s="25"/>
      <c r="J208" s="25"/>
      <c r="K208" s="25"/>
      <c r="L208" s="25"/>
      <c r="M208" s="25"/>
      <c r="N208" s="25"/>
      <c r="O208" s="25"/>
      <c r="P208" s="25"/>
      <c r="Q208" s="25"/>
      <c r="R208" s="25"/>
      <c r="S208" s="25"/>
    </row>
    <row r="209" spans="1:19" ht="15" customHeight="1" x14ac:dyDescent="0.45">
      <c r="B209" s="2"/>
      <c r="D209" s="31"/>
      <c r="E209" s="25"/>
      <c r="F209" s="25"/>
      <c r="G209" s="25"/>
      <c r="H209" s="25"/>
      <c r="I209" s="25"/>
      <c r="J209" s="25"/>
      <c r="K209" s="25"/>
      <c r="L209" s="25"/>
      <c r="M209" s="25"/>
      <c r="N209" s="25"/>
      <c r="O209" s="25"/>
      <c r="P209" s="25"/>
      <c r="Q209" s="25"/>
      <c r="R209" s="25"/>
      <c r="S209" s="25"/>
    </row>
    <row r="223" spans="1:19" s="467" customFormat="1" ht="15" customHeight="1" x14ac:dyDescent="0.45">
      <c r="A223" s="1"/>
      <c r="B223" s="2" t="s">
        <v>406</v>
      </c>
      <c r="C223" s="2"/>
      <c r="E223" s="24"/>
      <c r="F223" s="24"/>
      <c r="G223" s="24"/>
      <c r="H223" s="24"/>
      <c r="I223" s="24"/>
      <c r="J223" s="24"/>
      <c r="K223" s="24"/>
      <c r="L223" s="24"/>
      <c r="M223" s="24"/>
      <c r="N223" s="24"/>
      <c r="O223" s="24"/>
      <c r="P223" s="24"/>
      <c r="Q223" s="24"/>
      <c r="R223" s="24"/>
      <c r="S223" s="24"/>
    </row>
    <row r="224" spans="1:19" s="467" customFormat="1" ht="15" customHeight="1" x14ac:dyDescent="0.45">
      <c r="A224" s="1"/>
      <c r="B224" s="2" t="s">
        <v>267</v>
      </c>
      <c r="C224" s="2"/>
      <c r="E224" s="24"/>
      <c r="F224" s="24"/>
      <c r="G224" s="24"/>
      <c r="H224" s="24"/>
      <c r="I224" s="24"/>
      <c r="J224" s="24"/>
      <c r="K224" s="24"/>
      <c r="L224" s="24"/>
      <c r="M224" s="24"/>
      <c r="N224" s="24"/>
      <c r="O224" s="24"/>
      <c r="P224" s="24"/>
      <c r="Q224" s="24"/>
      <c r="R224" s="24"/>
      <c r="S224" s="24"/>
    </row>
    <row r="225" spans="1:19" s="467" customFormat="1" ht="15" customHeight="1" x14ac:dyDescent="0.45">
      <c r="A225" s="1"/>
      <c r="B225" s="2" t="s">
        <v>268</v>
      </c>
      <c r="C225" s="2"/>
      <c r="E225" s="24"/>
      <c r="F225" s="24"/>
      <c r="G225" s="24"/>
      <c r="H225" s="24"/>
      <c r="I225" s="24"/>
      <c r="J225" s="24"/>
      <c r="K225" s="24"/>
      <c r="L225" s="24"/>
      <c r="M225" s="24"/>
      <c r="N225" s="24"/>
      <c r="O225" s="24"/>
      <c r="P225" s="24"/>
      <c r="Q225" s="24"/>
      <c r="R225" s="24"/>
      <c r="S225" s="24"/>
    </row>
    <row r="226" spans="1:19" s="467" customFormat="1" ht="15" customHeight="1" x14ac:dyDescent="0.45">
      <c r="A226" s="1"/>
      <c r="B226" s="2" t="s">
        <v>269</v>
      </c>
      <c r="C226" s="2"/>
      <c r="E226" s="24"/>
      <c r="F226" s="24"/>
      <c r="G226" s="24"/>
      <c r="H226" s="24"/>
      <c r="I226" s="24"/>
      <c r="J226" s="24"/>
      <c r="K226" s="24"/>
      <c r="L226" s="24"/>
      <c r="M226" s="24"/>
      <c r="N226" s="24"/>
      <c r="O226" s="24"/>
      <c r="P226" s="24"/>
      <c r="Q226" s="24"/>
      <c r="R226" s="24"/>
      <c r="S226" s="24"/>
    </row>
    <row r="227" spans="1:19" s="467" customFormat="1" ht="15" customHeight="1" x14ac:dyDescent="0.45">
      <c r="A227" s="1"/>
      <c r="B227" s="2" t="s">
        <v>272</v>
      </c>
      <c r="C227" s="2"/>
      <c r="E227" s="24"/>
      <c r="F227" s="24"/>
      <c r="G227" s="24"/>
      <c r="H227" s="24"/>
      <c r="I227" s="24"/>
      <c r="J227" s="24"/>
      <c r="K227" s="24"/>
      <c r="L227" s="24"/>
      <c r="M227" s="24"/>
      <c r="N227" s="24"/>
      <c r="O227" s="24"/>
      <c r="P227" s="24"/>
      <c r="Q227" s="24"/>
      <c r="R227" s="24"/>
      <c r="S227" s="24"/>
    </row>
    <row r="228" spans="1:19" s="467" customFormat="1" ht="15" customHeight="1" x14ac:dyDescent="0.45">
      <c r="A228" s="1"/>
      <c r="B228" s="2" t="s">
        <v>273</v>
      </c>
      <c r="C228" s="2"/>
      <c r="E228" s="24"/>
      <c r="F228" s="24"/>
      <c r="G228" s="24"/>
      <c r="H228" s="24"/>
      <c r="I228" s="24"/>
      <c r="J228" s="24"/>
      <c r="K228" s="24"/>
      <c r="L228" s="24"/>
      <c r="M228" s="24"/>
      <c r="N228" s="24"/>
      <c r="O228" s="24"/>
      <c r="P228" s="24"/>
      <c r="Q228" s="24"/>
      <c r="R228" s="24"/>
      <c r="S228" s="24"/>
    </row>
    <row r="229" spans="1:19" s="467" customFormat="1" ht="15" customHeight="1" x14ac:dyDescent="0.45">
      <c r="A229" s="1"/>
      <c r="B229" s="2" t="s">
        <v>274</v>
      </c>
      <c r="C229" s="2"/>
      <c r="E229" s="24"/>
      <c r="F229" s="24"/>
      <c r="G229" s="24"/>
      <c r="H229" s="24"/>
      <c r="I229" s="24"/>
      <c r="J229" s="24"/>
      <c r="K229" s="24"/>
      <c r="L229" s="24"/>
      <c r="M229" s="24"/>
      <c r="N229" s="24"/>
      <c r="O229" s="24"/>
      <c r="P229" s="24"/>
      <c r="Q229" s="24"/>
      <c r="R229" s="24"/>
      <c r="S229" s="24"/>
    </row>
    <row r="230" spans="1:19" s="467" customFormat="1" ht="15" customHeight="1" x14ac:dyDescent="0.45">
      <c r="A230" s="1"/>
      <c r="B230" s="2" t="s">
        <v>270</v>
      </c>
      <c r="C230" s="2"/>
      <c r="E230" s="24"/>
      <c r="F230" s="24"/>
      <c r="G230" s="24"/>
      <c r="H230" s="24"/>
      <c r="I230" s="24"/>
      <c r="J230" s="24"/>
      <c r="K230" s="24"/>
      <c r="L230" s="24"/>
      <c r="M230" s="24"/>
      <c r="N230" s="24"/>
      <c r="O230" s="24"/>
      <c r="P230" s="24"/>
      <c r="Q230" s="24"/>
      <c r="R230" s="24"/>
      <c r="S230" s="24"/>
    </row>
    <row r="231" spans="1:19" s="467" customFormat="1" ht="15" customHeight="1" x14ac:dyDescent="0.45">
      <c r="A231" s="1"/>
      <c r="B231" s="2" t="s">
        <v>275</v>
      </c>
      <c r="C231" s="2"/>
      <c r="E231" s="24"/>
      <c r="F231" s="24"/>
      <c r="G231" s="24"/>
      <c r="H231" s="24"/>
      <c r="I231" s="24"/>
      <c r="J231" s="24"/>
      <c r="K231" s="24"/>
      <c r="L231" s="24"/>
      <c r="M231" s="24"/>
      <c r="N231" s="24"/>
      <c r="O231" s="24"/>
      <c r="P231" s="24"/>
      <c r="Q231" s="24"/>
      <c r="R231" s="24"/>
      <c r="S231" s="24"/>
    </row>
    <row r="232" spans="1:19" s="467" customFormat="1" ht="15" customHeight="1" x14ac:dyDescent="0.45">
      <c r="A232" s="1"/>
      <c r="B232" s="2" t="s">
        <v>255</v>
      </c>
      <c r="C232" s="2"/>
      <c r="E232" s="24"/>
      <c r="F232" s="24"/>
      <c r="G232" s="24"/>
      <c r="H232" s="24"/>
      <c r="I232" s="24"/>
      <c r="J232" s="24"/>
      <c r="K232" s="24"/>
      <c r="L232" s="24"/>
      <c r="M232" s="24"/>
      <c r="N232" s="24"/>
      <c r="O232" s="24"/>
      <c r="P232" s="24"/>
      <c r="Q232" s="24"/>
      <c r="R232" s="24"/>
      <c r="S232" s="24"/>
    </row>
    <row r="233" spans="1:19" s="467" customFormat="1" ht="15" customHeight="1" x14ac:dyDescent="0.45">
      <c r="A233" s="1"/>
      <c r="B233" s="2" t="s">
        <v>407</v>
      </c>
      <c r="C233" s="2"/>
      <c r="E233" s="24"/>
      <c r="F233" s="24"/>
      <c r="G233" s="24"/>
      <c r="H233" s="24"/>
      <c r="I233" s="24"/>
      <c r="J233" s="24"/>
      <c r="K233" s="24"/>
      <c r="L233" s="24"/>
      <c r="M233" s="24"/>
      <c r="N233" s="24"/>
      <c r="O233" s="24"/>
      <c r="P233" s="24"/>
      <c r="Q233" s="24"/>
      <c r="R233" s="24"/>
      <c r="S233" s="24"/>
    </row>
    <row r="234" spans="1:19" s="467" customFormat="1" ht="15" customHeight="1" x14ac:dyDescent="0.45">
      <c r="A234" s="1"/>
      <c r="B234" s="2" t="s">
        <v>408</v>
      </c>
      <c r="C234" s="2"/>
      <c r="E234" s="24"/>
      <c r="F234" s="24"/>
      <c r="G234" s="24"/>
      <c r="H234" s="24"/>
      <c r="I234" s="24"/>
      <c r="J234" s="24"/>
      <c r="K234" s="24"/>
      <c r="L234" s="24"/>
      <c r="M234" s="24"/>
      <c r="N234" s="24"/>
      <c r="O234" s="24"/>
      <c r="P234" s="24"/>
      <c r="Q234" s="24"/>
      <c r="R234" s="24"/>
      <c r="S234" s="24"/>
    </row>
    <row r="235" spans="1:19" s="467" customFormat="1" ht="15" customHeight="1" x14ac:dyDescent="0.45">
      <c r="A235" s="1"/>
      <c r="B235" s="2" t="s">
        <v>409</v>
      </c>
      <c r="C235" s="2"/>
      <c r="E235" s="24"/>
      <c r="F235" s="24"/>
      <c r="G235" s="24"/>
      <c r="H235" s="24"/>
      <c r="I235" s="24"/>
      <c r="J235" s="24"/>
      <c r="K235" s="24"/>
      <c r="L235" s="24"/>
      <c r="M235" s="24"/>
      <c r="N235" s="24"/>
      <c r="O235" s="24"/>
      <c r="P235" s="24"/>
      <c r="Q235" s="24"/>
      <c r="R235" s="24"/>
      <c r="S235" s="24"/>
    </row>
    <row r="236" spans="1:19" s="467" customFormat="1" ht="15" customHeight="1" x14ac:dyDescent="0.45">
      <c r="A236" s="1"/>
      <c r="B236" s="2" t="s">
        <v>410</v>
      </c>
      <c r="C236" s="2"/>
      <c r="E236" s="24"/>
      <c r="F236" s="24"/>
      <c r="G236" s="24"/>
      <c r="H236" s="24"/>
      <c r="I236" s="24"/>
      <c r="J236" s="24"/>
      <c r="K236" s="24"/>
      <c r="L236" s="24"/>
      <c r="M236" s="24"/>
      <c r="N236" s="24"/>
      <c r="O236" s="24"/>
      <c r="P236" s="24"/>
      <c r="Q236" s="24"/>
      <c r="R236" s="24"/>
      <c r="S236" s="24"/>
    </row>
    <row r="237" spans="1:19" s="467" customFormat="1" ht="15" customHeight="1" x14ac:dyDescent="0.45">
      <c r="A237" s="1"/>
      <c r="B237" s="2" t="s">
        <v>411</v>
      </c>
      <c r="C237" s="2"/>
      <c r="E237" s="24"/>
      <c r="F237" s="24"/>
      <c r="G237" s="24"/>
      <c r="H237" s="24"/>
      <c r="I237" s="24"/>
      <c r="J237" s="24"/>
      <c r="K237" s="24"/>
      <c r="L237" s="24"/>
      <c r="M237" s="24"/>
      <c r="N237" s="24"/>
      <c r="O237" s="24"/>
      <c r="P237" s="24"/>
      <c r="Q237" s="24"/>
      <c r="R237" s="24"/>
      <c r="S237" s="24"/>
    </row>
    <row r="238" spans="1:19" s="467" customFormat="1" ht="15" customHeight="1" x14ac:dyDescent="0.45">
      <c r="A238" s="1"/>
      <c r="B238" s="2" t="s">
        <v>263</v>
      </c>
      <c r="C238" s="2"/>
      <c r="E238" s="24"/>
      <c r="F238" s="24"/>
      <c r="G238" s="24"/>
      <c r="H238" s="24"/>
      <c r="I238" s="24"/>
      <c r="J238" s="24"/>
      <c r="K238" s="24"/>
      <c r="L238" s="24"/>
      <c r="M238" s="24"/>
      <c r="N238" s="24"/>
      <c r="O238" s="24"/>
      <c r="P238" s="24"/>
      <c r="Q238" s="24"/>
      <c r="R238" s="24"/>
      <c r="S238" s="24"/>
    </row>
    <row r="239" spans="1:19" s="467" customFormat="1" ht="15" customHeight="1" x14ac:dyDescent="0.45">
      <c r="A239" s="1"/>
      <c r="B239" s="2" t="s">
        <v>412</v>
      </c>
      <c r="C239" s="2"/>
      <c r="E239" s="24"/>
      <c r="F239" s="24"/>
      <c r="G239" s="24"/>
      <c r="H239" s="24"/>
      <c r="I239" s="24"/>
      <c r="J239" s="24"/>
      <c r="K239" s="24"/>
      <c r="L239" s="24"/>
      <c r="M239" s="24"/>
      <c r="N239" s="24"/>
      <c r="O239" s="24"/>
      <c r="P239" s="24"/>
      <c r="Q239" s="24"/>
      <c r="R239" s="24"/>
      <c r="S239" s="24"/>
    </row>
    <row r="241" spans="1:19" s="467" customFormat="1" ht="15" customHeight="1" x14ac:dyDescent="0.45">
      <c r="A241" s="1"/>
      <c r="B241" s="2" t="s">
        <v>285</v>
      </c>
      <c r="C241" s="1"/>
      <c r="E241" s="24"/>
      <c r="F241" s="24"/>
      <c r="G241" s="24"/>
      <c r="H241" s="24"/>
      <c r="I241" s="24"/>
      <c r="J241" s="24"/>
      <c r="K241" s="24"/>
      <c r="L241" s="24"/>
      <c r="M241" s="24"/>
      <c r="N241" s="24"/>
      <c r="O241" s="24"/>
      <c r="P241" s="24"/>
      <c r="Q241" s="24"/>
      <c r="R241" s="24"/>
      <c r="S241" s="24"/>
    </row>
    <row r="242" spans="1:19" s="467" customFormat="1" ht="15" customHeight="1" x14ac:dyDescent="0.45">
      <c r="A242" s="1"/>
      <c r="B242" s="2" t="s">
        <v>283</v>
      </c>
      <c r="C242" s="1"/>
      <c r="E242" s="24"/>
      <c r="F242" s="24"/>
      <c r="G242" s="24"/>
      <c r="H242" s="24"/>
      <c r="I242" s="24"/>
      <c r="J242" s="24"/>
      <c r="K242" s="24"/>
      <c r="L242" s="24"/>
      <c r="M242" s="24"/>
      <c r="N242" s="24"/>
      <c r="O242" s="24"/>
      <c r="P242" s="24"/>
      <c r="Q242" s="24"/>
      <c r="R242" s="24"/>
      <c r="S242" s="24"/>
    </row>
    <row r="243" spans="1:19" s="467" customFormat="1" ht="15" customHeight="1" x14ac:dyDescent="0.45">
      <c r="A243" s="1"/>
      <c r="B243" s="2" t="s">
        <v>136</v>
      </c>
      <c r="C243" s="1"/>
      <c r="E243" s="24"/>
      <c r="F243" s="24"/>
      <c r="G243" s="24"/>
      <c r="H243" s="24"/>
      <c r="I243" s="24"/>
      <c r="J243" s="24"/>
      <c r="K243" s="24"/>
      <c r="L243" s="24"/>
      <c r="M243" s="24"/>
      <c r="N243" s="24"/>
      <c r="O243" s="24"/>
      <c r="P243" s="24"/>
      <c r="Q243" s="24"/>
      <c r="R243" s="24"/>
      <c r="S243" s="24"/>
    </row>
    <row r="244" spans="1:19" s="467" customFormat="1" ht="15" customHeight="1" x14ac:dyDescent="0.45">
      <c r="A244" s="1"/>
      <c r="B244" s="2" t="s">
        <v>284</v>
      </c>
      <c r="C244" s="1"/>
      <c r="E244" s="24"/>
      <c r="F244" s="24"/>
      <c r="G244" s="24"/>
      <c r="H244" s="24"/>
      <c r="I244" s="24"/>
      <c r="J244" s="24"/>
      <c r="K244" s="24"/>
      <c r="L244" s="24"/>
      <c r="M244" s="24"/>
      <c r="N244" s="24"/>
      <c r="O244" s="24"/>
      <c r="P244" s="24"/>
      <c r="Q244" s="24"/>
      <c r="R244" s="24"/>
      <c r="S244" s="24"/>
    </row>
    <row r="245" spans="1:19" s="467" customFormat="1" ht="15" customHeight="1" x14ac:dyDescent="0.45">
      <c r="A245" s="1"/>
      <c r="B245" s="2" t="s">
        <v>278</v>
      </c>
      <c r="C245" s="1"/>
      <c r="E245" s="24"/>
      <c r="F245" s="24"/>
      <c r="G245" s="24"/>
      <c r="H245" s="24"/>
      <c r="I245" s="24"/>
      <c r="J245" s="24"/>
      <c r="K245" s="24"/>
      <c r="L245" s="24"/>
      <c r="M245" s="24"/>
      <c r="N245" s="24"/>
      <c r="O245" s="24"/>
      <c r="P245" s="24"/>
      <c r="Q245" s="24"/>
      <c r="R245" s="24"/>
      <c r="S245" s="24"/>
    </row>
    <row r="246" spans="1:19" s="467" customFormat="1" ht="15" customHeight="1" x14ac:dyDescent="0.45">
      <c r="A246" s="1"/>
      <c r="B246" s="2" t="s">
        <v>279</v>
      </c>
      <c r="C246" s="1"/>
      <c r="E246" s="24"/>
      <c r="F246" s="24"/>
      <c r="G246" s="24"/>
      <c r="H246" s="24"/>
      <c r="I246" s="24"/>
      <c r="J246" s="24"/>
      <c r="K246" s="24"/>
      <c r="L246" s="24"/>
      <c r="M246" s="24"/>
      <c r="N246" s="24"/>
      <c r="O246" s="24"/>
      <c r="P246" s="24"/>
      <c r="Q246" s="24"/>
      <c r="R246" s="24"/>
      <c r="S246" s="24"/>
    </row>
    <row r="247" spans="1:19" s="467" customFormat="1" ht="15" customHeight="1" x14ac:dyDescent="0.45">
      <c r="A247" s="1"/>
      <c r="B247" s="2" t="s">
        <v>544</v>
      </c>
      <c r="C247" s="1"/>
      <c r="E247" s="24"/>
      <c r="F247" s="24"/>
      <c r="G247" s="24"/>
      <c r="H247" s="24"/>
      <c r="I247" s="24"/>
      <c r="J247" s="24"/>
      <c r="K247" s="24"/>
      <c r="L247" s="24"/>
      <c r="M247" s="24"/>
      <c r="N247" s="24"/>
      <c r="O247" s="24"/>
      <c r="P247" s="24"/>
      <c r="Q247" s="24"/>
      <c r="R247" s="24"/>
      <c r="S247" s="24"/>
    </row>
    <row r="248" spans="1:19" s="467" customFormat="1" ht="15" customHeight="1" x14ac:dyDescent="0.45">
      <c r="A248" s="1"/>
      <c r="B248" s="2" t="s">
        <v>280</v>
      </c>
      <c r="C248" s="1"/>
      <c r="E248" s="24"/>
      <c r="F248" s="24"/>
      <c r="G248" s="24"/>
      <c r="H248" s="24"/>
      <c r="I248" s="24"/>
      <c r="J248" s="24"/>
      <c r="K248" s="24"/>
      <c r="L248" s="24"/>
      <c r="M248" s="24"/>
      <c r="N248" s="24"/>
      <c r="O248" s="24"/>
      <c r="P248" s="24"/>
      <c r="Q248" s="24"/>
      <c r="R248" s="24"/>
      <c r="S248" s="24"/>
    </row>
    <row r="249" spans="1:19" s="467" customFormat="1" ht="15" customHeight="1" x14ac:dyDescent="0.45">
      <c r="A249" s="1"/>
      <c r="B249" s="2" t="s">
        <v>281</v>
      </c>
      <c r="C249" s="1"/>
      <c r="E249" s="24"/>
      <c r="F249" s="24"/>
      <c r="G249" s="24"/>
      <c r="H249" s="24"/>
      <c r="I249" s="24"/>
      <c r="J249" s="24"/>
      <c r="K249" s="24"/>
      <c r="L249" s="24"/>
      <c r="M249" s="24"/>
      <c r="N249" s="24"/>
      <c r="O249" s="24"/>
      <c r="P249" s="24"/>
      <c r="Q249" s="24"/>
      <c r="R249" s="24"/>
      <c r="S249" s="24"/>
    </row>
    <row r="250" spans="1:19" s="1" customFormat="1" ht="15" customHeight="1" x14ac:dyDescent="0.45">
      <c r="B250" s="2" t="s">
        <v>545</v>
      </c>
      <c r="D250" s="467"/>
      <c r="E250" s="24"/>
      <c r="F250" s="24"/>
      <c r="G250" s="24"/>
      <c r="H250" s="24"/>
      <c r="I250" s="24"/>
      <c r="J250" s="24"/>
      <c r="K250" s="24"/>
      <c r="L250" s="24"/>
      <c r="M250" s="24"/>
      <c r="N250" s="24"/>
      <c r="O250" s="24"/>
      <c r="P250" s="24"/>
      <c r="Q250" s="24"/>
      <c r="R250" s="24"/>
      <c r="S250" s="24"/>
    </row>
    <row r="251" spans="1:19" s="1" customFormat="1" ht="15" customHeight="1" x14ac:dyDescent="0.45">
      <c r="B251" s="2" t="s">
        <v>546</v>
      </c>
      <c r="D251" s="467"/>
      <c r="E251" s="24"/>
      <c r="F251" s="24"/>
      <c r="G251" s="24"/>
      <c r="H251" s="24"/>
      <c r="I251" s="24"/>
      <c r="J251" s="24"/>
      <c r="K251" s="24"/>
      <c r="L251" s="24"/>
      <c r="M251" s="24"/>
      <c r="N251" s="24"/>
      <c r="O251" s="24"/>
      <c r="P251" s="24"/>
      <c r="Q251" s="24"/>
      <c r="R251" s="24"/>
      <c r="S251" s="24"/>
    </row>
    <row r="252" spans="1:19" s="1" customFormat="1" ht="15" customHeight="1" x14ac:dyDescent="0.45">
      <c r="B252" s="2" t="s">
        <v>287</v>
      </c>
      <c r="D252" s="467"/>
      <c r="E252" s="24"/>
      <c r="F252" s="24"/>
      <c r="G252" s="24"/>
      <c r="H252" s="24"/>
      <c r="I252" s="24"/>
      <c r="J252" s="24"/>
      <c r="K252" s="24"/>
      <c r="L252" s="24"/>
      <c r="M252" s="24"/>
      <c r="N252" s="24"/>
      <c r="O252" s="24"/>
      <c r="P252" s="24"/>
      <c r="Q252" s="24"/>
      <c r="R252" s="24"/>
      <c r="S252" s="24"/>
    </row>
    <row r="253" spans="1:19" s="1" customFormat="1" ht="15" customHeight="1" x14ac:dyDescent="0.45">
      <c r="B253" s="2" t="s">
        <v>298</v>
      </c>
      <c r="D253" s="467"/>
      <c r="E253" s="24"/>
      <c r="F253" s="24"/>
      <c r="G253" s="24"/>
      <c r="H253" s="24"/>
      <c r="I253" s="24"/>
      <c r="J253" s="24"/>
      <c r="K253" s="24"/>
      <c r="L253" s="24"/>
      <c r="M253" s="24"/>
      <c r="N253" s="24"/>
      <c r="O253" s="24"/>
      <c r="P253" s="24"/>
      <c r="Q253" s="24"/>
      <c r="R253" s="24"/>
      <c r="S253" s="24"/>
    </row>
    <row r="254" spans="1:19" s="1" customFormat="1" ht="15" customHeight="1" x14ac:dyDescent="0.45">
      <c r="B254" s="2" t="s">
        <v>296</v>
      </c>
      <c r="D254" s="467"/>
      <c r="E254" s="24"/>
      <c r="F254" s="24"/>
      <c r="G254" s="24"/>
      <c r="H254" s="24"/>
      <c r="I254" s="24"/>
      <c r="J254" s="24"/>
      <c r="K254" s="24"/>
      <c r="L254" s="24"/>
      <c r="M254" s="24"/>
      <c r="N254" s="24"/>
      <c r="O254" s="24"/>
      <c r="P254" s="24"/>
      <c r="Q254" s="24"/>
      <c r="R254" s="24"/>
      <c r="S254" s="24"/>
    </row>
    <row r="255" spans="1:19" s="1" customFormat="1" ht="15" customHeight="1" x14ac:dyDescent="0.45">
      <c r="B255" s="2" t="s">
        <v>297</v>
      </c>
      <c r="D255" s="467"/>
      <c r="E255" s="24"/>
      <c r="F255" s="24"/>
      <c r="G255" s="24"/>
      <c r="H255" s="24"/>
      <c r="I255" s="24"/>
      <c r="J255" s="24"/>
      <c r="K255" s="24"/>
      <c r="L255" s="24"/>
      <c r="M255" s="24"/>
      <c r="N255" s="24"/>
      <c r="O255" s="24"/>
      <c r="P255" s="24"/>
      <c r="Q255" s="24"/>
      <c r="R255" s="24"/>
      <c r="S255" s="24"/>
    </row>
    <row r="256" spans="1:19" s="1" customFormat="1" ht="15" customHeight="1" x14ac:dyDescent="0.45">
      <c r="B256" s="2" t="s">
        <v>292</v>
      </c>
      <c r="D256" s="467"/>
      <c r="E256" s="24"/>
      <c r="F256" s="24"/>
      <c r="G256" s="24"/>
      <c r="H256" s="24"/>
      <c r="I256" s="24"/>
      <c r="J256" s="24"/>
      <c r="K256" s="24"/>
      <c r="L256" s="24"/>
      <c r="M256" s="24"/>
      <c r="N256" s="24"/>
      <c r="O256" s="24"/>
      <c r="P256" s="24"/>
      <c r="Q256" s="24"/>
      <c r="R256" s="24"/>
      <c r="S256" s="24"/>
    </row>
    <row r="257" spans="2:19" s="1" customFormat="1" ht="15" customHeight="1" x14ac:dyDescent="0.45">
      <c r="B257" s="2" t="s">
        <v>293</v>
      </c>
      <c r="D257" s="467"/>
      <c r="E257" s="24"/>
      <c r="F257" s="24"/>
      <c r="G257" s="24"/>
      <c r="H257" s="24"/>
      <c r="I257" s="24"/>
      <c r="J257" s="24"/>
      <c r="K257" s="24"/>
      <c r="L257" s="24"/>
      <c r="M257" s="24"/>
      <c r="N257" s="24"/>
      <c r="O257" s="24"/>
      <c r="P257" s="24"/>
      <c r="Q257" s="24"/>
      <c r="R257" s="24"/>
      <c r="S257" s="24"/>
    </row>
    <row r="258" spans="2:19" s="1" customFormat="1" ht="15" customHeight="1" x14ac:dyDescent="0.45">
      <c r="B258" s="2" t="s">
        <v>547</v>
      </c>
      <c r="D258" s="467"/>
      <c r="E258" s="24"/>
      <c r="F258" s="24"/>
      <c r="G258" s="24"/>
      <c r="H258" s="24"/>
      <c r="I258" s="24"/>
      <c r="J258" s="24"/>
      <c r="K258" s="24"/>
      <c r="L258" s="24"/>
      <c r="M258" s="24"/>
      <c r="N258" s="24"/>
      <c r="O258" s="24"/>
      <c r="P258" s="24"/>
      <c r="Q258" s="24"/>
      <c r="R258" s="24"/>
      <c r="S258" s="24"/>
    </row>
    <row r="259" spans="2:19" s="1" customFormat="1" ht="15" customHeight="1" x14ac:dyDescent="0.45">
      <c r="B259" s="2" t="s">
        <v>294</v>
      </c>
      <c r="D259" s="467"/>
      <c r="E259" s="24"/>
      <c r="F259" s="24"/>
      <c r="G259" s="24"/>
      <c r="H259" s="24"/>
      <c r="I259" s="24"/>
      <c r="J259" s="24"/>
      <c r="K259" s="24"/>
      <c r="L259" s="24"/>
      <c r="M259" s="24"/>
      <c r="N259" s="24"/>
      <c r="O259" s="24"/>
      <c r="P259" s="24"/>
      <c r="Q259" s="24"/>
      <c r="R259" s="24"/>
      <c r="S259" s="24"/>
    </row>
    <row r="260" spans="2:19" s="1" customFormat="1" ht="15" customHeight="1" x14ac:dyDescent="0.45">
      <c r="B260" s="2" t="s">
        <v>291</v>
      </c>
      <c r="D260" s="467"/>
      <c r="E260" s="24"/>
      <c r="F260" s="24"/>
      <c r="G260" s="24"/>
      <c r="H260" s="24"/>
      <c r="I260" s="24"/>
      <c r="J260" s="24"/>
      <c r="K260" s="24"/>
      <c r="L260" s="24"/>
      <c r="M260" s="24"/>
      <c r="N260" s="24"/>
      <c r="O260" s="24"/>
      <c r="P260" s="24"/>
      <c r="Q260" s="24"/>
      <c r="R260" s="24"/>
      <c r="S260" s="24"/>
    </row>
    <row r="261" spans="2:19" s="1" customFormat="1" ht="15" customHeight="1" x14ac:dyDescent="0.45">
      <c r="B261" s="2" t="s">
        <v>290</v>
      </c>
      <c r="D261" s="467"/>
      <c r="E261" s="24"/>
      <c r="F261" s="24"/>
      <c r="G261" s="24"/>
      <c r="H261" s="24"/>
      <c r="I261" s="24"/>
      <c r="J261" s="24"/>
      <c r="K261" s="24"/>
      <c r="L261" s="24"/>
      <c r="M261" s="24"/>
      <c r="N261" s="24"/>
      <c r="O261" s="24"/>
      <c r="P261" s="24"/>
      <c r="Q261" s="24"/>
      <c r="R261" s="24"/>
      <c r="S261" s="24"/>
    </row>
    <row r="262" spans="2:19" s="1" customFormat="1" ht="15" customHeight="1" x14ac:dyDescent="0.45">
      <c r="B262" s="2" t="s">
        <v>289</v>
      </c>
      <c r="D262" s="467"/>
      <c r="E262" s="24"/>
      <c r="F262" s="24"/>
      <c r="G262" s="24"/>
      <c r="H262" s="24"/>
      <c r="I262" s="24"/>
      <c r="J262" s="24"/>
      <c r="K262" s="24"/>
      <c r="L262" s="24"/>
      <c r="M262" s="24"/>
      <c r="N262" s="24"/>
      <c r="O262" s="24"/>
      <c r="P262" s="24"/>
      <c r="Q262" s="24"/>
      <c r="R262" s="24"/>
      <c r="S262" s="24"/>
    </row>
    <row r="263" spans="2:19" s="1" customFormat="1" ht="15" customHeight="1" x14ac:dyDescent="0.45">
      <c r="B263" s="2" t="s">
        <v>548</v>
      </c>
      <c r="D263" s="467"/>
      <c r="E263" s="24"/>
      <c r="F263" s="24"/>
      <c r="G263" s="24"/>
      <c r="H263" s="24"/>
      <c r="I263" s="24"/>
      <c r="J263" s="24"/>
      <c r="K263" s="24"/>
      <c r="L263" s="24"/>
      <c r="M263" s="24"/>
      <c r="N263" s="24"/>
      <c r="O263" s="24"/>
      <c r="P263" s="24"/>
      <c r="Q263" s="24"/>
      <c r="R263" s="24"/>
      <c r="S263" s="24"/>
    </row>
    <row r="264" spans="2:19" s="1" customFormat="1" ht="15" customHeight="1" x14ac:dyDescent="0.45">
      <c r="B264" s="2" t="s">
        <v>300</v>
      </c>
      <c r="D264" s="467"/>
      <c r="E264" s="24"/>
      <c r="F264" s="24"/>
      <c r="G264" s="24"/>
      <c r="H264" s="24"/>
      <c r="I264" s="24"/>
      <c r="J264" s="24"/>
      <c r="K264" s="24"/>
      <c r="L264" s="24"/>
      <c r="M264" s="24"/>
      <c r="N264" s="24"/>
      <c r="O264" s="24"/>
      <c r="P264" s="24"/>
      <c r="Q264" s="24"/>
      <c r="R264" s="24"/>
      <c r="S264" s="24"/>
    </row>
    <row r="266" spans="2:19" s="1" customFormat="1" ht="15" customHeight="1" x14ac:dyDescent="0.45">
      <c r="B266" s="2" t="s">
        <v>303</v>
      </c>
      <c r="D266" s="467"/>
      <c r="E266" s="24"/>
      <c r="F266" s="24"/>
      <c r="G266" s="24"/>
      <c r="H266" s="24"/>
      <c r="I266" s="24"/>
      <c r="J266" s="24"/>
      <c r="K266" s="24"/>
      <c r="L266" s="24"/>
      <c r="M266" s="24"/>
      <c r="N266" s="24"/>
      <c r="O266" s="24"/>
      <c r="P266" s="24"/>
      <c r="Q266" s="24"/>
      <c r="R266" s="24"/>
      <c r="S266" s="24"/>
    </row>
    <row r="267" spans="2:19" s="1" customFormat="1" ht="15" customHeight="1" x14ac:dyDescent="0.45">
      <c r="B267" s="2" t="s">
        <v>304</v>
      </c>
      <c r="D267" s="467"/>
      <c r="E267" s="24"/>
      <c r="F267" s="24"/>
      <c r="G267" s="24"/>
      <c r="H267" s="24"/>
      <c r="I267" s="24"/>
      <c r="J267" s="24"/>
      <c r="K267" s="24"/>
      <c r="L267" s="24"/>
      <c r="M267" s="24"/>
      <c r="N267" s="24"/>
      <c r="O267" s="24"/>
      <c r="P267" s="24"/>
      <c r="Q267" s="24"/>
      <c r="R267" s="24"/>
      <c r="S267" s="24"/>
    </row>
    <row r="268" spans="2:19" s="1" customFormat="1" ht="15" customHeight="1" x14ac:dyDescent="0.45">
      <c r="B268" s="2" t="s">
        <v>314</v>
      </c>
      <c r="D268" s="467"/>
      <c r="E268" s="24"/>
      <c r="F268" s="24"/>
      <c r="G268" s="24"/>
      <c r="H268" s="24"/>
      <c r="I268" s="24"/>
      <c r="J268" s="24"/>
      <c r="K268" s="24"/>
      <c r="L268" s="24"/>
      <c r="M268" s="24"/>
      <c r="N268" s="24"/>
      <c r="O268" s="24"/>
      <c r="P268" s="24"/>
      <c r="Q268" s="24"/>
      <c r="R268" s="24"/>
      <c r="S268" s="24"/>
    </row>
    <row r="269" spans="2:19" s="1" customFormat="1" ht="15" customHeight="1" x14ac:dyDescent="0.45">
      <c r="B269" s="2" t="s">
        <v>310</v>
      </c>
      <c r="D269" s="467"/>
      <c r="E269" s="24"/>
      <c r="F269" s="24"/>
      <c r="G269" s="24"/>
      <c r="H269" s="24"/>
      <c r="I269" s="24"/>
      <c r="J269" s="24"/>
      <c r="K269" s="24"/>
      <c r="L269" s="24"/>
      <c r="M269" s="24"/>
      <c r="N269" s="24"/>
      <c r="O269" s="24"/>
      <c r="P269" s="24"/>
      <c r="Q269" s="24"/>
      <c r="R269" s="24"/>
      <c r="S269" s="24"/>
    </row>
    <row r="270" spans="2:19" s="1" customFormat="1" ht="15" customHeight="1" x14ac:dyDescent="0.45">
      <c r="B270" s="2" t="s">
        <v>311</v>
      </c>
      <c r="D270" s="467"/>
      <c r="E270" s="24"/>
      <c r="F270" s="24"/>
      <c r="G270" s="24"/>
      <c r="H270" s="24"/>
      <c r="I270" s="24"/>
      <c r="J270" s="24"/>
      <c r="K270" s="24"/>
      <c r="L270" s="24"/>
      <c r="M270" s="24"/>
      <c r="N270" s="24"/>
      <c r="O270" s="24"/>
      <c r="P270" s="24"/>
      <c r="Q270" s="24"/>
      <c r="R270" s="24"/>
      <c r="S270" s="24"/>
    </row>
    <row r="271" spans="2:19" s="1" customFormat="1" ht="15" customHeight="1" x14ac:dyDescent="0.45">
      <c r="B271" s="2" t="s">
        <v>305</v>
      </c>
      <c r="D271" s="467"/>
      <c r="E271" s="24"/>
      <c r="F271" s="24"/>
      <c r="G271" s="24"/>
      <c r="H271" s="24"/>
      <c r="I271" s="24"/>
      <c r="J271" s="24"/>
      <c r="K271" s="24"/>
      <c r="L271" s="24"/>
      <c r="M271" s="24"/>
      <c r="N271" s="24"/>
      <c r="O271" s="24"/>
      <c r="P271" s="24"/>
      <c r="Q271" s="24"/>
      <c r="R271" s="24"/>
      <c r="S271" s="24"/>
    </row>
    <row r="272" spans="2:19" s="1" customFormat="1" ht="15" customHeight="1" x14ac:dyDescent="0.45">
      <c r="B272" s="2" t="s">
        <v>306</v>
      </c>
      <c r="D272" s="467"/>
      <c r="E272" s="24"/>
      <c r="F272" s="24"/>
      <c r="G272" s="24"/>
      <c r="H272" s="24"/>
      <c r="I272" s="24"/>
      <c r="J272" s="24"/>
      <c r="K272" s="24"/>
      <c r="L272" s="24"/>
      <c r="M272" s="24"/>
      <c r="N272" s="24"/>
      <c r="O272" s="24"/>
      <c r="P272" s="24"/>
      <c r="Q272" s="24"/>
      <c r="R272" s="24"/>
      <c r="S272" s="24"/>
    </row>
    <row r="273" spans="2:19" s="1" customFormat="1" ht="15" customHeight="1" x14ac:dyDescent="0.45">
      <c r="B273" s="2" t="s">
        <v>308</v>
      </c>
      <c r="D273" s="467"/>
      <c r="E273" s="24"/>
      <c r="F273" s="24"/>
      <c r="G273" s="24"/>
      <c r="H273" s="24"/>
      <c r="I273" s="24"/>
      <c r="J273" s="24"/>
      <c r="K273" s="24"/>
      <c r="L273" s="24"/>
      <c r="M273" s="24"/>
      <c r="N273" s="24"/>
      <c r="O273" s="24"/>
      <c r="P273" s="24"/>
      <c r="Q273" s="24"/>
      <c r="R273" s="24"/>
      <c r="S273" s="24"/>
    </row>
    <row r="274" spans="2:19" s="1" customFormat="1" ht="15" customHeight="1" x14ac:dyDescent="0.45">
      <c r="B274" s="2" t="s">
        <v>312</v>
      </c>
      <c r="D274" s="467"/>
      <c r="E274" s="24"/>
      <c r="F274" s="24"/>
      <c r="G274" s="24"/>
      <c r="H274" s="24"/>
      <c r="I274" s="24"/>
      <c r="J274" s="24"/>
      <c r="K274" s="24"/>
      <c r="L274" s="24"/>
      <c r="M274" s="24"/>
      <c r="N274" s="24"/>
      <c r="O274" s="24"/>
      <c r="P274" s="24"/>
      <c r="Q274" s="24"/>
      <c r="R274" s="24"/>
      <c r="S274" s="24"/>
    </row>
    <row r="275" spans="2:19" s="1" customFormat="1" ht="15" customHeight="1" x14ac:dyDescent="0.45">
      <c r="B275" s="2" t="s">
        <v>315</v>
      </c>
      <c r="D275" s="467"/>
      <c r="E275" s="24"/>
      <c r="F275" s="24"/>
      <c r="G275" s="24"/>
      <c r="H275" s="24"/>
      <c r="I275" s="24"/>
      <c r="J275" s="24"/>
      <c r="K275" s="24"/>
      <c r="L275" s="24"/>
      <c r="M275" s="24"/>
      <c r="N275" s="24"/>
      <c r="O275" s="24"/>
      <c r="P275" s="24"/>
      <c r="Q275" s="24"/>
      <c r="R275" s="24"/>
      <c r="S275" s="24"/>
    </row>
    <row r="276" spans="2:19" s="1" customFormat="1" ht="15" customHeight="1" x14ac:dyDescent="0.45">
      <c r="B276" s="2" t="s">
        <v>317</v>
      </c>
      <c r="D276" s="467"/>
      <c r="E276" s="24"/>
      <c r="F276" s="24"/>
      <c r="G276" s="24"/>
      <c r="H276" s="24"/>
      <c r="I276" s="24"/>
      <c r="J276" s="24"/>
      <c r="K276" s="24"/>
      <c r="L276" s="24"/>
      <c r="M276" s="24"/>
      <c r="N276" s="24"/>
      <c r="O276" s="24"/>
      <c r="P276" s="24"/>
      <c r="Q276" s="24"/>
      <c r="R276" s="24"/>
      <c r="S276" s="24"/>
    </row>
    <row r="277" spans="2:19" s="1" customFormat="1" ht="15" customHeight="1" x14ac:dyDescent="0.45">
      <c r="B277" s="2" t="s">
        <v>418</v>
      </c>
      <c r="D277" s="467"/>
      <c r="E277" s="24"/>
      <c r="F277" s="24"/>
      <c r="G277" s="24"/>
      <c r="H277" s="24"/>
      <c r="I277" s="24"/>
      <c r="J277" s="24"/>
      <c r="K277" s="24"/>
      <c r="L277" s="24"/>
      <c r="M277" s="24"/>
      <c r="N277" s="24"/>
      <c r="O277" s="24"/>
      <c r="P277" s="24"/>
      <c r="Q277" s="24"/>
      <c r="R277" s="24"/>
      <c r="S277" s="24"/>
    </row>
    <row r="278" spans="2:19" s="1" customFormat="1" ht="15" customHeight="1" x14ac:dyDescent="0.45">
      <c r="B278" s="2"/>
      <c r="D278" s="467"/>
      <c r="E278" s="24"/>
      <c r="F278" s="24"/>
      <c r="G278" s="24"/>
      <c r="H278" s="24"/>
      <c r="I278" s="24"/>
      <c r="J278" s="24"/>
      <c r="K278" s="24"/>
      <c r="L278" s="24"/>
      <c r="M278" s="24"/>
      <c r="N278" s="24"/>
      <c r="O278" s="24"/>
      <c r="P278" s="24"/>
      <c r="Q278" s="24"/>
      <c r="R278" s="24"/>
      <c r="S278" s="24"/>
    </row>
    <row r="279" spans="2:19" s="1" customFormat="1" ht="15" customHeight="1" x14ac:dyDescent="0.45">
      <c r="B279" s="2"/>
      <c r="D279" s="467"/>
      <c r="E279" s="24"/>
      <c r="F279" s="24"/>
      <c r="G279" s="24"/>
      <c r="H279" s="24"/>
      <c r="I279" s="24"/>
      <c r="J279" s="24"/>
      <c r="K279" s="24"/>
      <c r="L279" s="24"/>
      <c r="M279" s="24"/>
      <c r="N279" s="24"/>
      <c r="O279" s="24"/>
      <c r="P279" s="24"/>
      <c r="Q279" s="24"/>
      <c r="R279" s="24"/>
      <c r="S279" s="24"/>
    </row>
  </sheetData>
  <dataValidations count="5">
    <dataValidation type="list" allowBlank="1" showInputMessage="1" showErrorMessage="1" sqref="B104:B105" xr:uid="{233C1270-B229-754D-9AFC-E68B0A2FD98B}">
      <formula1>$B$259:$B$273</formula1>
    </dataValidation>
    <dataValidation type="list" allowBlank="1" showInputMessage="1" showErrorMessage="1" sqref="B115:B116 B99:B103 B106:B113" xr:uid="{757CF81B-D11A-BE40-8841-79F1BAF7F1FD}">
      <formula1>$B$279:$B$293</formula1>
    </dataValidation>
    <dataValidation type="list" allowBlank="1" showInputMessage="1" showErrorMessage="1" sqref="B49:B94" xr:uid="{7F485DE7-EE2A-421F-842C-53ABF538E3C6}">
      <formula1>$B$241:$B$264</formula1>
    </dataValidation>
    <dataValidation type="list" allowBlank="1" showInputMessage="1" showErrorMessage="1" sqref="B26:B29 B20:B24 B18 B8:B16 B32:B45" xr:uid="{B10C9376-5ECF-4A26-BBC5-7212A51EDE90}">
      <formula1>B$223:B$240</formula1>
    </dataValidation>
    <dataValidation type="list" allowBlank="1" showInputMessage="1" showErrorMessage="1" sqref="B98 B114 B117:B147 B149:B209" xr:uid="{9AFF9F76-9FFA-43B9-8DDF-88EEE2CB47BF}">
      <formula1>$B$266:$B$280</formula1>
    </dataValidation>
  </dataValidations>
  <pageMargins left="0.75" right="0.75" top="1" bottom="1" header="0.5" footer="0.5"/>
  <pageSetup orientation="portrait" horizontalDpi="4294967293" verticalDpi="0"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58476-E0F6-4592-948F-6770D3B13962}">
  <dimension ref="A2:S294"/>
  <sheetViews>
    <sheetView showGridLines="0" topLeftCell="A161" workbookViewId="0">
      <selection activeCell="D63" sqref="B63:D63"/>
    </sheetView>
  </sheetViews>
  <sheetFormatPr defaultColWidth="9.1328125" defaultRowHeight="15" customHeight="1" x14ac:dyDescent="0.45"/>
  <cols>
    <col min="1" max="1" width="3.46484375" style="1" customWidth="1"/>
    <col min="2" max="2" width="29.6640625" style="1" customWidth="1"/>
    <col min="3" max="3" width="3.46484375" style="1" customWidth="1"/>
    <col min="4" max="4" width="43.1328125" style="467" bestFit="1" customWidth="1"/>
    <col min="5" max="11" width="10.6640625" style="24" bestFit="1" customWidth="1"/>
    <col min="12" max="13" width="10.6640625" style="24" customWidth="1"/>
    <col min="14" max="17" width="10.6640625" style="24" bestFit="1" customWidth="1"/>
    <col min="18" max="19" width="10.1328125" style="24" bestFit="1" customWidth="1"/>
    <col min="20" max="16384" width="9.1328125" style="24"/>
  </cols>
  <sheetData>
    <row r="2" spans="1:19" ht="15" customHeight="1" x14ac:dyDescent="0.45">
      <c r="B2" s="495" t="s">
        <v>420</v>
      </c>
      <c r="C2" s="494"/>
      <c r="D2" s="493">
        <f>SUM(F108:M108)</f>
        <v>0</v>
      </c>
    </row>
    <row r="3" spans="1:19" s="1" customFormat="1" ht="15" customHeight="1" x14ac:dyDescent="0.45">
      <c r="D3" s="467"/>
    </row>
    <row r="4" spans="1:19" s="1" customFormat="1" ht="15" customHeight="1" x14ac:dyDescent="0.45">
      <c r="B4" s="1" t="s">
        <v>421</v>
      </c>
      <c r="D4" s="467" t="s">
        <v>422</v>
      </c>
    </row>
    <row r="5" spans="1:19" s="1" customFormat="1" ht="15" customHeight="1" x14ac:dyDescent="0.45">
      <c r="B5" s="1" t="s">
        <v>423</v>
      </c>
      <c r="D5" s="492">
        <v>1000</v>
      </c>
    </row>
    <row r="6" spans="1:19" s="1" customFormat="1" ht="15" customHeight="1" x14ac:dyDescent="0.45">
      <c r="D6" s="467"/>
      <c r="E6" s="21">
        <v>2015</v>
      </c>
      <c r="F6" s="21">
        <f t="shared" ref="F6:S6" si="0">E6+1</f>
        <v>2016</v>
      </c>
      <c r="G6" s="21">
        <f t="shared" si="0"/>
        <v>2017</v>
      </c>
      <c r="H6" s="21">
        <f t="shared" si="0"/>
        <v>2018</v>
      </c>
      <c r="I6" s="21">
        <f t="shared" si="0"/>
        <v>2019</v>
      </c>
      <c r="J6" s="21">
        <f t="shared" si="0"/>
        <v>2020</v>
      </c>
      <c r="K6" s="21">
        <f t="shared" si="0"/>
        <v>2021</v>
      </c>
      <c r="L6" s="21">
        <f t="shared" si="0"/>
        <v>2022</v>
      </c>
      <c r="M6" s="21">
        <f t="shared" si="0"/>
        <v>2023</v>
      </c>
      <c r="N6" s="21">
        <f t="shared" si="0"/>
        <v>2024</v>
      </c>
      <c r="O6" s="22">
        <f t="shared" si="0"/>
        <v>2025</v>
      </c>
      <c r="P6" s="22">
        <f t="shared" si="0"/>
        <v>2026</v>
      </c>
      <c r="Q6" s="22">
        <f t="shared" si="0"/>
        <v>2027</v>
      </c>
      <c r="R6" s="22">
        <f t="shared" si="0"/>
        <v>2028</v>
      </c>
      <c r="S6" s="22">
        <f t="shared" si="0"/>
        <v>2029</v>
      </c>
    </row>
    <row r="7" spans="1:19" s="1" customFormat="1" ht="15" customHeight="1" x14ac:dyDescent="0.45">
      <c r="B7" s="3" t="s">
        <v>405</v>
      </c>
      <c r="C7" s="3"/>
      <c r="D7" s="485" t="s">
        <v>424</v>
      </c>
    </row>
    <row r="8" spans="1:19" ht="15" customHeight="1" x14ac:dyDescent="0.45">
      <c r="B8" s="2"/>
      <c r="D8" s="485"/>
      <c r="E8" s="23"/>
      <c r="F8" s="23"/>
      <c r="G8" s="23"/>
      <c r="H8" s="23"/>
      <c r="I8" s="23"/>
      <c r="J8" s="23"/>
      <c r="K8" s="23"/>
      <c r="L8" s="23"/>
      <c r="M8" s="23"/>
      <c r="N8" s="23"/>
      <c r="O8" s="23"/>
      <c r="P8" s="23"/>
      <c r="Q8" s="23"/>
      <c r="R8" s="23"/>
      <c r="S8" s="23"/>
    </row>
    <row r="9" spans="1:19" ht="15" customHeight="1" x14ac:dyDescent="0.45">
      <c r="B9" s="2" t="s">
        <v>406</v>
      </c>
      <c r="D9" s="492" t="s">
        <v>96</v>
      </c>
      <c r="E9" s="25">
        <f>IFERROR(Sanofi!B21/$D$5,0)</f>
        <v>34060</v>
      </c>
      <c r="F9" s="25">
        <f>IFERROR(Sanofi!C21/$D$5,0)</f>
        <v>33809</v>
      </c>
      <c r="G9" s="25">
        <f>IFERROR(Sanofi!D21/$D$5,0)</f>
        <v>35072</v>
      </c>
      <c r="H9" s="25">
        <f>IFERROR(Sanofi!E21/$D$5,0)</f>
        <v>34463</v>
      </c>
      <c r="I9" s="25">
        <f>IFERROR(Sanofi!F21/$D$5,0)</f>
        <v>36126</v>
      </c>
      <c r="J9" s="25">
        <f>IFERROR(Sanofi!G21/$D$5,0)</f>
        <v>36041</v>
      </c>
      <c r="K9" s="25">
        <f>IFERROR(Sanofi!H21/$D$5,0)</f>
        <v>37761</v>
      </c>
      <c r="L9" s="25">
        <f>IFERROR(Sanofi!I21/$D$5,0)</f>
        <v>37651</v>
      </c>
      <c r="M9" s="25">
        <f>IFERROR(Sanofi!J21/$D$5,0)</f>
        <v>37817</v>
      </c>
      <c r="N9" s="25">
        <f>IFERROR(Sanofi!K21/$D$5,0)</f>
        <v>41081</v>
      </c>
      <c r="O9" s="23"/>
      <c r="P9" s="23"/>
      <c r="Q9" s="23"/>
      <c r="R9" s="23"/>
      <c r="S9" s="23"/>
    </row>
    <row r="10" spans="1:19" ht="15" customHeight="1" x14ac:dyDescent="0.45">
      <c r="B10" s="2" t="s">
        <v>406</v>
      </c>
      <c r="D10" s="492" t="s">
        <v>585</v>
      </c>
      <c r="E10" s="25">
        <f>IFERROR(Sanofi!B22/$D$5,0)</f>
        <v>801</v>
      </c>
      <c r="F10" s="25">
        <f>IFERROR(Sanofi!C22/$D$5,0)</f>
        <v>887</v>
      </c>
      <c r="G10" s="25">
        <f>IFERROR(Sanofi!D22/$D$5,0)</f>
        <v>1149</v>
      </c>
      <c r="H10" s="25">
        <f>IFERROR(Sanofi!E22/$D$5,0)</f>
        <v>1214</v>
      </c>
      <c r="I10" s="25">
        <f>IFERROR(Sanofi!F22/$D$5,0)</f>
        <v>1505</v>
      </c>
      <c r="J10" s="25">
        <f>IFERROR(Sanofi!G22/$D$5,0)</f>
        <v>1328</v>
      </c>
      <c r="K10" s="25">
        <f>IFERROR(Sanofi!H22/$D$5,0)</f>
        <v>1414</v>
      </c>
      <c r="L10" s="25">
        <f>IFERROR(Sanofi!I22/$D$5,0)</f>
        <v>2653</v>
      </c>
      <c r="M10" s="25">
        <f>IFERROR(Sanofi!J22/$D$5,0)</f>
        <v>3292</v>
      </c>
      <c r="N10" s="25">
        <f>IFERROR(Sanofi!K22/$D$5,0)</f>
        <v>3205</v>
      </c>
      <c r="O10" s="23"/>
      <c r="P10" s="23"/>
      <c r="Q10" s="23"/>
      <c r="R10" s="23"/>
      <c r="S10" s="23"/>
    </row>
    <row r="11" spans="1:19" s="30" customFormat="1" ht="15" customHeight="1" x14ac:dyDescent="0.45">
      <c r="A11" s="4"/>
      <c r="B11" s="2"/>
      <c r="C11" s="4"/>
      <c r="D11" s="478" t="s">
        <v>428</v>
      </c>
      <c r="E11" s="477">
        <f t="shared" ref="E11:N11" si="1">SUM(E9:E10)</f>
        <v>34861</v>
      </c>
      <c r="F11" s="477">
        <f t="shared" si="1"/>
        <v>34696</v>
      </c>
      <c r="G11" s="477">
        <f t="shared" si="1"/>
        <v>36221</v>
      </c>
      <c r="H11" s="477">
        <f t="shared" si="1"/>
        <v>35677</v>
      </c>
      <c r="I11" s="477">
        <f t="shared" si="1"/>
        <v>37631</v>
      </c>
      <c r="J11" s="477">
        <f t="shared" si="1"/>
        <v>37369</v>
      </c>
      <c r="K11" s="477">
        <f t="shared" si="1"/>
        <v>39175</v>
      </c>
      <c r="L11" s="477">
        <f t="shared" si="1"/>
        <v>40304</v>
      </c>
      <c r="M11" s="477">
        <f t="shared" si="1"/>
        <v>41109</v>
      </c>
      <c r="N11" s="477">
        <f t="shared" si="1"/>
        <v>44286</v>
      </c>
      <c r="O11" s="477"/>
      <c r="P11" s="477"/>
      <c r="Q11" s="477"/>
      <c r="R11" s="477"/>
      <c r="S11" s="477"/>
    </row>
    <row r="12" spans="1:19" s="26" customFormat="1" ht="15" customHeight="1" x14ac:dyDescent="0.45">
      <c r="A12" s="4"/>
      <c r="B12" s="2"/>
      <c r="C12" s="4"/>
      <c r="D12" s="479"/>
      <c r="E12" s="23"/>
      <c r="F12" s="23"/>
      <c r="G12" s="23"/>
      <c r="H12" s="23"/>
      <c r="I12" s="23"/>
      <c r="J12" s="23"/>
      <c r="K12" s="23"/>
      <c r="L12" s="23"/>
      <c r="M12" s="23"/>
      <c r="N12" s="23"/>
      <c r="O12" s="23"/>
      <c r="P12" s="23"/>
      <c r="Q12" s="23"/>
      <c r="R12" s="23"/>
      <c r="S12" s="23"/>
    </row>
    <row r="13" spans="1:19" s="26" customFormat="1" ht="15" customHeight="1" x14ac:dyDescent="0.45">
      <c r="A13" s="4"/>
      <c r="B13" s="2" t="s">
        <v>267</v>
      </c>
      <c r="C13" s="4"/>
      <c r="D13" s="487" t="s">
        <v>429</v>
      </c>
      <c r="E13" s="25">
        <f>-IFERROR(Sanofi!B24/$D$5,0)</f>
        <v>-10919</v>
      </c>
      <c r="F13" s="25">
        <f>-IFERROR(Sanofi!C24/$D$5,0)</f>
        <v>-10701</v>
      </c>
      <c r="G13" s="25">
        <f>-IFERROR(Sanofi!D24/$D$5,0)</f>
        <v>-11447</v>
      </c>
      <c r="H13" s="25">
        <f>-IFERROR(Sanofi!E24/$D$5,0)</f>
        <v>-11321</v>
      </c>
      <c r="I13" s="25">
        <f>-IFERROR(Sanofi!F24/$D$5,0)</f>
        <v>-11976</v>
      </c>
      <c r="J13" s="25">
        <f>-IFERROR(Sanofi!G24/$D$5,0)</f>
        <v>-12106</v>
      </c>
      <c r="K13" s="25">
        <f>-IFERROR(Sanofi!H24/$D$5,0)</f>
        <v>-12251</v>
      </c>
      <c r="L13" s="25">
        <f>-IFERROR(Sanofi!I24/$D$5,0)</f>
        <v>-11869</v>
      </c>
      <c r="M13" s="25">
        <f>-IFERROR(Sanofi!J24/$D$5,0)</f>
        <v>-12619</v>
      </c>
      <c r="N13" s="25">
        <f>-IFERROR(Sanofi!K24/$D$5,0)</f>
        <v>-13195</v>
      </c>
      <c r="O13" s="23"/>
      <c r="P13" s="23"/>
      <c r="Q13" s="23"/>
      <c r="R13" s="23"/>
      <c r="S13" s="23"/>
    </row>
    <row r="14" spans="1:19" s="29" customFormat="1" ht="15" customHeight="1" x14ac:dyDescent="0.45">
      <c r="A14" s="1"/>
      <c r="B14" s="2"/>
      <c r="C14" s="1"/>
      <c r="D14" s="478" t="s">
        <v>430</v>
      </c>
      <c r="E14" s="477">
        <f t="shared" ref="E14:N14" si="2">SUM(E11,E13)</f>
        <v>23942</v>
      </c>
      <c r="F14" s="477">
        <f t="shared" si="2"/>
        <v>23995</v>
      </c>
      <c r="G14" s="477">
        <f t="shared" si="2"/>
        <v>24774</v>
      </c>
      <c r="H14" s="477">
        <f t="shared" si="2"/>
        <v>24356</v>
      </c>
      <c r="I14" s="477">
        <f t="shared" si="2"/>
        <v>25655</v>
      </c>
      <c r="J14" s="477">
        <f t="shared" si="2"/>
        <v>25263</v>
      </c>
      <c r="K14" s="477">
        <f t="shared" si="2"/>
        <v>26924</v>
      </c>
      <c r="L14" s="477">
        <f t="shared" si="2"/>
        <v>28435</v>
      </c>
      <c r="M14" s="477">
        <f t="shared" si="2"/>
        <v>28490</v>
      </c>
      <c r="N14" s="477">
        <f t="shared" si="2"/>
        <v>31091</v>
      </c>
      <c r="O14" s="477"/>
      <c r="P14" s="477"/>
      <c r="Q14" s="477"/>
      <c r="R14" s="477"/>
      <c r="S14" s="477"/>
    </row>
    <row r="15" spans="1:19" ht="15" customHeight="1" x14ac:dyDescent="0.45">
      <c r="B15" s="2"/>
      <c r="D15" s="479"/>
      <c r="E15" s="23"/>
      <c r="F15" s="23"/>
      <c r="G15" s="23"/>
      <c r="H15" s="23"/>
      <c r="I15" s="23"/>
      <c r="J15" s="23"/>
      <c r="K15" s="23"/>
      <c r="L15" s="23"/>
      <c r="M15" s="23"/>
      <c r="N15" s="23"/>
      <c r="O15" s="23"/>
      <c r="P15" s="23"/>
      <c r="Q15" s="23"/>
      <c r="R15" s="23"/>
      <c r="S15" s="23"/>
    </row>
    <row r="16" spans="1:19" s="26" customFormat="1" ht="15" customHeight="1" x14ac:dyDescent="0.45">
      <c r="A16" s="4"/>
      <c r="B16" s="2" t="s">
        <v>268</v>
      </c>
      <c r="C16" s="4"/>
      <c r="D16" s="509" t="s">
        <v>586</v>
      </c>
      <c r="E16" s="25">
        <f>-IFERROR(Sanofi!B27/$D$5,0)</f>
        <v>-9496</v>
      </c>
      <c r="F16" s="25">
        <f>-IFERROR(Sanofi!C27/$D$5,0)</f>
        <v>-9592</v>
      </c>
      <c r="G16" s="25">
        <f>-IFERROR(Sanofi!D27/$D$5,0)</f>
        <v>-10164</v>
      </c>
      <c r="H16" s="25">
        <f>-IFERROR(Sanofi!E27/$D$5,0)</f>
        <v>-9934</v>
      </c>
      <c r="I16" s="25">
        <f>-IFERROR(Sanofi!F27/$D$5,0)</f>
        <v>-9967</v>
      </c>
      <c r="J16" s="25">
        <f>-IFERROR(Sanofi!G27/$D$5,0)</f>
        <v>-9448</v>
      </c>
      <c r="K16" s="25">
        <f>-IFERROR(Sanofi!H27/$D$5,0)</f>
        <v>-9599</v>
      </c>
      <c r="L16" s="25">
        <f>-IFERROR(Sanofi!I27/$D$5,0)</f>
        <v>-8785</v>
      </c>
      <c r="M16" s="25">
        <f>-IFERROR(Sanofi!J27/$D$5,0)</f>
        <v>-9003</v>
      </c>
      <c r="N16" s="25">
        <f>-IFERROR(Sanofi!K27/$D$5,0)</f>
        <v>-9247</v>
      </c>
      <c r="O16" s="23"/>
      <c r="P16" s="23"/>
      <c r="Q16" s="23"/>
      <c r="R16" s="23"/>
      <c r="S16" s="23"/>
    </row>
    <row r="17" spans="1:19" s="26" customFormat="1" ht="15" customHeight="1" x14ac:dyDescent="0.45">
      <c r="A17" s="4"/>
      <c r="B17" s="2" t="s">
        <v>269</v>
      </c>
      <c r="C17" s="4"/>
      <c r="D17" s="509" t="s">
        <v>630</v>
      </c>
      <c r="E17" s="25">
        <f>-IFERROR(Sanofi!B28/$D$5,0)</f>
        <v>-5082</v>
      </c>
      <c r="F17" s="25">
        <f>-IFERROR(Sanofi!C28/$D$5,0)</f>
        <v>-5172</v>
      </c>
      <c r="G17" s="25">
        <f>-IFERROR(Sanofi!D28/$D$5,0)</f>
        <v>-5472</v>
      </c>
      <c r="H17" s="25">
        <f>-IFERROR(Sanofi!E28/$D$5,0)</f>
        <v>-5894</v>
      </c>
      <c r="I17" s="25">
        <f>-IFERROR(Sanofi!F28/$D$5,0)</f>
        <v>-6020</v>
      </c>
      <c r="J17" s="25">
        <f>-IFERROR(Sanofi!G28/$D$5,0)</f>
        <v>-5530</v>
      </c>
      <c r="K17" s="25">
        <f>-IFERROR(Sanofi!H28/$D$5,0)</f>
        <v>-5692</v>
      </c>
      <c r="L17" s="25">
        <f>-IFERROR(Sanofi!I28/$D$5,0)</f>
        <v>-6501</v>
      </c>
      <c r="M17" s="25">
        <f>-IFERROR(Sanofi!J28/$D$5,0)</f>
        <v>-6507</v>
      </c>
      <c r="N17" s="25">
        <f>-IFERROR(Sanofi!K28/$D$5,0)</f>
        <v>-7394</v>
      </c>
      <c r="O17" s="23"/>
      <c r="P17" s="23"/>
      <c r="Q17" s="23"/>
      <c r="R17" s="23"/>
      <c r="S17" s="23"/>
    </row>
    <row r="18" spans="1:19" s="26" customFormat="1" ht="15" customHeight="1" x14ac:dyDescent="0.45">
      <c r="A18" s="4"/>
      <c r="B18" s="2" t="s">
        <v>274</v>
      </c>
      <c r="C18" s="4"/>
      <c r="D18" s="509" t="s">
        <v>560</v>
      </c>
      <c r="E18" s="25">
        <f>-IFERROR(Sanofi!B29/$D$5,0)</f>
        <v>-2137</v>
      </c>
      <c r="F18" s="25">
        <f>-IFERROR(Sanofi!C29/$D$5,0)</f>
        <v>-1692</v>
      </c>
      <c r="G18" s="25">
        <f>-IFERROR(Sanofi!D29/$D$5,0)</f>
        <v>-1866</v>
      </c>
      <c r="H18" s="25">
        <f>-IFERROR(Sanofi!E29/$D$5,0)</f>
        <v>-2170</v>
      </c>
      <c r="I18" s="25">
        <f>-IFERROR(Sanofi!F29/$D$5,0)</f>
        <v>-2146</v>
      </c>
      <c r="J18" s="25">
        <f>-IFERROR(Sanofi!G29/$D$5,0)</f>
        <v>-1681</v>
      </c>
      <c r="K18" s="25">
        <f>-IFERROR(Sanofi!H29/$D$5,0)</f>
        <v>-1580</v>
      </c>
      <c r="L18" s="25">
        <f>-IFERROR(Sanofi!I29/$D$5,0)</f>
        <v>-1578</v>
      </c>
      <c r="M18" s="25">
        <f>-IFERROR(Sanofi!J29/$D$5,0)</f>
        <v>-1911</v>
      </c>
      <c r="N18" s="25">
        <f>-IFERROR(Sanofi!K29/$D$5,0)</f>
        <v>-1749</v>
      </c>
      <c r="O18" s="23"/>
      <c r="P18" s="23"/>
      <c r="Q18" s="23"/>
      <c r="R18" s="23"/>
      <c r="S18" s="23"/>
    </row>
    <row r="19" spans="1:19" s="26" customFormat="1" ht="15" customHeight="1" x14ac:dyDescent="0.45">
      <c r="A19" s="4"/>
      <c r="B19" s="2" t="s">
        <v>270</v>
      </c>
      <c r="C19" s="4"/>
      <c r="D19" s="509" t="s">
        <v>631</v>
      </c>
      <c r="E19" s="25">
        <f>-IFERROR(Sanofi!B30/$D$5,0)</f>
        <v>-256</v>
      </c>
      <c r="F19" s="25">
        <f>-IFERROR(Sanofi!C30/$D$5,0)</f>
        <v>-21</v>
      </c>
      <c r="G19" s="25">
        <f>-IFERROR(Sanofi!D30/$D$5,0)</f>
        <v>1</v>
      </c>
      <c r="H19" s="25">
        <f>-IFERROR(Sanofi!E30/$D$5,0)</f>
        <v>-334</v>
      </c>
      <c r="I19" s="25">
        <f>-IFERROR(Sanofi!F30/$D$5,0)</f>
        <v>-720</v>
      </c>
      <c r="J19" s="25">
        <f>-IFERROR(Sanofi!G30/$D$5,0)</f>
        <v>-1025</v>
      </c>
      <c r="K19" s="25">
        <f>-IFERROR(Sanofi!H30/$D$5,0)</f>
        <v>-1488</v>
      </c>
      <c r="L19" s="25">
        <f>-IFERROR(Sanofi!I30/$D$5,0)</f>
        <v>-1190</v>
      </c>
      <c r="M19" s="25">
        <f>-IFERROR(Sanofi!J30/$D$5,0)</f>
        <v>-2948</v>
      </c>
      <c r="N19" s="25">
        <f>-IFERROR(Sanofi!K30/$D$5,0)</f>
        <v>-3832</v>
      </c>
      <c r="O19" s="23"/>
      <c r="P19" s="23"/>
      <c r="Q19" s="23"/>
      <c r="R19" s="23"/>
      <c r="S19" s="23"/>
    </row>
    <row r="20" spans="1:19" s="30" customFormat="1" ht="15" customHeight="1" x14ac:dyDescent="0.45">
      <c r="A20" s="4"/>
      <c r="B20" s="4"/>
      <c r="C20" s="4"/>
      <c r="D20" s="478" t="s">
        <v>254</v>
      </c>
      <c r="E20" s="30">
        <f t="shared" ref="E20:N20" si="3">SUM(E14,E16:E19)</f>
        <v>6971</v>
      </c>
      <c r="F20" s="30">
        <f t="shared" si="3"/>
        <v>7518</v>
      </c>
      <c r="G20" s="30">
        <f t="shared" si="3"/>
        <v>7273</v>
      </c>
      <c r="H20" s="30">
        <f t="shared" si="3"/>
        <v>6024</v>
      </c>
      <c r="I20" s="30">
        <f t="shared" si="3"/>
        <v>6802</v>
      </c>
      <c r="J20" s="30">
        <f t="shared" si="3"/>
        <v>7579</v>
      </c>
      <c r="K20" s="30">
        <f t="shared" si="3"/>
        <v>8565</v>
      </c>
      <c r="L20" s="30">
        <f t="shared" si="3"/>
        <v>10381</v>
      </c>
      <c r="M20" s="30">
        <f t="shared" si="3"/>
        <v>8121</v>
      </c>
      <c r="N20" s="30">
        <f t="shared" si="3"/>
        <v>8869</v>
      </c>
    </row>
    <row r="21" spans="1:19" ht="15" customHeight="1" x14ac:dyDescent="0.45">
      <c r="B21" s="2"/>
      <c r="D21" s="479"/>
      <c r="E21" s="23"/>
      <c r="F21" s="23"/>
      <c r="G21" s="23"/>
      <c r="H21" s="23"/>
      <c r="I21" s="23"/>
      <c r="J21" s="23"/>
      <c r="K21" s="23"/>
      <c r="L21" s="23"/>
      <c r="M21" s="23"/>
      <c r="N21" s="23"/>
      <c r="O21" s="23"/>
      <c r="P21" s="23"/>
      <c r="Q21" s="23"/>
      <c r="R21" s="23"/>
      <c r="S21" s="23"/>
    </row>
    <row r="22" spans="1:19" ht="15" customHeight="1" x14ac:dyDescent="0.45">
      <c r="B22" s="24"/>
      <c r="C22" s="24"/>
      <c r="D22" s="490"/>
      <c r="E22" s="23"/>
      <c r="F22" s="23"/>
      <c r="I22" s="23"/>
      <c r="J22" s="23"/>
      <c r="K22" s="23"/>
      <c r="L22" s="23"/>
      <c r="M22" s="23"/>
      <c r="N22" s="23"/>
      <c r="O22" s="23"/>
      <c r="P22" s="23"/>
      <c r="Q22" s="23"/>
      <c r="R22" s="23"/>
      <c r="S22" s="23"/>
    </row>
    <row r="23" spans="1:19" ht="15" customHeight="1" x14ac:dyDescent="0.45">
      <c r="B23" s="2" t="s">
        <v>408</v>
      </c>
      <c r="D23" s="31" t="s">
        <v>408</v>
      </c>
      <c r="E23" s="25">
        <f>IFERROR(Sanofi!B34/$D$5,0)</f>
        <v>-416</v>
      </c>
      <c r="F23" s="25">
        <f>IFERROR(Sanofi!C34/$D$5,0)</f>
        <v>-360</v>
      </c>
      <c r="G23" s="25">
        <f>IFERROR(Sanofi!D34/$D$5,0)</f>
        <v>-346</v>
      </c>
      <c r="H23" s="25">
        <f>IFERROR(Sanofi!E34/$D$5,0)</f>
        <v>-471</v>
      </c>
      <c r="I23" s="25">
        <f>IFERROR(Sanofi!F34/$D$5,0)</f>
        <v>-544</v>
      </c>
      <c r="J23" s="25">
        <f>IFERROR(Sanofi!G34/$D$5,0)</f>
        <v>-459</v>
      </c>
      <c r="K23" s="25">
        <f>IFERROR(Sanofi!H34/$D$5,0)</f>
        <v>-362</v>
      </c>
      <c r="L23" s="25">
        <f>IFERROR(Sanofi!I34/$D$5,0)</f>
        <v>-402</v>
      </c>
      <c r="M23" s="25">
        <f>IFERROR(Sanofi!J34/$D$5,0)</f>
        <v>-589</v>
      </c>
      <c r="N23" s="25">
        <f>IFERROR(Sanofi!K34/$D$5,0)</f>
        <v>-641</v>
      </c>
      <c r="O23" s="25"/>
      <c r="P23" s="25"/>
      <c r="Q23" s="25"/>
      <c r="R23" s="25"/>
      <c r="S23" s="25"/>
    </row>
    <row r="24" spans="1:19" ht="15" customHeight="1" x14ac:dyDescent="0.45">
      <c r="B24" s="2" t="s">
        <v>407</v>
      </c>
      <c r="D24" s="31" t="s">
        <v>558</v>
      </c>
      <c r="E24" s="25">
        <f>IFERROR(Sanofi!B35/$D$5,0)</f>
        <v>57</v>
      </c>
      <c r="F24" s="25">
        <f>IFERROR(Sanofi!C35/$D$5,0)</f>
        <v>56</v>
      </c>
      <c r="G24" s="25">
        <f>IFERROR(Sanofi!D35/$D$5,0)</f>
        <v>56</v>
      </c>
      <c r="H24" s="25">
        <f>IFERROR(Sanofi!E35/$D$5,0)</f>
        <v>72</v>
      </c>
      <c r="I24" s="25">
        <f>IFERROR(Sanofi!F35/$D$5,0)</f>
        <v>91</v>
      </c>
      <c r="J24" s="25">
        <f>IFERROR(Sanofi!G35/$D$5,0)</f>
        <v>37</v>
      </c>
      <c r="K24" s="25">
        <f>IFERROR(Sanofi!H35/$D$5,0)</f>
        <v>3</v>
      </c>
      <c r="L24" s="25">
        <f>IFERROR(Sanofi!I35/$D$5,0)</f>
        <v>239</v>
      </c>
      <c r="M24" s="25">
        <f>IFERROR(Sanofi!J35/$D$5,0)</f>
        <v>527</v>
      </c>
      <c r="N24" s="25">
        <f>IFERROR(Sanofi!K35/$D$5,0)</f>
        <v>413</v>
      </c>
      <c r="O24" s="25"/>
      <c r="P24" s="25"/>
      <c r="Q24" s="25"/>
      <c r="R24" s="25"/>
      <c r="S24" s="25"/>
    </row>
    <row r="25" spans="1:19" ht="15" customHeight="1" x14ac:dyDescent="0.45">
      <c r="B25" s="2" t="s">
        <v>255</v>
      </c>
      <c r="D25" s="31" t="s">
        <v>632</v>
      </c>
      <c r="E25" s="25">
        <f>IFERROR(Sanofi!B37/$D$5,0)</f>
        <v>-22</v>
      </c>
      <c r="F25" s="25">
        <f>IFERROR(Sanofi!C37/$D$5,0)</f>
        <v>136</v>
      </c>
      <c r="G25" s="25">
        <f>IFERROR(Sanofi!D37/$D$5,0)</f>
        <v>85</v>
      </c>
      <c r="H25" s="25">
        <f>IFERROR(Sanofi!E37/$D$5,0)</f>
        <v>499</v>
      </c>
      <c r="I25" s="25">
        <f>IFERROR(Sanofi!F37/$D$5,0)</f>
        <v>255</v>
      </c>
      <c r="J25" s="25">
        <f>IFERROR(Sanofi!G37/$D$5,0)</f>
        <v>359</v>
      </c>
      <c r="K25" s="25">
        <f>IFERROR(Sanofi!H37/$D$5,0)</f>
        <v>39</v>
      </c>
      <c r="L25" s="25">
        <f>IFERROR(Sanofi!I37/$D$5,0)</f>
        <v>55</v>
      </c>
      <c r="M25" s="25">
        <f>IFERROR(Sanofi!J37/$D$5,0)</f>
        <v>-136</v>
      </c>
      <c r="N25" s="25">
        <f>IFERROR(Sanofi!K37/$D$5,0)</f>
        <v>60</v>
      </c>
      <c r="O25" s="25"/>
      <c r="P25" s="25"/>
      <c r="Q25" s="25"/>
      <c r="R25" s="25"/>
      <c r="S25" s="25"/>
    </row>
    <row r="26" spans="1:19" ht="15" customHeight="1" x14ac:dyDescent="0.45">
      <c r="B26" s="2" t="s">
        <v>409</v>
      </c>
      <c r="D26" s="31" t="s">
        <v>633</v>
      </c>
      <c r="E26" s="25">
        <f>IFERROR(Sanofi!B38/$D$5,0)</f>
        <v>-98</v>
      </c>
      <c r="F26" s="25">
        <f>IFERROR(Sanofi!C38/$D$5,0)</f>
        <v>-148</v>
      </c>
      <c r="G26" s="25">
        <f>IFERROR(Sanofi!D38/$D$5,0)</f>
        <v>-5</v>
      </c>
      <c r="H26" s="25">
        <f>IFERROR(Sanofi!E38/$D$5,0)</f>
        <v>6</v>
      </c>
      <c r="I26" s="25">
        <f>IFERROR(Sanofi!F38/$D$5,0)</f>
        <v>1</v>
      </c>
      <c r="J26" s="25">
        <f>IFERROR(Sanofi!G38/$D$5,0)</f>
        <v>-6</v>
      </c>
      <c r="K26" s="25">
        <f>IFERROR(Sanofi!H38/$D$5,0)</f>
        <v>2</v>
      </c>
      <c r="L26" s="25">
        <f>IFERROR(Sanofi!I38/$D$5,0)</f>
        <v>-3</v>
      </c>
      <c r="M26" s="25">
        <f>IFERROR(Sanofi!J38/$D$5,0)</f>
        <v>-2</v>
      </c>
      <c r="N26" s="25">
        <f>IFERROR(Sanofi!K38/$D$5,0)</f>
        <v>6</v>
      </c>
      <c r="O26" s="25"/>
      <c r="P26" s="25"/>
      <c r="Q26" s="25"/>
      <c r="R26" s="25"/>
      <c r="S26" s="25"/>
    </row>
    <row r="27" spans="1:19" ht="15" customHeight="1" x14ac:dyDescent="0.45">
      <c r="B27" s="2" t="s">
        <v>409</v>
      </c>
      <c r="D27" s="31" t="s">
        <v>634</v>
      </c>
      <c r="E27" s="25">
        <f>IFERROR(Sanofi!B39/$D$5,0)</f>
        <v>92</v>
      </c>
      <c r="F27" s="25">
        <f>IFERROR(Sanofi!C39/$D$5,0)</f>
        <v>21</v>
      </c>
      <c r="G27" s="25">
        <f>IFERROR(Sanofi!D39/$D$5,0)</f>
        <v>114</v>
      </c>
      <c r="H27" s="25">
        <f>IFERROR(Sanofi!E39/$D$5,0)</f>
        <v>134</v>
      </c>
      <c r="I27" s="25">
        <f>IFERROR(Sanofi!F39/$D$5,0)</f>
        <v>236</v>
      </c>
      <c r="J27" s="25">
        <f>IFERROR(Sanofi!G39/$D$5,0)</f>
        <v>144</v>
      </c>
      <c r="K27" s="25">
        <f>IFERROR(Sanofi!H39/$D$5,0)</f>
        <v>70</v>
      </c>
      <c r="L27" s="25">
        <f>IFERROR(Sanofi!I39/$D$5,0)</f>
        <v>-14</v>
      </c>
      <c r="M27" s="25">
        <f>IFERROR(Sanofi!J39/$D$5,0)</f>
        <v>-574</v>
      </c>
      <c r="N27" s="25">
        <f>IFERROR(Sanofi!K39/$D$5,0)</f>
        <v>-268</v>
      </c>
      <c r="O27" s="25"/>
      <c r="P27" s="25"/>
      <c r="Q27" s="25"/>
      <c r="R27" s="25"/>
      <c r="S27" s="25"/>
    </row>
    <row r="28" spans="1:19" ht="15" customHeight="1" x14ac:dyDescent="0.45">
      <c r="B28" s="2" t="s">
        <v>409</v>
      </c>
      <c r="D28" s="31" t="s">
        <v>635</v>
      </c>
      <c r="E28" s="25">
        <f>IFERROR(Sanofi!B41/$D$5,0)</f>
        <v>-795</v>
      </c>
      <c r="F28" s="25">
        <f>IFERROR(Sanofi!C41/$D$5,0)</f>
        <v>-879</v>
      </c>
      <c r="G28" s="25">
        <f>IFERROR(Sanofi!D41/$D$5,0)</f>
        <v>-731</v>
      </c>
      <c r="H28" s="25">
        <f>IFERROR(Sanofi!E41/$D$5,0)</f>
        <v>-1480</v>
      </c>
      <c r="I28" s="25">
        <f>IFERROR(Sanofi!F41/$D$5,0)</f>
        <v>-1088</v>
      </c>
      <c r="J28" s="25">
        <f>IFERROR(Sanofi!G41/$D$5,0)</f>
        <v>-1089</v>
      </c>
      <c r="K28" s="25">
        <f>IFERROR(Sanofi!H41/$D$5,0)</f>
        <v>-820</v>
      </c>
      <c r="L28" s="25">
        <f>IFERROR(Sanofi!I41/$D$5,0)</f>
        <v>-1077</v>
      </c>
      <c r="M28" s="25">
        <f>IFERROR(Sanofi!J41/$D$5,0)</f>
        <v>-1030</v>
      </c>
      <c r="N28" s="25">
        <f>IFERROR(Sanofi!K41/$D$5,0)</f>
        <v>-1396</v>
      </c>
      <c r="O28" s="25"/>
      <c r="P28" s="25"/>
      <c r="Q28" s="25"/>
      <c r="R28" s="25"/>
      <c r="S28" s="25"/>
    </row>
    <row r="29" spans="1:19" ht="15" customHeight="1" x14ac:dyDescent="0.45">
      <c r="B29" s="2" t="s">
        <v>409</v>
      </c>
      <c r="D29" s="31" t="s">
        <v>636</v>
      </c>
      <c r="E29" s="25">
        <f>IFERROR(Sanofi!B42/$D$5,0)</f>
        <v>0</v>
      </c>
      <c r="F29" s="25">
        <f>IFERROR(Sanofi!C42/$D$5,0)</f>
        <v>0</v>
      </c>
      <c r="G29" s="25">
        <f>IFERROR(Sanofi!D42/$D$5,0)</f>
        <v>-166</v>
      </c>
      <c r="H29" s="25">
        <f>IFERROR(Sanofi!E42/$D$5,0)</f>
        <v>-170</v>
      </c>
      <c r="I29" s="25">
        <f>IFERROR(Sanofi!F42/$D$5,0)</f>
        <v>-3</v>
      </c>
      <c r="J29" s="25">
        <f>IFERROR(Sanofi!G42/$D$5,0)</f>
        <v>-53</v>
      </c>
      <c r="K29" s="25">
        <f>IFERROR(Sanofi!H42/$D$5,0)</f>
        <v>-4</v>
      </c>
      <c r="L29" s="25">
        <f>IFERROR(Sanofi!I42/$D$5,0)</f>
        <v>-13</v>
      </c>
      <c r="M29" s="25">
        <f>IFERROR(Sanofi!J42/$D$5,0)</f>
        <v>-9</v>
      </c>
      <c r="N29" s="25">
        <f>IFERROR(Sanofi!K42/$D$5,0)</f>
        <v>-10</v>
      </c>
      <c r="O29" s="25"/>
      <c r="P29" s="25"/>
      <c r="Q29" s="25"/>
      <c r="R29" s="25"/>
      <c r="S29" s="25"/>
    </row>
    <row r="30" spans="1:19" ht="15" customHeight="1" x14ac:dyDescent="0.45">
      <c r="B30" s="2" t="s">
        <v>255</v>
      </c>
      <c r="D30" s="31" t="s">
        <v>637</v>
      </c>
      <c r="E30" s="25">
        <f>IFERROR(Sanofi!B43/$D$5,0)</f>
        <v>0</v>
      </c>
      <c r="F30" s="25">
        <f>IFERROR(Sanofi!C43/$D$5,0)</f>
        <v>-246</v>
      </c>
      <c r="G30" s="25">
        <f>IFERROR(Sanofi!D43/$D$5,0)</f>
        <v>0</v>
      </c>
      <c r="H30" s="25">
        <f>IFERROR(Sanofi!E43/$D$5,0)</f>
        <v>63</v>
      </c>
      <c r="I30" s="25">
        <f>IFERROR(Sanofi!F43/$D$5,0)</f>
        <v>0</v>
      </c>
      <c r="J30" s="25">
        <f>IFERROR(Sanofi!G43/$D$5,0)</f>
        <v>7388</v>
      </c>
      <c r="K30" s="25">
        <f>IFERROR(Sanofi!H43/$D$5,0)</f>
        <v>3</v>
      </c>
      <c r="L30" s="25">
        <f>IFERROR(Sanofi!I43/$D$5,0)</f>
        <v>1</v>
      </c>
      <c r="M30" s="25">
        <f>IFERROR(Sanofi!J43/$D$5,0)</f>
        <v>-1</v>
      </c>
      <c r="N30" s="25">
        <f>IFERROR(Sanofi!K43/$D$5,0)</f>
        <v>0</v>
      </c>
      <c r="O30" s="25"/>
      <c r="P30" s="25"/>
      <c r="Q30" s="25"/>
      <c r="R30" s="25"/>
      <c r="S30" s="25"/>
    </row>
    <row r="31" spans="1:19" ht="15" customHeight="1" x14ac:dyDescent="0.45">
      <c r="B31" s="2" t="s">
        <v>409</v>
      </c>
      <c r="D31" s="31" t="s">
        <v>638</v>
      </c>
      <c r="E31" s="25">
        <f>IFERROR(Sanofi!B44/$D$5,0)</f>
        <v>146</v>
      </c>
      <c r="F31" s="25">
        <f>IFERROR(Sanofi!C44/$D$5,0)</f>
        <v>40</v>
      </c>
      <c r="G31" s="25">
        <f>IFERROR(Sanofi!D44/$D$5,0)</f>
        <v>90</v>
      </c>
      <c r="H31" s="25">
        <f>IFERROR(Sanofi!E44/$D$5,0)</f>
        <v>326</v>
      </c>
      <c r="I31" s="25">
        <f>IFERROR(Sanofi!F44/$D$5,0)</f>
        <v>296</v>
      </c>
      <c r="J31" s="25">
        <f>IFERROR(Sanofi!G44/$D$5,0)</f>
        <v>443</v>
      </c>
      <c r="K31" s="25">
        <f>IFERROR(Sanofi!H44/$D$5,0)</f>
        <v>418</v>
      </c>
      <c r="L31" s="25">
        <f>IFERROR(Sanofi!I44/$D$5,0)</f>
        <v>481</v>
      </c>
      <c r="M31" s="25">
        <f>IFERROR(Sanofi!J44/$D$5,0)</f>
        <v>484</v>
      </c>
      <c r="N31" s="25">
        <f>IFERROR(Sanofi!K44/$D$5,0)</f>
        <v>539</v>
      </c>
      <c r="O31" s="25"/>
      <c r="P31" s="25"/>
      <c r="Q31" s="25"/>
      <c r="R31" s="25"/>
      <c r="S31" s="25"/>
    </row>
    <row r="32" spans="1:19" ht="15" customHeight="1" x14ac:dyDescent="0.45">
      <c r="B32" s="2" t="s">
        <v>409</v>
      </c>
      <c r="D32" s="31" t="s">
        <v>639</v>
      </c>
      <c r="E32" s="25">
        <f>IFERROR(Sanofi!B45/$D$5,0)</f>
        <v>-767</v>
      </c>
      <c r="F32" s="25">
        <f>IFERROR(Sanofi!C45/$D$5,0)</f>
        <v>-192</v>
      </c>
      <c r="G32" s="25">
        <f>IFERROR(Sanofi!D45/$D$5,0)</f>
        <v>-380</v>
      </c>
      <c r="H32" s="25">
        <f>IFERROR(Sanofi!E45/$D$5,0)</f>
        <v>-718</v>
      </c>
      <c r="I32" s="25">
        <f>IFERROR(Sanofi!F45/$D$5,0)</f>
        <v>-3604</v>
      </c>
      <c r="J32" s="25">
        <f>IFERROR(Sanofi!G45/$D$5,0)</f>
        <v>-330</v>
      </c>
      <c r="K32" s="25">
        <f>IFERROR(Sanofi!H45/$D$5,0)</f>
        <v>-192</v>
      </c>
      <c r="L32" s="25">
        <f>IFERROR(Sanofi!I45/$D$5,0)</f>
        <v>203</v>
      </c>
      <c r="M32" s="25">
        <f>IFERROR(Sanofi!J45/$D$5,0)</f>
        <v>-896</v>
      </c>
      <c r="N32" s="25">
        <f>IFERROR(Sanofi!K45/$D$5,0)</f>
        <v>-248</v>
      </c>
      <c r="O32" s="25"/>
      <c r="P32" s="25"/>
      <c r="Q32" s="25"/>
      <c r="R32" s="25"/>
      <c r="S32" s="25"/>
    </row>
    <row r="33" spans="1:19" ht="15" customHeight="1" x14ac:dyDescent="0.45">
      <c r="B33" s="2" t="s">
        <v>409</v>
      </c>
      <c r="D33" s="31" t="s">
        <v>640</v>
      </c>
      <c r="E33" s="25">
        <f>IFERROR(Sanofi!B46/$D$5,0)</f>
        <v>0</v>
      </c>
      <c r="F33" s="25">
        <f>IFERROR(Sanofi!C46/$D$5,0)</f>
        <v>0</v>
      </c>
      <c r="G33" s="25">
        <f>IFERROR(Sanofi!D46/$D$5,0)</f>
        <v>0</v>
      </c>
      <c r="H33" s="25">
        <f>IFERROR(Sanofi!E46/$D$5,0)</f>
        <v>0</v>
      </c>
      <c r="I33" s="25">
        <f>IFERROR(Sanofi!F46/$D$5,0)</f>
        <v>327</v>
      </c>
      <c r="J33" s="25">
        <f>IFERROR(Sanofi!G46/$D$5,0)</f>
        <v>0</v>
      </c>
      <c r="K33" s="25">
        <f>IFERROR(Sanofi!H46/$D$5,0)</f>
        <v>0</v>
      </c>
      <c r="L33" s="25">
        <f>IFERROR(Sanofi!I46/$D$5,0)</f>
        <v>-143</v>
      </c>
      <c r="M33" s="25">
        <f>IFERROR(Sanofi!J46/$D$5,0)</f>
        <v>-196</v>
      </c>
      <c r="N33" s="25">
        <f>IFERROR(Sanofi!K46/$D$5,0)</f>
        <v>-470</v>
      </c>
      <c r="O33" s="25"/>
      <c r="P33" s="25"/>
      <c r="Q33" s="25"/>
      <c r="R33" s="25"/>
      <c r="S33" s="25"/>
    </row>
    <row r="34" spans="1:19" ht="15" customHeight="1" x14ac:dyDescent="0.45">
      <c r="B34" s="2" t="s">
        <v>409</v>
      </c>
      <c r="D34" s="487" t="s">
        <v>641</v>
      </c>
      <c r="E34" s="25">
        <f>IFERROR(Sanofi!B47/$D$5,0)</f>
        <v>53</v>
      </c>
      <c r="F34" s="25">
        <f>IFERROR(Sanofi!C47/$D$5,0)</f>
        <v>-135</v>
      </c>
      <c r="G34" s="25">
        <f>IFERROR(Sanofi!D47/$D$5,0)</f>
        <v>-374</v>
      </c>
      <c r="H34" s="25">
        <f>IFERROR(Sanofi!E47/$D$5,0)</f>
        <v>619</v>
      </c>
      <c r="I34" s="25">
        <f>IFERROR(Sanofi!F47/$D$5,0)</f>
        <v>238</v>
      </c>
      <c r="J34" s="25">
        <f>IFERROR(Sanofi!G47/$D$5,0)</f>
        <v>124</v>
      </c>
      <c r="K34" s="25">
        <f>IFERROR(Sanofi!H47/$D$5,0)</f>
        <v>115</v>
      </c>
      <c r="L34" s="25">
        <f>IFERROR(Sanofi!I47/$D$5,0)</f>
        <v>284</v>
      </c>
      <c r="M34" s="25">
        <f>IFERROR(Sanofi!J47/$D$5,0)</f>
        <v>416</v>
      </c>
      <c r="N34" s="25">
        <f>IFERROR(Sanofi!K47/$D$5,0)</f>
        <v>-96</v>
      </c>
      <c r="O34" s="25"/>
      <c r="P34" s="25"/>
      <c r="Q34" s="25"/>
      <c r="R34" s="25"/>
      <c r="S34" s="25"/>
    </row>
    <row r="35" spans="1:19" s="30" customFormat="1" ht="15" customHeight="1" x14ac:dyDescent="0.45">
      <c r="A35" s="4"/>
      <c r="B35" s="5"/>
      <c r="C35" s="4"/>
      <c r="D35" s="478" t="s">
        <v>438</v>
      </c>
      <c r="E35" s="477">
        <f t="shared" ref="E35:N35" si="4">SUM(E20,E23:E34)</f>
        <v>5221</v>
      </c>
      <c r="F35" s="477">
        <f t="shared" si="4"/>
        <v>5811</v>
      </c>
      <c r="G35" s="477">
        <f t="shared" si="4"/>
        <v>5616</v>
      </c>
      <c r="H35" s="477">
        <f t="shared" si="4"/>
        <v>4904</v>
      </c>
      <c r="I35" s="477">
        <f t="shared" si="4"/>
        <v>3007</v>
      </c>
      <c r="J35" s="477">
        <f t="shared" si="4"/>
        <v>14137</v>
      </c>
      <c r="K35" s="477">
        <f t="shared" si="4"/>
        <v>7837</v>
      </c>
      <c r="L35" s="477">
        <f t="shared" si="4"/>
        <v>9992</v>
      </c>
      <c r="M35" s="477">
        <f t="shared" si="4"/>
        <v>6115</v>
      </c>
      <c r="N35" s="477">
        <f t="shared" si="4"/>
        <v>6758</v>
      </c>
      <c r="O35" s="477"/>
      <c r="P35" s="477"/>
      <c r="Q35" s="477"/>
      <c r="R35" s="477"/>
      <c r="S35" s="477"/>
    </row>
    <row r="36" spans="1:19" ht="15" customHeight="1" x14ac:dyDescent="0.45">
      <c r="B36" s="24"/>
      <c r="D36" s="31"/>
      <c r="E36" s="25"/>
      <c r="F36" s="25"/>
      <c r="G36" s="25"/>
      <c r="H36" s="25"/>
      <c r="I36" s="25"/>
      <c r="J36" s="25"/>
      <c r="K36" s="25"/>
      <c r="L36" s="25"/>
      <c r="M36" s="25"/>
      <c r="N36" s="25"/>
      <c r="O36" s="25"/>
      <c r="P36" s="25"/>
      <c r="Q36" s="25"/>
      <c r="R36" s="25"/>
      <c r="S36" s="25"/>
    </row>
    <row r="37" spans="1:19" ht="15" customHeight="1" x14ac:dyDescent="0.45">
      <c r="B37" s="2" t="s">
        <v>410</v>
      </c>
      <c r="D37" s="487" t="s">
        <v>559</v>
      </c>
      <c r="E37" s="25">
        <f>-IFERROR(Sanofi!B50/$D$5,0)</f>
        <v>-709</v>
      </c>
      <c r="F37" s="25">
        <f>-IFERROR(Sanofi!C50/$D$5,0)</f>
        <v>-1325</v>
      </c>
      <c r="G37" s="25">
        <f>-IFERROR(Sanofi!D50/$D$5,0)</f>
        <v>-1722</v>
      </c>
      <c r="H37" s="25">
        <f>-IFERROR(Sanofi!E50/$D$5,0)</f>
        <v>-481</v>
      </c>
      <c r="I37" s="25">
        <f>-IFERROR(Sanofi!F50/$D$5,0)</f>
        <v>-121</v>
      </c>
      <c r="J37" s="25">
        <f>-IFERROR(Sanofi!G50/$D$5,0)</f>
        <v>-1807</v>
      </c>
      <c r="K37" s="25">
        <f>-IFERROR(Sanofi!H50/$D$5,0)</f>
        <v>-1558</v>
      </c>
      <c r="L37" s="25">
        <f>-IFERROR(Sanofi!I50/$D$5,0)</f>
        <v>-1909</v>
      </c>
      <c r="M37" s="25">
        <f>-IFERROR(Sanofi!J50/$D$5,0)</f>
        <v>-1017</v>
      </c>
      <c r="N37" s="25">
        <f>-IFERROR(Sanofi!K50/$D$5,0)</f>
        <v>-1204</v>
      </c>
      <c r="O37" s="25"/>
      <c r="P37" s="25"/>
      <c r="Q37" s="25"/>
      <c r="R37" s="25"/>
      <c r="S37" s="25"/>
    </row>
    <row r="38" spans="1:19" ht="15" customHeight="1" x14ac:dyDescent="0.45">
      <c r="B38" s="2" t="s">
        <v>411</v>
      </c>
      <c r="D38" s="487" t="s">
        <v>642</v>
      </c>
      <c r="E38" s="25">
        <f>IFERROR(Sanofi!B52/$D$5,0)</f>
        <v>-124</v>
      </c>
      <c r="F38" s="25">
        <f>IFERROR(Sanofi!C52/$D$5,0)</f>
        <v>314</v>
      </c>
      <c r="G38" s="25">
        <f>IFERROR(Sanofi!D52/$D$5,0)</f>
        <v>4643</v>
      </c>
      <c r="H38" s="25">
        <f>IFERROR(Sanofi!E52/$D$5,0)</f>
        <v>-13</v>
      </c>
      <c r="I38" s="25">
        <f>IFERROR(Sanofi!F52/$D$5,0)</f>
        <v>-101</v>
      </c>
      <c r="J38" s="25">
        <f>IFERROR(Sanofi!G52/$D$5,0)</f>
        <v>0</v>
      </c>
      <c r="K38" s="25">
        <f>IFERROR(Sanofi!H52/$D$5,0)</f>
        <v>0</v>
      </c>
      <c r="L38" s="25">
        <f>IFERROR(Sanofi!I52/$D$5,0)</f>
        <v>401</v>
      </c>
      <c r="M38" s="25">
        <f>IFERROR(Sanofi!J52/$D$5,0)</f>
        <v>338</v>
      </c>
      <c r="N38" s="25">
        <f>IFERROR(Sanofi!K52/$D$5,0)</f>
        <v>64</v>
      </c>
      <c r="O38" s="25"/>
      <c r="P38" s="25"/>
      <c r="Q38" s="25"/>
      <c r="R38" s="25"/>
      <c r="S38" s="25"/>
    </row>
    <row r="39" spans="1:19" ht="15" customHeight="1" x14ac:dyDescent="0.45">
      <c r="B39" s="2" t="s">
        <v>263</v>
      </c>
      <c r="D39" s="487" t="s">
        <v>643</v>
      </c>
      <c r="E39" s="25">
        <f>IFERROR(Sanofi!B54/$D$5,0)</f>
        <v>-101</v>
      </c>
      <c r="F39" s="25">
        <f>IFERROR(Sanofi!C54/$D$5,0)</f>
        <v>-91</v>
      </c>
      <c r="G39" s="25">
        <f>IFERROR(Sanofi!D54/$D$5,0)</f>
        <v>-121</v>
      </c>
      <c r="H39" s="25">
        <f>IFERROR(Sanofi!E54/$D$5,0)</f>
        <v>-104</v>
      </c>
      <c r="I39" s="25">
        <f>IFERROR(Sanofi!F54/$D$5,0)</f>
        <v>-31</v>
      </c>
      <c r="J39" s="25">
        <f>IFERROR(Sanofi!G54/$D$5,0)</f>
        <v>-36</v>
      </c>
      <c r="K39" s="25">
        <f>IFERROR(Sanofi!H54/$D$5,0)</f>
        <v>-56</v>
      </c>
      <c r="L39" s="25">
        <f>IFERROR(Sanofi!I54/$D$5,0)</f>
        <v>-113</v>
      </c>
      <c r="M39" s="25">
        <f>IFERROR(Sanofi!J54/$D$5,0)</f>
        <v>-36</v>
      </c>
      <c r="N39" s="25">
        <f>IFERROR(Sanofi!K54/$D$5,0)</f>
        <v>-58</v>
      </c>
      <c r="O39" s="25"/>
      <c r="P39" s="25"/>
      <c r="Q39" s="25"/>
      <c r="R39" s="25"/>
      <c r="S39" s="25"/>
    </row>
    <row r="40" spans="1:19" s="29" customFormat="1" ht="15" customHeight="1" x14ac:dyDescent="0.45">
      <c r="A40" s="1"/>
      <c r="B40" s="2" t="s">
        <v>412</v>
      </c>
      <c r="C40" s="1"/>
      <c r="D40" s="478" t="s">
        <v>441</v>
      </c>
      <c r="E40" s="477">
        <f t="shared" ref="E40:N40" si="5">SUM(E35,E37:E39)</f>
        <v>4287</v>
      </c>
      <c r="F40" s="477">
        <f t="shared" si="5"/>
        <v>4709</v>
      </c>
      <c r="G40" s="477">
        <f t="shared" si="5"/>
        <v>8416</v>
      </c>
      <c r="H40" s="477">
        <f t="shared" si="5"/>
        <v>4306</v>
      </c>
      <c r="I40" s="477">
        <f t="shared" si="5"/>
        <v>2754</v>
      </c>
      <c r="J40" s="477">
        <f t="shared" si="5"/>
        <v>12294</v>
      </c>
      <c r="K40" s="477">
        <f t="shared" si="5"/>
        <v>6223</v>
      </c>
      <c r="L40" s="477">
        <f t="shared" si="5"/>
        <v>8371</v>
      </c>
      <c r="M40" s="477">
        <f t="shared" si="5"/>
        <v>5400</v>
      </c>
      <c r="N40" s="477">
        <f t="shared" si="5"/>
        <v>5560</v>
      </c>
      <c r="O40" s="477"/>
      <c r="P40" s="477"/>
      <c r="Q40" s="477"/>
      <c r="R40" s="477"/>
      <c r="S40" s="477"/>
    </row>
    <row r="41" spans="1:19" ht="15" customHeight="1" x14ac:dyDescent="0.45">
      <c r="B41" s="2"/>
    </row>
    <row r="42" spans="1:19" ht="15" customHeight="1" x14ac:dyDescent="0.45">
      <c r="B42" s="2"/>
      <c r="D42" s="31"/>
      <c r="E42" s="25"/>
      <c r="F42" s="25"/>
      <c r="G42" s="25"/>
      <c r="H42" s="25"/>
      <c r="I42" s="25"/>
      <c r="J42" s="25"/>
      <c r="K42" s="25"/>
      <c r="L42" s="25"/>
      <c r="M42" s="25"/>
      <c r="N42" s="25"/>
      <c r="O42" s="25"/>
      <c r="P42" s="25"/>
      <c r="Q42" s="25"/>
      <c r="R42" s="25"/>
      <c r="S42" s="25"/>
    </row>
    <row r="44" spans="1:19" ht="15" customHeight="1" x14ac:dyDescent="0.45">
      <c r="B44" s="5"/>
      <c r="D44" s="485" t="s">
        <v>442</v>
      </c>
      <c r="E44" s="23"/>
      <c r="F44" s="23"/>
      <c r="G44" s="23"/>
      <c r="H44" s="23"/>
      <c r="I44" s="23"/>
      <c r="J44" s="23"/>
      <c r="K44" s="23"/>
      <c r="L44" s="23"/>
      <c r="M44" s="23"/>
      <c r="N44" s="23"/>
      <c r="O44" s="23"/>
      <c r="P44" s="23"/>
      <c r="Q44" s="23"/>
      <c r="R44" s="23"/>
      <c r="S44" s="23"/>
    </row>
    <row r="45" spans="1:19" ht="15" customHeight="1" x14ac:dyDescent="0.45">
      <c r="B45" s="2"/>
      <c r="D45" s="31" t="s">
        <v>550</v>
      </c>
      <c r="E45" s="25">
        <f>IFERROR(Sanofi!B82/$D$5,0)</f>
        <v>5082</v>
      </c>
      <c r="F45" s="25">
        <f>IFERROR(Sanofi!C82/$D$5,0)</f>
        <v>5232</v>
      </c>
      <c r="G45" s="25">
        <f>IFERROR(Sanofi!D82/$D$5,0)</f>
        <v>5567</v>
      </c>
      <c r="H45" s="25">
        <f>IFERROR(Sanofi!E82/$D$5,0)</f>
        <v>6350</v>
      </c>
      <c r="I45" s="25">
        <f>IFERROR(Sanofi!F82/$D$5,0)</f>
        <v>6020</v>
      </c>
      <c r="J45" s="25">
        <f>IFERROR(Sanofi!G82/$D$5,0)</f>
        <v>5530</v>
      </c>
      <c r="K45" s="25">
        <f>IFERROR(Sanofi!H82/$D$5,0)</f>
        <v>5692</v>
      </c>
      <c r="L45" s="25">
        <f>IFERROR(Sanofi!I82/$D$5,0)</f>
        <v>6501</v>
      </c>
      <c r="M45" s="25">
        <f>IFERROR(Sanofi!J82/$D$5,0)</f>
        <v>6507</v>
      </c>
      <c r="N45" s="25">
        <f>IFERROR(Sanofi!K82/$D$5,0)</f>
        <v>7394</v>
      </c>
      <c r="O45" s="25"/>
      <c r="P45" s="25"/>
      <c r="Q45" s="25"/>
      <c r="R45" s="25"/>
      <c r="S45" s="25"/>
    </row>
    <row r="46" spans="1:19" ht="15" customHeight="1" x14ac:dyDescent="0.45">
      <c r="B46" s="2"/>
      <c r="D46" s="31" t="s">
        <v>551</v>
      </c>
      <c r="E46" s="25">
        <f>IFERROR(Sanofi!B83/$D$5,0)</f>
        <v>340</v>
      </c>
      <c r="F46" s="25">
        <f>IFERROR(Sanofi!C83/$D$5,0)</f>
        <v>309</v>
      </c>
      <c r="G46" s="25">
        <f>IFERROR(Sanofi!D83/$D$5,0)</f>
        <v>291</v>
      </c>
      <c r="H46" s="25">
        <f>IFERROR(Sanofi!E83/$D$5,0)</f>
        <v>345</v>
      </c>
      <c r="I46" s="25">
        <f>IFERROR(Sanofi!F83/$D$5,0)</f>
        <v>50</v>
      </c>
      <c r="J46" s="25">
        <f>IFERROR(Sanofi!G83/$D$5,0)</f>
        <v>27</v>
      </c>
      <c r="K46" s="25">
        <f>IFERROR(Sanofi!H83/$D$5,0)</f>
        <v>25</v>
      </c>
      <c r="L46" s="25">
        <f>IFERROR(Sanofi!I83/$D$5,0)</f>
        <v>26</v>
      </c>
      <c r="M46" s="25">
        <f>IFERROR(Sanofi!J83/$D$5,0)</f>
        <v>19</v>
      </c>
      <c r="N46" s="25">
        <f>IFERROR(Sanofi!K83/$D$5,0)</f>
        <v>16</v>
      </c>
      <c r="O46" s="25"/>
      <c r="P46" s="25"/>
      <c r="Q46" s="25"/>
      <c r="R46" s="25"/>
      <c r="S46" s="25"/>
    </row>
    <row r="47" spans="1:19" ht="15" customHeight="1" x14ac:dyDescent="0.45">
      <c r="B47" s="2"/>
      <c r="D47" s="31" t="s">
        <v>552</v>
      </c>
      <c r="E47" s="25">
        <f>IFERROR(Sanofi!B84/$D$5,0)</f>
        <v>74.728999999999999</v>
      </c>
      <c r="F47" s="25">
        <f>IFERROR(Sanofi!C84/$D$5,0)</f>
        <v>53.042000000000002</v>
      </c>
      <c r="G47" s="25">
        <f>IFERROR(Sanofi!D84/$D$5,0)</f>
        <v>49.851999999999997</v>
      </c>
      <c r="H47" s="25">
        <f>IFERROR(Sanofi!E84/$D$5,0)</f>
        <v>67.488</v>
      </c>
      <c r="I47" s="25">
        <f>IFERROR(Sanofi!F84/$D$5,0)</f>
        <v>8.8260000000000005</v>
      </c>
      <c r="J47" s="25">
        <f>IFERROR(Sanofi!G84/$D$5,0)</f>
        <v>4.093</v>
      </c>
      <c r="K47" s="25">
        <f>IFERROR(Sanofi!H84/$D$5,0)</f>
        <v>3.2629999999999999</v>
      </c>
      <c r="L47" s="25">
        <f>IFERROR(Sanofi!I84/$D$5,0)</f>
        <v>3.9950000000000001</v>
      </c>
      <c r="M47" s="25">
        <f>IFERROR(Sanofi!J84/$D$5,0)</f>
        <v>4.7169999999999996</v>
      </c>
      <c r="N47" s="25">
        <f>IFERROR(Sanofi!K84/$D$5,0)</f>
        <v>4.875</v>
      </c>
      <c r="O47" s="25"/>
      <c r="P47" s="25"/>
      <c r="Q47" s="25"/>
      <c r="R47" s="25"/>
      <c r="S47" s="25"/>
    </row>
    <row r="48" spans="1:19" ht="15" customHeight="1" x14ac:dyDescent="0.45">
      <c r="B48" s="2"/>
      <c r="D48" s="31" t="s">
        <v>553</v>
      </c>
      <c r="E48" s="25">
        <f>IFERROR(Sanofi!B85/$D$5,0)</f>
        <v>265.27100000000002</v>
      </c>
      <c r="F48" s="25">
        <f>IFERROR(Sanofi!C85/$D$5,0)</f>
        <v>255.958</v>
      </c>
      <c r="G48" s="25">
        <f>IFERROR(Sanofi!D85/$D$5,0)</f>
        <v>241.148</v>
      </c>
      <c r="H48" s="25">
        <f>IFERROR(Sanofi!E85/$D$5,0)</f>
        <v>277.512</v>
      </c>
      <c r="I48" s="25">
        <f>IFERROR(Sanofi!F85/$D$5,0)</f>
        <v>41.173999999999999</v>
      </c>
      <c r="J48" s="25">
        <f>IFERROR(Sanofi!G85/$D$5,0)</f>
        <v>22.907</v>
      </c>
      <c r="K48" s="25">
        <f>IFERROR(Sanofi!H85/$D$5,0)</f>
        <v>21.736999999999998</v>
      </c>
      <c r="L48" s="25">
        <f>IFERROR(Sanofi!I85/$D$5,0)</f>
        <v>22.004999999999999</v>
      </c>
      <c r="M48" s="25">
        <f>IFERROR(Sanofi!J85/$D$5,0)</f>
        <v>14.282999999999999</v>
      </c>
      <c r="N48" s="25">
        <f>IFERROR(Sanofi!K85/$D$5,0)</f>
        <v>11.125</v>
      </c>
      <c r="O48" s="25"/>
      <c r="P48" s="25"/>
      <c r="Q48" s="25"/>
      <c r="R48" s="25"/>
      <c r="S48" s="25"/>
    </row>
    <row r="49" spans="2:19" ht="15" customHeight="1" x14ac:dyDescent="0.45">
      <c r="B49" s="2"/>
      <c r="D49" s="31" t="s">
        <v>554</v>
      </c>
      <c r="E49" s="25">
        <f>IFERROR(Sanofi!B86/$D$5,0)</f>
        <v>206</v>
      </c>
      <c r="F49" s="25">
        <f>IFERROR(Sanofi!C86/$D$5,0)</f>
        <v>250</v>
      </c>
      <c r="G49" s="25">
        <f>IFERROR(Sanofi!D86/$D$5,0)</f>
        <v>263</v>
      </c>
      <c r="H49" s="25">
        <f>IFERROR(Sanofi!E86/$D$5,0)</f>
        <v>284</v>
      </c>
      <c r="I49" s="25">
        <f>IFERROR(Sanofi!F86/$D$5,0)</f>
        <v>252</v>
      </c>
      <c r="J49" s="25">
        <f>IFERROR(Sanofi!G86/$D$5,0)</f>
        <v>274</v>
      </c>
      <c r="K49" s="25">
        <f>IFERROR(Sanofi!H86/$D$5,0)</f>
        <v>244</v>
      </c>
      <c r="L49" s="25">
        <f>IFERROR(Sanofi!I86/$D$5,0)</f>
        <v>234</v>
      </c>
      <c r="M49" s="25">
        <f>IFERROR(Sanofi!J86/$D$5,0)</f>
        <v>260</v>
      </c>
      <c r="N49" s="25">
        <f>IFERROR(Sanofi!K86/$D$5,0)</f>
        <v>278</v>
      </c>
      <c r="O49" s="25"/>
      <c r="P49" s="25"/>
      <c r="Q49" s="25"/>
      <c r="R49" s="25"/>
      <c r="S49" s="25"/>
    </row>
    <row r="50" spans="2:19" ht="15" customHeight="1" x14ac:dyDescent="0.45">
      <c r="B50" s="2"/>
      <c r="D50" s="31" t="s">
        <v>556</v>
      </c>
      <c r="E50" s="25">
        <f>+Sanofi!B132/$D$5</f>
        <v>612</v>
      </c>
      <c r="F50" s="25">
        <f>+Sanofi!C132/$D$5</f>
        <v>1129</v>
      </c>
      <c r="G50" s="25">
        <f>+Sanofi!D132/$D$5</f>
        <v>1121</v>
      </c>
      <c r="H50" s="25">
        <f>+Sanofi!E132/$D$5</f>
        <v>1151</v>
      </c>
      <c r="I50" s="25">
        <f>+Sanofi!F132/$D$5</f>
        <v>1426</v>
      </c>
      <c r="J50" s="25">
        <f>+Sanofi!G132/$D$5</f>
        <v>1479</v>
      </c>
      <c r="K50" s="25">
        <f>+Sanofi!H132/$D$5</f>
        <v>1380</v>
      </c>
      <c r="L50" s="25">
        <f>+Sanofi!I132/$D$5</f>
        <v>1180</v>
      </c>
      <c r="M50" s="25">
        <f>+Sanofi!J132/$D$5</f>
        <v>1022</v>
      </c>
      <c r="N50" s="25">
        <f>+Sanofi!K132/$D$5</f>
        <v>1016</v>
      </c>
      <c r="O50" s="25"/>
      <c r="P50" s="25"/>
      <c r="Q50" s="25"/>
      <c r="R50" s="25"/>
      <c r="S50" s="25"/>
    </row>
    <row r="51" spans="2:19" ht="15" customHeight="1" x14ac:dyDescent="0.45">
      <c r="B51" s="2"/>
      <c r="D51" s="31" t="s">
        <v>555</v>
      </c>
      <c r="E51" s="25">
        <f>+Sanofi!B148/$D$5</f>
        <v>8920</v>
      </c>
      <c r="F51" s="25">
        <f>+Sanofi!C148/$D$5</f>
        <v>7838</v>
      </c>
      <c r="G51" s="25">
        <f>+Sanofi!D148/$D$5</f>
        <v>7379</v>
      </c>
      <c r="H51" s="25">
        <f>+Sanofi!E148/$D$5</f>
        <v>5547</v>
      </c>
      <c r="I51" s="25">
        <f>+Sanofi!F148/$D$5</f>
        <v>7715</v>
      </c>
      <c r="J51" s="25">
        <f>+Sanofi!G148/$D$5</f>
        <v>7418</v>
      </c>
      <c r="K51" s="25">
        <f>+Sanofi!H148/$D$5</f>
        <v>10522</v>
      </c>
      <c r="L51" s="25">
        <f>+Sanofi!I148/$D$5</f>
        <v>10526</v>
      </c>
      <c r="M51" s="25">
        <f>+Sanofi!J148/$D$5</f>
        <v>10258</v>
      </c>
      <c r="N51" s="25">
        <f>+Sanofi!K148/$D$5</f>
        <v>9081</v>
      </c>
      <c r="O51" s="25"/>
      <c r="P51" s="25"/>
      <c r="Q51" s="25"/>
      <c r="R51" s="25"/>
      <c r="S51" s="25"/>
    </row>
    <row r="52" spans="2:19" ht="15" customHeight="1" x14ac:dyDescent="0.45">
      <c r="B52" s="2"/>
      <c r="D52" s="31" t="s">
        <v>556</v>
      </c>
      <c r="E52" s="25">
        <f>+Sanofi!B134/'Sanofi FS'!$D$5</f>
        <v>3263</v>
      </c>
      <c r="F52" s="25">
        <f>+Sanofi!C134/'Sanofi FS'!$D$5</f>
        <v>2841</v>
      </c>
      <c r="G52" s="25">
        <f>+Sanofi!D134/'Sanofi FS'!$D$5</f>
        <v>3007</v>
      </c>
      <c r="H52" s="25">
        <f>+Sanofi!E134/'Sanofi FS'!$D$5</f>
        <v>3339</v>
      </c>
      <c r="I52" s="25">
        <f>+Sanofi!F134/'Sanofi FS'!$D$5</f>
        <v>3593</v>
      </c>
      <c r="J52" s="25">
        <f>+Sanofi!G134/'Sanofi FS'!$D$5</f>
        <v>3186</v>
      </c>
      <c r="K52" s="25">
        <f>+Sanofi!H134/'Sanofi FS'!$D$5</f>
        <v>3001</v>
      </c>
      <c r="L52" s="25">
        <f>+Sanofi!I134/'Sanofi FS'!$D$5</f>
        <v>3053</v>
      </c>
      <c r="M52" s="25">
        <f>+Sanofi!J134/'Sanofi FS'!$D$5</f>
        <v>3247</v>
      </c>
      <c r="N52" s="25">
        <f>+Sanofi!K134/'Sanofi FS'!$D$5</f>
        <v>3110</v>
      </c>
      <c r="O52" s="25"/>
      <c r="P52" s="25"/>
      <c r="Q52" s="25"/>
      <c r="R52" s="25"/>
      <c r="S52" s="25"/>
    </row>
    <row r="53" spans="2:19" ht="15" customHeight="1" x14ac:dyDescent="0.45">
      <c r="B53" s="2"/>
      <c r="D53" s="31"/>
      <c r="E53" s="25"/>
      <c r="F53" s="25"/>
      <c r="G53" s="25"/>
      <c r="H53" s="25"/>
      <c r="I53" s="25"/>
      <c r="J53" s="25"/>
      <c r="K53" s="25"/>
      <c r="L53" s="25"/>
      <c r="M53" s="25"/>
      <c r="N53" s="25"/>
      <c r="O53" s="25"/>
      <c r="P53" s="25"/>
      <c r="Q53" s="25"/>
      <c r="R53" s="25"/>
      <c r="S53" s="25"/>
    </row>
    <row r="54" spans="2:19" ht="15" customHeight="1" x14ac:dyDescent="0.45">
      <c r="B54" s="2"/>
      <c r="D54" s="31"/>
      <c r="E54" s="25"/>
      <c r="F54" s="25"/>
      <c r="G54" s="25"/>
      <c r="H54" s="25"/>
      <c r="I54" s="25"/>
      <c r="J54" s="25"/>
      <c r="K54" s="25"/>
      <c r="L54" s="25"/>
      <c r="M54" s="25"/>
      <c r="N54" s="25"/>
      <c r="O54" s="25"/>
      <c r="P54" s="25"/>
      <c r="Q54" s="25"/>
      <c r="R54" s="25"/>
      <c r="S54" s="25"/>
    </row>
    <row r="55" spans="2:19" ht="15" customHeight="1" x14ac:dyDescent="0.45">
      <c r="B55" s="2"/>
      <c r="D55" s="31"/>
      <c r="E55" s="25"/>
      <c r="F55" s="25"/>
      <c r="G55" s="25"/>
      <c r="H55" s="25"/>
      <c r="I55" s="25"/>
      <c r="J55" s="25"/>
      <c r="K55" s="25"/>
      <c r="L55" s="25"/>
      <c r="M55" s="25"/>
      <c r="N55" s="25"/>
      <c r="O55" s="25"/>
      <c r="P55" s="25"/>
      <c r="Q55" s="25"/>
      <c r="R55" s="25"/>
      <c r="S55" s="25"/>
    </row>
    <row r="56" spans="2:19" ht="15" customHeight="1" x14ac:dyDescent="0.45">
      <c r="B56" s="2"/>
      <c r="D56" s="31"/>
      <c r="E56" s="25"/>
      <c r="F56" s="25"/>
      <c r="G56" s="25"/>
      <c r="H56" s="25"/>
      <c r="I56" s="25"/>
      <c r="J56" s="25"/>
      <c r="K56" s="25"/>
      <c r="L56" s="25"/>
      <c r="M56" s="25"/>
      <c r="N56" s="25"/>
      <c r="O56" s="25"/>
      <c r="P56" s="25"/>
      <c r="Q56" s="25"/>
      <c r="R56" s="25"/>
      <c r="S56" s="25"/>
    </row>
    <row r="57" spans="2:19" ht="15" customHeight="1" x14ac:dyDescent="0.45">
      <c r="B57" s="2"/>
      <c r="D57" s="31"/>
      <c r="E57" s="25"/>
      <c r="F57" s="25"/>
      <c r="G57" s="25"/>
      <c r="H57" s="25"/>
      <c r="I57" s="25"/>
      <c r="J57" s="25"/>
      <c r="K57" s="25"/>
      <c r="L57" s="25"/>
      <c r="M57" s="25"/>
      <c r="N57" s="25"/>
      <c r="O57" s="25"/>
      <c r="P57" s="25"/>
      <c r="Q57" s="25"/>
      <c r="R57" s="25"/>
      <c r="S57" s="25"/>
    </row>
    <row r="58" spans="2:19" ht="15" customHeight="1" x14ac:dyDescent="0.45">
      <c r="B58" s="2"/>
      <c r="D58" s="31"/>
      <c r="E58" s="25"/>
      <c r="F58" s="25"/>
      <c r="G58" s="25"/>
      <c r="H58" s="25"/>
      <c r="I58" s="25"/>
      <c r="J58" s="25"/>
      <c r="K58" s="25"/>
      <c r="L58" s="25"/>
      <c r="M58" s="25"/>
      <c r="N58" s="25"/>
      <c r="O58" s="25"/>
      <c r="P58" s="25"/>
      <c r="Q58" s="25"/>
      <c r="R58" s="25"/>
      <c r="S58" s="25"/>
    </row>
    <row r="60" spans="2:19" ht="15" customHeight="1" x14ac:dyDescent="0.45">
      <c r="B60" s="3"/>
      <c r="D60" s="485" t="s">
        <v>448</v>
      </c>
      <c r="E60" s="23"/>
      <c r="F60" s="23"/>
      <c r="G60" s="23"/>
      <c r="H60" s="23"/>
      <c r="I60" s="23"/>
      <c r="J60" s="23"/>
      <c r="K60" s="23"/>
      <c r="L60" s="23"/>
      <c r="M60" s="23"/>
      <c r="N60" s="23"/>
      <c r="O60" s="23"/>
      <c r="P60" s="23"/>
      <c r="Q60" s="23"/>
      <c r="R60" s="23"/>
      <c r="S60" s="23"/>
    </row>
    <row r="61" spans="2:19" ht="15" customHeight="1" x14ac:dyDescent="0.45">
      <c r="D61" s="488"/>
      <c r="E61" s="23"/>
      <c r="F61" s="23"/>
      <c r="G61" s="23"/>
      <c r="H61" s="23"/>
      <c r="I61" s="23"/>
      <c r="J61" s="23"/>
      <c r="K61" s="23"/>
      <c r="L61" s="23"/>
      <c r="M61" s="23"/>
      <c r="N61" s="23"/>
      <c r="O61" s="23"/>
      <c r="P61" s="23"/>
      <c r="Q61" s="23"/>
      <c r="R61" s="23"/>
      <c r="S61" s="23"/>
    </row>
    <row r="62" spans="2:19" ht="15" customHeight="1" x14ac:dyDescent="0.45">
      <c r="B62" s="2" t="s">
        <v>278</v>
      </c>
      <c r="D62" s="487" t="s">
        <v>594</v>
      </c>
      <c r="E62" s="25">
        <f>IFERROR(Sanofi!B221/$D$5,0)</f>
        <v>9943</v>
      </c>
      <c r="F62" s="25">
        <f>IFERROR(Sanofi!C221/$D$5,0)</f>
        <v>10019</v>
      </c>
      <c r="G62" s="25">
        <f>IFERROR(Sanofi!D221/$D$5,0)</f>
        <v>9579</v>
      </c>
      <c r="H62" s="25">
        <f>IFERROR(Sanofi!E221/$D$5,0)</f>
        <v>9651</v>
      </c>
      <c r="I62" s="25">
        <f>IFERROR(Sanofi!F221/$D$5,0)</f>
        <v>11017</v>
      </c>
      <c r="J62" s="25">
        <f>IFERROR(Sanofi!G221/$D$5,0)</f>
        <v>10563</v>
      </c>
      <c r="K62" s="25">
        <f>IFERROR(Sanofi!H221/$D$5,0)</f>
        <v>11976</v>
      </c>
      <c r="L62" s="25">
        <f>IFERROR(Sanofi!I221/$D$5,0)</f>
        <v>11684</v>
      </c>
      <c r="M62" s="25">
        <f>IFERROR(Sanofi!J221/$D$5,0)</f>
        <v>11814</v>
      </c>
      <c r="N62" s="25">
        <f>IFERROR(Sanofi!K221/$D$5,0)</f>
        <v>11601</v>
      </c>
      <c r="O62" s="25"/>
      <c r="P62" s="25"/>
      <c r="Q62" s="25"/>
      <c r="R62" s="25"/>
      <c r="S62" s="25"/>
    </row>
    <row r="63" spans="2:19" ht="15" customHeight="1" x14ac:dyDescent="0.45">
      <c r="B63" s="2" t="s">
        <v>280</v>
      </c>
      <c r="D63" s="487" t="s">
        <v>595</v>
      </c>
      <c r="E63" s="25">
        <f>IFERROR(Sanofi!B222/$D$5,0)</f>
        <v>4561</v>
      </c>
      <c r="F63" s="25">
        <f>IFERROR(Sanofi!C222/$D$5,0)</f>
        <v>2892</v>
      </c>
      <c r="G63" s="25">
        <f>IFERROR(Sanofi!D222/$D$5,0)</f>
        <v>5379</v>
      </c>
      <c r="H63" s="25">
        <f>IFERROR(Sanofi!E222/$D$5,0)</f>
        <v>5531</v>
      </c>
      <c r="I63" s="25">
        <f>IFERROR(Sanofi!F222/$D$5,0)</f>
        <v>5266</v>
      </c>
      <c r="J63" s="25">
        <f>IFERROR(Sanofi!G222/$D$5,0)</f>
        <v>2105</v>
      </c>
      <c r="K63" s="25">
        <f>IFERROR(Sanofi!H222/$D$5,0)</f>
        <v>2422</v>
      </c>
      <c r="L63" s="25">
        <f>IFERROR(Sanofi!I222/$D$5,0)</f>
        <v>2765</v>
      </c>
      <c r="M63" s="25">
        <f>IFERROR(Sanofi!J222/$D$5,0)</f>
        <v>2666</v>
      </c>
      <c r="N63" s="25">
        <f>IFERROR(Sanofi!K222/$D$5,0)</f>
        <v>3259</v>
      </c>
      <c r="O63" s="25"/>
      <c r="P63" s="25"/>
      <c r="Q63" s="25"/>
      <c r="R63" s="25"/>
      <c r="S63" s="25"/>
    </row>
    <row r="64" spans="2:19" ht="15" customHeight="1" x14ac:dyDescent="0.45">
      <c r="B64" s="2" t="s">
        <v>279</v>
      </c>
      <c r="D64" s="487" t="s">
        <v>453</v>
      </c>
      <c r="E64" s="25">
        <f>IFERROR(Sanofi!B223/$D$5,0)</f>
        <v>39557</v>
      </c>
      <c r="F64" s="25">
        <f>IFERROR(Sanofi!C223/$D$5,0)</f>
        <v>40287</v>
      </c>
      <c r="G64" s="25">
        <f>IFERROR(Sanofi!D223/$D$5,0)</f>
        <v>40264</v>
      </c>
      <c r="H64" s="25">
        <f>IFERROR(Sanofi!E223/$D$5,0)</f>
        <v>44235</v>
      </c>
      <c r="I64" s="25">
        <f>IFERROR(Sanofi!F223/$D$5,0)</f>
        <v>44519</v>
      </c>
      <c r="J64" s="25">
        <f>IFERROR(Sanofi!G223/$D$5,0)</f>
        <v>44364</v>
      </c>
      <c r="K64" s="25">
        <f>IFERROR(Sanofi!H223/$D$5,0)</f>
        <v>48056</v>
      </c>
      <c r="L64" s="25">
        <f>IFERROR(Sanofi!I223/$D$5,0)</f>
        <v>49892</v>
      </c>
      <c r="M64" s="25">
        <f>IFERROR(Sanofi!J223/$D$5,0)</f>
        <v>49404</v>
      </c>
      <c r="N64" s="25">
        <f>IFERROR(Sanofi!K223/$D$5,0)</f>
        <v>43384</v>
      </c>
      <c r="O64" s="25"/>
      <c r="P64" s="25"/>
      <c r="Q64" s="25"/>
      <c r="R64" s="25"/>
      <c r="S64" s="25"/>
    </row>
    <row r="65" spans="1:19" ht="15" customHeight="1" x14ac:dyDescent="0.45">
      <c r="B65" s="2" t="s">
        <v>279</v>
      </c>
      <c r="D65" s="487" t="s">
        <v>596</v>
      </c>
      <c r="E65" s="25">
        <f>IFERROR(Sanofi!B224/$D$5,0)</f>
        <v>10473</v>
      </c>
      <c r="F65" s="25">
        <f>IFERROR(Sanofi!C224/$D$5,0)</f>
        <v>9520</v>
      </c>
      <c r="G65" s="25">
        <f>IFERROR(Sanofi!D224/$D$5,0)</f>
        <v>11605</v>
      </c>
      <c r="H65" s="25">
        <f>IFERROR(Sanofi!E224/$D$5,0)</f>
        <v>17145</v>
      </c>
      <c r="I65" s="25">
        <f>IFERROR(Sanofi!F224/$D$5,0)</f>
        <v>14175</v>
      </c>
      <c r="J65" s="25">
        <f>IFERROR(Sanofi!G224/$D$5,0)</f>
        <v>12249</v>
      </c>
      <c r="K65" s="25">
        <f>IFERROR(Sanofi!H224/$D$5,0)</f>
        <v>13677</v>
      </c>
      <c r="L65" s="25">
        <f>IFERROR(Sanofi!I224/$D$5,0)</f>
        <v>15414</v>
      </c>
      <c r="M65" s="25">
        <f>IFERROR(Sanofi!J224/$D$5,0)</f>
        <v>18281</v>
      </c>
      <c r="N65" s="25">
        <f>IFERROR(Sanofi!K224/$D$5,0)</f>
        <v>14260</v>
      </c>
      <c r="O65" s="25"/>
      <c r="P65" s="25"/>
      <c r="Q65" s="25"/>
      <c r="R65" s="25"/>
      <c r="S65" s="25"/>
    </row>
    <row r="66" spans="1:19" ht="15" customHeight="1" x14ac:dyDescent="0.45">
      <c r="B66" s="2" t="s">
        <v>279</v>
      </c>
      <c r="D66" s="487" t="s">
        <v>644</v>
      </c>
      <c r="E66" s="25">
        <f>IFERROR(Sanofi!B225/$D$5,0)</f>
        <v>671</v>
      </c>
      <c r="F66" s="25">
        <f>IFERROR(Sanofi!C225/$D$5,0)</f>
        <v>0</v>
      </c>
      <c r="G66" s="25">
        <f>IFERROR(Sanofi!D225/$D$5,0)</f>
        <v>699</v>
      </c>
      <c r="H66" s="25">
        <f>IFERROR(Sanofi!E225/$D$5,0)</f>
        <v>464</v>
      </c>
      <c r="I66" s="25">
        <f>IFERROR(Sanofi!F225/$D$5,0)</f>
        <v>521</v>
      </c>
      <c r="J66" s="25">
        <f>IFERROR(Sanofi!G225/$D$5,0)</f>
        <v>537</v>
      </c>
      <c r="K66" s="25">
        <f>IFERROR(Sanofi!H225/$D$5,0)</f>
        <v>485</v>
      </c>
      <c r="L66" s="25">
        <f>IFERROR(Sanofi!I225/$D$5,0)</f>
        <v>452</v>
      </c>
      <c r="M66" s="25">
        <f>IFERROR(Sanofi!J225/$D$5,0)</f>
        <v>591</v>
      </c>
      <c r="N66" s="25">
        <f>IFERROR(Sanofi!K225/$D$5,0)</f>
        <v>502</v>
      </c>
      <c r="O66" s="25"/>
      <c r="P66" s="25"/>
      <c r="Q66" s="25"/>
      <c r="R66" s="25"/>
      <c r="S66" s="25"/>
    </row>
    <row r="67" spans="1:19" ht="15" customHeight="1" x14ac:dyDescent="0.45">
      <c r="B67" s="2" t="s">
        <v>281</v>
      </c>
      <c r="D67" s="487" t="s">
        <v>597</v>
      </c>
      <c r="E67" s="25">
        <f>IFERROR(Sanofi!B226/$D$5,0)</f>
        <v>4714</v>
      </c>
      <c r="F67" s="25">
        <f>IFERROR(Sanofi!C226/$D$5,0)</f>
        <v>4670</v>
      </c>
      <c r="G67" s="25">
        <f>IFERROR(Sanofi!D226/$D$5,0)</f>
        <v>4291</v>
      </c>
      <c r="H67" s="25">
        <f>IFERROR(Sanofi!E226/$D$5,0)</f>
        <v>4613</v>
      </c>
      <c r="I67" s="25">
        <f>IFERROR(Sanofi!F226/$D$5,0)</f>
        <v>5391</v>
      </c>
      <c r="J67" s="25">
        <f>IFERROR(Sanofi!G226/$D$5,0)</f>
        <v>4176</v>
      </c>
      <c r="K67" s="25">
        <f>IFERROR(Sanofi!H226/$D$5,0)</f>
        <v>4598</v>
      </c>
      <c r="L67" s="25">
        <f>IFERROR(Sanofi!I226/$D$5,0)</f>
        <v>5381</v>
      </c>
      <c r="M67" s="25">
        <f>IFERROR(Sanofi!J226/$D$5,0)</f>
        <v>6427</v>
      </c>
      <c r="N67" s="25">
        <f>IFERROR(Sanofi!K226/$D$5,0)</f>
        <v>7967</v>
      </c>
      <c r="O67" s="25"/>
      <c r="P67" s="25"/>
      <c r="Q67" s="25"/>
      <c r="R67" s="25"/>
      <c r="S67" s="25"/>
    </row>
    <row r="68" spans="1:19" ht="15" customHeight="1" x14ac:dyDescent="0.45">
      <c r="B68" s="2" t="s">
        <v>279</v>
      </c>
      <c r="D68" s="487" t="s">
        <v>645</v>
      </c>
      <c r="E68" s="25">
        <f>IFERROR(Sanofi!B227/$D$5,0)</f>
        <v>1553</v>
      </c>
      <c r="F68" s="25">
        <f>IFERROR(Sanofi!C227/$D$5,0)</f>
        <v>1359</v>
      </c>
      <c r="G68" s="25">
        <f>IFERROR(Sanofi!D227/$D$5,0)</f>
        <v>1475</v>
      </c>
      <c r="H68" s="25">
        <f>IFERROR(Sanofi!E227/$D$5,0)</f>
        <v>4744</v>
      </c>
      <c r="I68" s="25">
        <f>IFERROR(Sanofi!F227/$D$5,0)</f>
        <v>2334</v>
      </c>
      <c r="J68" s="25">
        <f>IFERROR(Sanofi!G227/$D$5,0)</f>
        <v>6092</v>
      </c>
      <c r="K68" s="25">
        <f>IFERROR(Sanofi!H227/$D$5,0)</f>
        <v>7730</v>
      </c>
      <c r="L68" s="25">
        <f>IFERROR(Sanofi!I227/$D$5,0)</f>
        <v>6226</v>
      </c>
      <c r="M68" s="25">
        <f>IFERROR(Sanofi!J227/$D$5,0)</f>
        <v>6038</v>
      </c>
      <c r="N68" s="25">
        <f>IFERROR(Sanofi!K227/$D$5,0)</f>
        <v>8369</v>
      </c>
      <c r="O68" s="25"/>
      <c r="P68" s="25"/>
      <c r="Q68" s="25"/>
      <c r="R68" s="25"/>
      <c r="S68" s="25"/>
    </row>
    <row r="69" spans="1:19" ht="15" customHeight="1" x14ac:dyDescent="0.45">
      <c r="B69" s="2" t="s">
        <v>278</v>
      </c>
      <c r="D69" s="487" t="s">
        <v>598</v>
      </c>
      <c r="E69" s="25">
        <f>IFERROR(Sanofi!B228/$D$5,0)</f>
        <v>169</v>
      </c>
      <c r="F69" s="25">
        <f>IFERROR(Sanofi!C228/$D$5,0)</f>
        <v>2820</v>
      </c>
      <c r="G69" s="25">
        <f>IFERROR(Sanofi!D228/$D$5,0)</f>
        <v>133</v>
      </c>
      <c r="H69" s="25">
        <f>IFERROR(Sanofi!E228/$D$5,0)</f>
        <v>378</v>
      </c>
      <c r="I69" s="25">
        <f>IFERROR(Sanofi!F228/$D$5,0)</f>
        <v>471</v>
      </c>
      <c r="J69" s="25">
        <f>IFERROR(Sanofi!G228/$D$5,0)</f>
        <v>541</v>
      </c>
      <c r="K69" s="25">
        <f>IFERROR(Sanofi!H228/$D$5,0)</f>
        <v>645</v>
      </c>
      <c r="L69" s="25">
        <f>IFERROR(Sanofi!I228/$D$5,0)</f>
        <v>797</v>
      </c>
      <c r="M69" s="25">
        <f>IFERROR(Sanofi!J228/$D$5,0)</f>
        <v>573</v>
      </c>
      <c r="N69" s="25">
        <f>IFERROR(Sanofi!K228/$D$5,0)</f>
        <v>868</v>
      </c>
      <c r="O69" s="25"/>
      <c r="P69" s="25"/>
      <c r="Q69" s="25"/>
      <c r="R69" s="25"/>
      <c r="S69" s="25"/>
    </row>
    <row r="70" spans="1:19" s="29" customFormat="1" ht="15" customHeight="1" x14ac:dyDescent="0.45">
      <c r="A70" s="1"/>
      <c r="B70" s="2"/>
      <c r="C70" s="1"/>
      <c r="D70" s="478" t="s">
        <v>460</v>
      </c>
      <c r="E70" s="477">
        <f t="shared" ref="E70:N70" si="6">SUM(E62:E69)</f>
        <v>71641</v>
      </c>
      <c r="F70" s="477">
        <f t="shared" si="6"/>
        <v>71567</v>
      </c>
      <c r="G70" s="477">
        <f t="shared" si="6"/>
        <v>73425</v>
      </c>
      <c r="H70" s="477">
        <f t="shared" si="6"/>
        <v>86761</v>
      </c>
      <c r="I70" s="477">
        <f t="shared" si="6"/>
        <v>83694</v>
      </c>
      <c r="J70" s="477">
        <f t="shared" si="6"/>
        <v>80627</v>
      </c>
      <c r="K70" s="477">
        <f t="shared" si="6"/>
        <v>89589</v>
      </c>
      <c r="L70" s="477">
        <f t="shared" si="6"/>
        <v>92611</v>
      </c>
      <c r="M70" s="477">
        <f t="shared" si="6"/>
        <v>95794</v>
      </c>
      <c r="N70" s="477">
        <f t="shared" si="6"/>
        <v>90210</v>
      </c>
      <c r="O70" s="477"/>
      <c r="P70" s="477"/>
      <c r="Q70" s="477"/>
      <c r="R70" s="477"/>
      <c r="S70" s="477"/>
    </row>
    <row r="71" spans="1:19" ht="15" customHeight="1" x14ac:dyDescent="0.45">
      <c r="B71" s="2"/>
      <c r="D71" s="31"/>
      <c r="E71" s="25"/>
      <c r="F71" s="25"/>
      <c r="G71" s="25"/>
      <c r="H71" s="25"/>
      <c r="I71" s="25"/>
      <c r="J71" s="25"/>
      <c r="K71" s="25"/>
      <c r="L71" s="25"/>
      <c r="M71" s="25"/>
      <c r="N71" s="25"/>
      <c r="O71" s="25"/>
      <c r="P71" s="25"/>
      <c r="Q71" s="25"/>
      <c r="R71" s="25"/>
      <c r="S71" s="25"/>
    </row>
    <row r="72" spans="1:19" ht="15" customHeight="1" x14ac:dyDescent="0.45">
      <c r="B72" s="2" t="s">
        <v>285</v>
      </c>
      <c r="D72" s="487" t="s">
        <v>599</v>
      </c>
      <c r="E72" s="25">
        <f>IFERROR(Sanofi!B209/$D$5,0)</f>
        <v>9148</v>
      </c>
      <c r="F72" s="25">
        <f>IFERROR(Sanofi!C209/$D$5,0)</f>
        <v>10273</v>
      </c>
      <c r="G72" s="25">
        <f>IFERROR(Sanofi!D209/$D$5,0)</f>
        <v>10315</v>
      </c>
      <c r="H72" s="25">
        <f>IFERROR(Sanofi!E209/$D$5,0)</f>
        <v>6925</v>
      </c>
      <c r="I72" s="25">
        <f>IFERROR(Sanofi!F209/$D$5,0)</f>
        <v>9427</v>
      </c>
      <c r="J72" s="25">
        <f>IFERROR(Sanofi!G209/$D$5,0)</f>
        <v>13915</v>
      </c>
      <c r="K72" s="25">
        <f>IFERROR(Sanofi!H209/$D$5,0)</f>
        <v>10098</v>
      </c>
      <c r="L72" s="25">
        <f>IFERROR(Sanofi!I209/$D$5,0)</f>
        <v>12736</v>
      </c>
      <c r="M72" s="25">
        <f>IFERROR(Sanofi!J209/$D$5,0)</f>
        <v>8710</v>
      </c>
      <c r="N72" s="25">
        <f>IFERROR(Sanofi!K209/$D$5,0)</f>
        <v>7441</v>
      </c>
      <c r="O72" s="25"/>
      <c r="P72" s="25"/>
      <c r="Q72" s="25"/>
      <c r="R72" s="25"/>
      <c r="S72" s="25"/>
    </row>
    <row r="73" spans="1:19" ht="15" customHeight="1" x14ac:dyDescent="0.45">
      <c r="B73" s="2" t="s">
        <v>284</v>
      </c>
      <c r="D73" s="487" t="s">
        <v>646</v>
      </c>
      <c r="E73" s="25">
        <f>IFERROR(Sanofi!B210/$D$5,0)</f>
        <v>39</v>
      </c>
      <c r="F73" s="25">
        <f>IFERROR(Sanofi!C210/$D$5,0)</f>
        <v>3</v>
      </c>
      <c r="G73" s="25">
        <f>IFERROR(Sanofi!D210/$D$5,0)</f>
        <v>0</v>
      </c>
      <c r="H73" s="25">
        <f>IFERROR(Sanofi!E210/$D$5,0)</f>
        <v>30</v>
      </c>
      <c r="I73" s="25">
        <f>IFERROR(Sanofi!F210/$D$5,0)</f>
        <v>4</v>
      </c>
      <c r="J73" s="25">
        <f>IFERROR(Sanofi!G210/$D$5,0)</f>
        <v>0</v>
      </c>
      <c r="K73" s="25">
        <f>IFERROR(Sanofi!H210/$D$5,0)</f>
        <v>11</v>
      </c>
      <c r="L73" s="25">
        <f>IFERROR(Sanofi!I210/$D$5,0)</f>
        <v>146</v>
      </c>
      <c r="M73" s="25">
        <f>IFERROR(Sanofi!J210/$D$5,0)</f>
        <v>112</v>
      </c>
      <c r="N73" s="25">
        <f>IFERROR(Sanofi!K210/$D$5,0)</f>
        <v>115</v>
      </c>
      <c r="O73" s="25"/>
      <c r="P73" s="25"/>
      <c r="Q73" s="25"/>
      <c r="R73" s="25"/>
      <c r="S73" s="25"/>
    </row>
    <row r="74" spans="1:19" ht="15" customHeight="1" x14ac:dyDescent="0.45">
      <c r="B74" s="2" t="s">
        <v>283</v>
      </c>
      <c r="D74" s="487" t="s">
        <v>602</v>
      </c>
      <c r="E74" s="25">
        <f>IFERROR(Sanofi!B212/$D$5,0)</f>
        <v>7386</v>
      </c>
      <c r="F74" s="25">
        <f>IFERROR(Sanofi!C212/$D$5,0)</f>
        <v>7311</v>
      </c>
      <c r="G74" s="25">
        <f>IFERROR(Sanofi!D212/$D$5,0)</f>
        <v>7216</v>
      </c>
      <c r="H74" s="25">
        <f>IFERROR(Sanofi!E212/$D$5,0)</f>
        <v>7260</v>
      </c>
      <c r="I74" s="25">
        <f>IFERROR(Sanofi!F212/$D$5,0)</f>
        <v>7937</v>
      </c>
      <c r="J74" s="25">
        <f>IFERROR(Sanofi!G212/$D$5,0)</f>
        <v>7491</v>
      </c>
      <c r="K74" s="25">
        <f>IFERROR(Sanofi!H212/$D$5,0)</f>
        <v>7568</v>
      </c>
      <c r="L74" s="25">
        <f>IFERROR(Sanofi!I212/$D$5,0)</f>
        <v>8424</v>
      </c>
      <c r="M74" s="25">
        <f>IFERROR(Sanofi!J212/$D$5,0)</f>
        <v>8433</v>
      </c>
      <c r="N74" s="25">
        <f>IFERROR(Sanofi!K212/$D$5,0)</f>
        <v>7677</v>
      </c>
      <c r="O74" s="25"/>
      <c r="P74" s="25"/>
      <c r="Q74" s="25"/>
      <c r="R74" s="25"/>
      <c r="S74" s="25"/>
    </row>
    <row r="75" spans="1:19" ht="15" customHeight="1" x14ac:dyDescent="0.45">
      <c r="B75" s="2" t="s">
        <v>284</v>
      </c>
      <c r="D75" s="487" t="s">
        <v>603</v>
      </c>
      <c r="E75" s="25">
        <f>IFERROR(Sanofi!B213/$D$5,0)</f>
        <v>1467</v>
      </c>
      <c r="F75" s="25">
        <f>IFERROR(Sanofi!C213/$D$5,0)</f>
        <v>705</v>
      </c>
      <c r="G75" s="25">
        <f>IFERROR(Sanofi!D213/$D$5,0)</f>
        <v>627</v>
      </c>
      <c r="H75" s="25">
        <f>IFERROR(Sanofi!E213/$D$5,0)</f>
        <v>2085</v>
      </c>
      <c r="I75" s="25">
        <f>IFERROR(Sanofi!F213/$D$5,0)</f>
        <v>2146</v>
      </c>
      <c r="J75" s="25">
        <f>IFERROR(Sanofi!G213/$D$5,0)</f>
        <v>2462</v>
      </c>
      <c r="K75" s="25">
        <f>IFERROR(Sanofi!H213/$D$5,0)</f>
        <v>2219</v>
      </c>
      <c r="L75" s="25">
        <f>IFERROR(Sanofi!I213/$D$5,0)</f>
        <v>2323</v>
      </c>
      <c r="M75" s="25">
        <f>IFERROR(Sanofi!J213/$D$5,0)</f>
        <v>2607</v>
      </c>
      <c r="N75" s="25">
        <f>IFERROR(Sanofi!K213/$D$5,0)</f>
        <v>2952</v>
      </c>
      <c r="O75" s="25"/>
      <c r="P75" s="25"/>
      <c r="Q75" s="25"/>
      <c r="R75" s="25"/>
      <c r="S75" s="25"/>
    </row>
    <row r="76" spans="1:19" ht="15" customHeight="1" x14ac:dyDescent="0.45">
      <c r="B76" s="2" t="s">
        <v>136</v>
      </c>
      <c r="D76" s="487" t="s">
        <v>605</v>
      </c>
      <c r="E76" s="25">
        <f>IFERROR(Sanofi!B215/$D$5,0)</f>
        <v>6516</v>
      </c>
      <c r="F76" s="25">
        <f>IFERROR(Sanofi!C215/$D$5,0)</f>
        <v>6896</v>
      </c>
      <c r="G76" s="25">
        <f>IFERROR(Sanofi!D215/$D$5,0)</f>
        <v>6818</v>
      </c>
      <c r="H76" s="25">
        <f>IFERROR(Sanofi!E215/$D$5,0)</f>
        <v>7477</v>
      </c>
      <c r="I76" s="25">
        <f>IFERROR(Sanofi!F215/$D$5,0)</f>
        <v>7994</v>
      </c>
      <c r="J76" s="25">
        <f>IFERROR(Sanofi!G215/$D$5,0)</f>
        <v>8352</v>
      </c>
      <c r="K76" s="25">
        <f>IFERROR(Sanofi!H215/$D$5,0)</f>
        <v>8715</v>
      </c>
      <c r="L76" s="25">
        <f>IFERROR(Sanofi!I215/$D$5,0)</f>
        <v>8960</v>
      </c>
      <c r="M76" s="25">
        <f>IFERROR(Sanofi!J215/$D$5,0)</f>
        <v>9666</v>
      </c>
      <c r="N76" s="25">
        <f>IFERROR(Sanofi!K215/$D$5,0)</f>
        <v>9431</v>
      </c>
      <c r="O76" s="25"/>
      <c r="P76" s="25"/>
      <c r="Q76" s="25"/>
      <c r="R76" s="25"/>
      <c r="S76" s="25"/>
    </row>
    <row r="77" spans="1:19" ht="15" customHeight="1" x14ac:dyDescent="0.45">
      <c r="B77" s="2" t="s">
        <v>284</v>
      </c>
      <c r="D77" s="487" t="s">
        <v>606</v>
      </c>
      <c r="E77" s="25">
        <f>IFERROR(Sanofi!B216/$D$5,0)</f>
        <v>300</v>
      </c>
      <c r="F77" s="25">
        <f>IFERROR(Sanofi!C216/$D$5,0)</f>
        <v>333</v>
      </c>
      <c r="G77" s="25">
        <f>IFERROR(Sanofi!D216/$D$5,0)</f>
        <v>336</v>
      </c>
      <c r="H77" s="25">
        <f>IFERROR(Sanofi!E216/$D$5,0)</f>
        <v>469</v>
      </c>
      <c r="I77" s="25">
        <f>IFERROR(Sanofi!F216/$D$5,0)</f>
        <v>493</v>
      </c>
      <c r="J77" s="25">
        <f>IFERROR(Sanofi!G216/$D$5,0)</f>
        <v>525</v>
      </c>
      <c r="K77" s="25">
        <f>IFERROR(Sanofi!H216/$D$5,0)</f>
        <v>615</v>
      </c>
      <c r="L77" s="25">
        <f>IFERROR(Sanofi!I216/$D$5,0)</f>
        <v>714</v>
      </c>
      <c r="M77" s="25">
        <f>IFERROR(Sanofi!J216/$D$5,0)</f>
        <v>768</v>
      </c>
      <c r="N77" s="25">
        <f>IFERROR(Sanofi!K216/$D$5,0)</f>
        <v>895</v>
      </c>
      <c r="O77" s="25"/>
      <c r="P77" s="25"/>
      <c r="Q77" s="25"/>
      <c r="R77" s="25"/>
      <c r="S77" s="25"/>
    </row>
    <row r="78" spans="1:19" ht="15" customHeight="1" x14ac:dyDescent="0.45">
      <c r="B78" s="2" t="s">
        <v>284</v>
      </c>
      <c r="D78" s="487" t="s">
        <v>284</v>
      </c>
      <c r="E78" s="25">
        <f>IFERROR(Sanofi!B217/$D$5,0)</f>
        <v>5824</v>
      </c>
      <c r="F78" s="25">
        <f>IFERROR(Sanofi!C217/$D$5,0)</f>
        <v>7591</v>
      </c>
      <c r="G78" s="25">
        <f>IFERROR(Sanofi!D217/$D$5,0)</f>
        <v>1076</v>
      </c>
      <c r="H78" s="25">
        <f>IFERROR(Sanofi!E217/$D$5,0)</f>
        <v>401</v>
      </c>
      <c r="I78" s="25">
        <f>IFERROR(Sanofi!F217/$D$5,0)</f>
        <v>935</v>
      </c>
      <c r="J78" s="25">
        <f>IFERROR(Sanofi!G217/$D$5,0)</f>
        <v>1041</v>
      </c>
      <c r="K78" s="25">
        <f>IFERROR(Sanofi!H217/$D$5,0)</f>
        <v>1427</v>
      </c>
      <c r="L78" s="25">
        <f>IFERROR(Sanofi!I217/$D$5,0)</f>
        <v>808</v>
      </c>
      <c r="M78" s="25">
        <f>IFERROR(Sanofi!J217/$D$5,0)</f>
        <v>374</v>
      </c>
      <c r="N78" s="25">
        <f>IFERROR(Sanofi!K217/$D$5,0)</f>
        <v>14077</v>
      </c>
      <c r="O78" s="25"/>
      <c r="P78" s="25"/>
      <c r="Q78" s="25"/>
      <c r="R78" s="25"/>
      <c r="S78" s="25"/>
    </row>
    <row r="79" spans="1:19" s="29" customFormat="1" ht="15" customHeight="1" x14ac:dyDescent="0.45">
      <c r="A79" s="1"/>
      <c r="B79" s="2"/>
      <c r="C79" s="1"/>
      <c r="D79" s="478" t="s">
        <v>466</v>
      </c>
      <c r="E79" s="477">
        <f t="shared" ref="E79:N79" si="7">SUM(E72:E78)</f>
        <v>30680</v>
      </c>
      <c r="F79" s="477">
        <f t="shared" si="7"/>
        <v>33112</v>
      </c>
      <c r="G79" s="477">
        <f t="shared" si="7"/>
        <v>26388</v>
      </c>
      <c r="H79" s="477">
        <f t="shared" si="7"/>
        <v>24647</v>
      </c>
      <c r="I79" s="477">
        <f t="shared" si="7"/>
        <v>28936</v>
      </c>
      <c r="J79" s="477">
        <f t="shared" si="7"/>
        <v>33786</v>
      </c>
      <c r="K79" s="477">
        <f t="shared" si="7"/>
        <v>30653</v>
      </c>
      <c r="L79" s="477">
        <f t="shared" si="7"/>
        <v>34111</v>
      </c>
      <c r="M79" s="477">
        <f t="shared" si="7"/>
        <v>30670</v>
      </c>
      <c r="N79" s="477">
        <f t="shared" si="7"/>
        <v>42588</v>
      </c>
      <c r="O79" s="477"/>
      <c r="P79" s="477"/>
      <c r="Q79" s="477"/>
      <c r="R79" s="477"/>
      <c r="S79" s="477"/>
    </row>
    <row r="80" spans="1:19" ht="15" customHeight="1" x14ac:dyDescent="0.45">
      <c r="B80" s="2"/>
      <c r="D80" s="479"/>
      <c r="E80" s="23"/>
      <c r="F80" s="23"/>
      <c r="G80" s="23"/>
      <c r="H80" s="23"/>
      <c r="I80" s="23"/>
      <c r="J80" s="23"/>
      <c r="K80" s="23"/>
      <c r="L80" s="23"/>
      <c r="M80" s="23"/>
      <c r="N80" s="23"/>
      <c r="O80" s="23"/>
      <c r="P80" s="23"/>
      <c r="Q80" s="23"/>
      <c r="R80" s="23"/>
      <c r="S80" s="23"/>
    </row>
    <row r="81" spans="1:19" ht="15" customHeight="1" x14ac:dyDescent="0.45">
      <c r="B81" s="2" t="s">
        <v>287</v>
      </c>
      <c r="D81" s="478" t="s">
        <v>467</v>
      </c>
      <c r="E81" s="477">
        <f t="shared" ref="E81:N81" si="8">SUM(E70,E79)</f>
        <v>102321</v>
      </c>
      <c r="F81" s="477">
        <f t="shared" si="8"/>
        <v>104679</v>
      </c>
      <c r="G81" s="477">
        <f t="shared" si="8"/>
        <v>99813</v>
      </c>
      <c r="H81" s="477">
        <f t="shared" si="8"/>
        <v>111408</v>
      </c>
      <c r="I81" s="477">
        <f t="shared" si="8"/>
        <v>112630</v>
      </c>
      <c r="J81" s="477">
        <f t="shared" si="8"/>
        <v>114413</v>
      </c>
      <c r="K81" s="477">
        <f t="shared" si="8"/>
        <v>120242</v>
      </c>
      <c r="L81" s="477">
        <f t="shared" si="8"/>
        <v>126722</v>
      </c>
      <c r="M81" s="477">
        <f t="shared" si="8"/>
        <v>126464</v>
      </c>
      <c r="N81" s="477">
        <f t="shared" si="8"/>
        <v>132798</v>
      </c>
      <c r="O81" s="477"/>
      <c r="P81" s="477"/>
      <c r="Q81" s="477"/>
      <c r="R81" s="477"/>
      <c r="S81" s="477"/>
    </row>
    <row r="82" spans="1:19" ht="15" customHeight="1" x14ac:dyDescent="0.45">
      <c r="B82" s="2"/>
      <c r="D82" s="31"/>
      <c r="E82" s="25"/>
      <c r="F82" s="25"/>
      <c r="G82" s="25"/>
      <c r="H82" s="25"/>
      <c r="I82" s="25"/>
      <c r="J82" s="25"/>
      <c r="K82" s="25"/>
      <c r="L82" s="25"/>
      <c r="M82" s="25"/>
      <c r="N82" s="25"/>
      <c r="O82" s="25"/>
      <c r="P82" s="25"/>
      <c r="Q82" s="25"/>
      <c r="R82" s="25"/>
      <c r="S82" s="25"/>
    </row>
    <row r="83" spans="1:19" ht="15" customHeight="1" x14ac:dyDescent="0.45">
      <c r="B83" s="2" t="s">
        <v>289</v>
      </c>
      <c r="D83" s="487" t="s">
        <v>608</v>
      </c>
      <c r="E83" s="25">
        <f>IFERROR(Sanofi!B247/$D$5,0)</f>
        <v>2611</v>
      </c>
      <c r="F83" s="25">
        <f>IFERROR(Sanofi!C247/$D$5,0)</f>
        <v>2584</v>
      </c>
      <c r="G83" s="25">
        <f>IFERROR(Sanofi!D247/$D$5,0)</f>
        <v>2508</v>
      </c>
      <c r="H83" s="25">
        <f>IFERROR(Sanofi!E247/$D$5,0)</f>
        <v>2495</v>
      </c>
      <c r="I83" s="25">
        <f>IFERROR(Sanofi!F247/$D$5,0)</f>
        <v>2508</v>
      </c>
      <c r="J83" s="25">
        <f>IFERROR(Sanofi!G247/$D$5,0)</f>
        <v>2518</v>
      </c>
      <c r="K83" s="25">
        <f>IFERROR(Sanofi!H247/$D$5,0)</f>
        <v>2527</v>
      </c>
      <c r="L83" s="25">
        <f>IFERROR(Sanofi!I247/$D$5,0)</f>
        <v>2522</v>
      </c>
      <c r="M83" s="25">
        <f>IFERROR(Sanofi!J247/$D$5,0)</f>
        <v>2530</v>
      </c>
      <c r="N83" s="25">
        <f>IFERROR(Sanofi!K247/$D$5,0)</f>
        <v>2526</v>
      </c>
      <c r="O83" s="25"/>
      <c r="P83" s="25"/>
      <c r="Q83" s="25"/>
      <c r="R83" s="25"/>
      <c r="S83" s="25"/>
    </row>
    <row r="84" spans="1:19" ht="15" customHeight="1" x14ac:dyDescent="0.45">
      <c r="B84" s="2" t="s">
        <v>289</v>
      </c>
      <c r="D84" s="487" t="s">
        <v>609</v>
      </c>
      <c r="E84" s="25">
        <f>IFERROR(Sanofi!B248/$D$5,0)</f>
        <v>52010</v>
      </c>
      <c r="F84" s="25">
        <f>IFERROR(Sanofi!C248/$D$5,0)</f>
        <v>51475</v>
      </c>
      <c r="G84" s="25">
        <f>IFERROR(Sanofi!D248/$D$5,0)</f>
        <v>58</v>
      </c>
      <c r="H84" s="25">
        <f>IFERROR(Sanofi!E248/$D$5,0)</f>
        <v>13</v>
      </c>
      <c r="I84" s="25">
        <f>IFERROR(Sanofi!F248/$D$5,0)</f>
        <v>147</v>
      </c>
      <c r="J84" s="25">
        <f>IFERROR(Sanofi!G248/$D$5,0)</f>
        <v>362</v>
      </c>
      <c r="K84" s="25">
        <f>IFERROR(Sanofi!H248/$D$5,0)</f>
        <v>532</v>
      </c>
      <c r="L84" s="25">
        <f>IFERROR(Sanofi!I248/$D$5,0)</f>
        <v>125</v>
      </c>
      <c r="M84" s="25">
        <f>IFERROR(Sanofi!J248/$D$5,0)</f>
        <v>313</v>
      </c>
      <c r="N84" s="25">
        <f>IFERROR(Sanofi!K248/$D$5,0)</f>
        <v>0</v>
      </c>
      <c r="O84" s="25"/>
      <c r="P84" s="25"/>
      <c r="Q84" s="25"/>
      <c r="R84" s="25"/>
      <c r="S84" s="25"/>
    </row>
    <row r="85" spans="1:19" ht="15" customHeight="1" x14ac:dyDescent="0.45">
      <c r="B85" s="2" t="s">
        <v>289</v>
      </c>
      <c r="D85" s="487" t="s">
        <v>647</v>
      </c>
      <c r="E85" s="25">
        <f>IFERROR(Sanofi!B249/$D$5,0)</f>
        <v>-298</v>
      </c>
      <c r="F85" s="25">
        <f>IFERROR(Sanofi!C249/$D$5,0)</f>
        <v>-1503</v>
      </c>
      <c r="G85" s="25">
        <f>IFERROR(Sanofi!D249/$D$5,0)</f>
        <v>-14</v>
      </c>
      <c r="H85" s="25">
        <f>IFERROR(Sanofi!E249/$D$5,0)</f>
        <v>-153</v>
      </c>
      <c r="I85" s="25">
        <f>IFERROR(Sanofi!F249/$D$5,0)</f>
        <v>-9</v>
      </c>
      <c r="J85" s="25">
        <f>IFERROR(Sanofi!G249/$D$5,0)</f>
        <v>-705</v>
      </c>
      <c r="K85" s="25">
        <f>IFERROR(Sanofi!H249/$D$5,0)</f>
        <v>-939</v>
      </c>
      <c r="L85" s="25">
        <f>IFERROR(Sanofi!I249/$D$5,0)</f>
        <v>-706</v>
      </c>
      <c r="M85" s="25">
        <f>IFERROR(Sanofi!J249/$D$5,0)</f>
        <v>-1184</v>
      </c>
      <c r="N85" s="25">
        <f>IFERROR(Sanofi!K249/$D$5,0)</f>
        <v>-840</v>
      </c>
      <c r="O85" s="25"/>
      <c r="P85" s="25"/>
      <c r="Q85" s="25"/>
      <c r="R85" s="25"/>
      <c r="S85" s="25"/>
    </row>
    <row r="86" spans="1:19" ht="15" customHeight="1" x14ac:dyDescent="0.45">
      <c r="B86" s="2" t="s">
        <v>289</v>
      </c>
      <c r="D86" s="24" t="s">
        <v>611</v>
      </c>
      <c r="E86" s="25">
        <f>IFERROR(Sanofi!B250/$D$5,0)</f>
        <v>3726</v>
      </c>
      <c r="F86" s="25">
        <f>IFERROR(Sanofi!C250/$D$5,0)</f>
        <v>4996</v>
      </c>
      <c r="G86" s="25">
        <f>IFERROR(Sanofi!D250/$D$5,0)</f>
        <v>55518</v>
      </c>
      <c r="H86" s="25">
        <f>IFERROR(Sanofi!E250/$D$5,0)</f>
        <v>56521</v>
      </c>
      <c r="I86" s="25">
        <f>IFERROR(Sanofi!F250/$D$5,0)</f>
        <v>56410</v>
      </c>
      <c r="J86" s="25">
        <f>IFERROR(Sanofi!G250/$D$5,0)</f>
        <v>60931</v>
      </c>
      <c r="K86" s="25">
        <f>IFERROR(Sanofi!H250/$D$5,0)</f>
        <v>66561</v>
      </c>
      <c r="L86" s="25">
        <f>IFERROR(Sanofi!I250/$D$5,0)</f>
        <v>72843</v>
      </c>
      <c r="M86" s="25">
        <f>IFERROR(Sanofi!J250/$D$5,0)</f>
        <v>72381</v>
      </c>
      <c r="N86" s="25">
        <f>IFERROR(Sanofi!K250/$D$5,0)</f>
        <v>75821</v>
      </c>
      <c r="O86" s="25"/>
      <c r="P86" s="25"/>
      <c r="Q86" s="25"/>
      <c r="R86" s="25"/>
      <c r="S86" s="25"/>
    </row>
    <row r="87" spans="1:19" ht="15" customHeight="1" x14ac:dyDescent="0.45">
      <c r="B87" s="2" t="s">
        <v>291</v>
      </c>
      <c r="D87" s="487" t="s">
        <v>648</v>
      </c>
      <c r="E87" s="25">
        <f>IFERROR(Sanofi!B252/$D$5,0)</f>
        <v>161</v>
      </c>
      <c r="F87" s="25">
        <f>IFERROR(Sanofi!C252/$D$5,0)</f>
        <v>170</v>
      </c>
      <c r="G87" s="25">
        <f>IFERROR(Sanofi!D252/$D$5,0)</f>
        <v>169</v>
      </c>
      <c r="H87" s="25">
        <f>IFERROR(Sanofi!E252/$D$5,0)</f>
        <v>159</v>
      </c>
      <c r="I87" s="25">
        <f>IFERROR(Sanofi!F252/$D$5,0)</f>
        <v>174</v>
      </c>
      <c r="J87" s="25">
        <f>IFERROR(Sanofi!G252/$D$5,0)</f>
        <v>146</v>
      </c>
      <c r="K87" s="25">
        <f>IFERROR(Sanofi!H252/$D$5,0)</f>
        <v>350</v>
      </c>
      <c r="L87" s="25">
        <f>IFERROR(Sanofi!I252/$D$5,0)</f>
        <v>368</v>
      </c>
      <c r="M87" s="25">
        <f>IFERROR(Sanofi!J252/$D$5,0)</f>
        <v>313</v>
      </c>
      <c r="N87" s="25">
        <f>IFERROR(Sanofi!K252/$D$5,0)</f>
        <v>350</v>
      </c>
      <c r="O87" s="25"/>
      <c r="P87" s="25"/>
      <c r="Q87" s="25"/>
      <c r="R87" s="25"/>
      <c r="S87" s="25"/>
    </row>
    <row r="88" spans="1:19" s="30" customFormat="1" ht="15" customHeight="1" x14ac:dyDescent="0.45">
      <c r="A88" s="4"/>
      <c r="B88" s="5"/>
      <c r="C88" s="4"/>
      <c r="D88" s="478" t="s">
        <v>245</v>
      </c>
      <c r="E88" s="477">
        <f t="shared" ref="E88:N88" si="9">SUM(E83:E87)</f>
        <v>58210</v>
      </c>
      <c r="F88" s="477">
        <f t="shared" si="9"/>
        <v>57722</v>
      </c>
      <c r="G88" s="477">
        <f t="shared" si="9"/>
        <v>58239</v>
      </c>
      <c r="H88" s="477">
        <f t="shared" si="9"/>
        <v>59035</v>
      </c>
      <c r="I88" s="477">
        <f t="shared" si="9"/>
        <v>59230</v>
      </c>
      <c r="J88" s="477">
        <f t="shared" si="9"/>
        <v>63252</v>
      </c>
      <c r="K88" s="477">
        <f t="shared" si="9"/>
        <v>69031</v>
      </c>
      <c r="L88" s="477">
        <f t="shared" si="9"/>
        <v>75152</v>
      </c>
      <c r="M88" s="477">
        <f t="shared" si="9"/>
        <v>74353</v>
      </c>
      <c r="N88" s="477">
        <f t="shared" si="9"/>
        <v>77857</v>
      </c>
      <c r="O88" s="477"/>
      <c r="P88" s="477"/>
      <c r="Q88" s="477"/>
      <c r="R88" s="477"/>
      <c r="S88" s="477"/>
    </row>
    <row r="89" spans="1:19" ht="15" customHeight="1" x14ac:dyDescent="0.45">
      <c r="B89" s="2"/>
      <c r="D89" s="479"/>
      <c r="E89" s="25"/>
      <c r="F89" s="25"/>
      <c r="G89" s="25"/>
      <c r="H89" s="25"/>
      <c r="I89" s="25"/>
      <c r="J89" s="25"/>
      <c r="K89" s="25"/>
      <c r="L89" s="25"/>
      <c r="M89" s="25"/>
      <c r="N89" s="25"/>
      <c r="O89" s="25"/>
      <c r="P89" s="25"/>
      <c r="Q89" s="25"/>
      <c r="R89" s="25"/>
      <c r="S89" s="25"/>
    </row>
    <row r="90" spans="1:19" ht="15" customHeight="1" x14ac:dyDescent="0.45">
      <c r="B90" s="2" t="s">
        <v>292</v>
      </c>
      <c r="D90" s="467" t="s">
        <v>612</v>
      </c>
      <c r="E90" s="25">
        <f>IFERROR(Sanofi!B240/$D$5,0)</f>
        <v>13069</v>
      </c>
      <c r="F90" s="25">
        <f>IFERROR(Sanofi!C240/$D$5,0)</f>
        <v>16781</v>
      </c>
      <c r="G90" s="25">
        <f>IFERROR(Sanofi!D240/$D$5,0)</f>
        <v>14306</v>
      </c>
      <c r="H90" s="25">
        <f>IFERROR(Sanofi!E240/$D$5,0)</f>
        <v>21989</v>
      </c>
      <c r="I90" s="25">
        <f>IFERROR(Sanofi!F240/$D$5,0)</f>
        <v>20131</v>
      </c>
      <c r="J90" s="25">
        <f>IFERROR(Sanofi!G240/$D$5,0)</f>
        <v>19745</v>
      </c>
      <c r="K90" s="25">
        <f>IFERROR(Sanofi!H240/$D$5,0)</f>
        <v>17123</v>
      </c>
      <c r="L90" s="25">
        <f>IFERROR(Sanofi!I240/$D$5,0)</f>
        <v>14857</v>
      </c>
      <c r="M90" s="25">
        <f>IFERROR(Sanofi!J240/$D$5,0)</f>
        <v>14347</v>
      </c>
      <c r="N90" s="25">
        <f>IFERROR(Sanofi!K240/$D$5,0)</f>
        <v>11791</v>
      </c>
      <c r="O90" s="25"/>
      <c r="P90" s="25"/>
      <c r="Q90" s="25"/>
      <c r="R90" s="25"/>
      <c r="S90" s="25"/>
    </row>
    <row r="91" spans="1:19" ht="15" customHeight="1" x14ac:dyDescent="0.45">
      <c r="B91" s="2" t="s">
        <v>292</v>
      </c>
      <c r="D91" s="467" t="s">
        <v>613</v>
      </c>
      <c r="E91" s="25">
        <f>IFERROR(Sanofi!B241/$D$5,0)</f>
        <v>49</v>
      </c>
      <c r="F91" s="25">
        <f>IFERROR(Sanofi!C241/$D$5,0)</f>
        <v>34</v>
      </c>
      <c r="G91" s="25">
        <f>IFERROR(Sanofi!D241/$D$5,0)</f>
        <v>20</v>
      </c>
      <c r="H91" s="25">
        <f>IFERROR(Sanofi!E241/$D$5,0)</f>
        <v>18</v>
      </c>
      <c r="I91" s="25">
        <f>IFERROR(Sanofi!F241/$D$5,0)</f>
        <v>987</v>
      </c>
      <c r="J91" s="25">
        <f>IFERROR(Sanofi!G241/$D$5,0)</f>
        <v>931</v>
      </c>
      <c r="K91" s="25">
        <f>IFERROR(Sanofi!H241/$D$5,0)</f>
        <v>1839</v>
      </c>
      <c r="L91" s="25">
        <f>IFERROR(Sanofi!I241/$D$5,0)</f>
        <v>1904</v>
      </c>
      <c r="M91" s="25">
        <f>IFERROR(Sanofi!J241/$D$5,0)</f>
        <v>1755</v>
      </c>
      <c r="N91" s="25">
        <f>IFERROR(Sanofi!K241/$D$5,0)</f>
        <v>1645</v>
      </c>
      <c r="O91" s="25"/>
      <c r="P91" s="25"/>
      <c r="Q91" s="25"/>
      <c r="R91" s="25"/>
      <c r="S91" s="25"/>
    </row>
    <row r="92" spans="1:19" ht="15" customHeight="1" x14ac:dyDescent="0.45">
      <c r="B92" s="2" t="s">
        <v>292</v>
      </c>
      <c r="D92" s="467" t="s">
        <v>649</v>
      </c>
      <c r="E92" s="25">
        <f>IFERROR(Sanofi!B242/$D$5,0)</f>
        <v>4308</v>
      </c>
      <c r="F92" s="25">
        <f>IFERROR(Sanofi!C242/$D$5,0)</f>
        <v>4377</v>
      </c>
      <c r="G92" s="25">
        <f>IFERROR(Sanofi!D242/$D$5,0)</f>
        <v>3959</v>
      </c>
      <c r="H92" s="25">
        <f>IFERROR(Sanofi!E242/$D$5,0)</f>
        <v>3522</v>
      </c>
      <c r="I92" s="25">
        <f>IFERROR(Sanofi!F242/$D$5,0)</f>
        <v>3599</v>
      </c>
      <c r="J92" s="25">
        <f>IFERROR(Sanofi!G242/$D$5,0)</f>
        <v>3276</v>
      </c>
      <c r="K92" s="25">
        <f>IFERROR(Sanofi!H242/$D$5,0)</f>
        <v>2947</v>
      </c>
      <c r="L92" s="25">
        <f>IFERROR(Sanofi!I242/$D$5,0)</f>
        <v>2039</v>
      </c>
      <c r="M92" s="25">
        <f>IFERROR(Sanofi!J242/$D$5,0)</f>
        <v>2214</v>
      </c>
      <c r="N92" s="25">
        <f>IFERROR(Sanofi!K242/$D$5,0)</f>
        <v>1992</v>
      </c>
      <c r="O92" s="25"/>
      <c r="P92" s="25"/>
      <c r="Q92" s="25"/>
      <c r="R92" s="25"/>
      <c r="S92" s="25"/>
    </row>
    <row r="93" spans="1:19" ht="15" customHeight="1" x14ac:dyDescent="0.45">
      <c r="B93" s="2" t="s">
        <v>293</v>
      </c>
      <c r="D93" s="467" t="s">
        <v>650</v>
      </c>
      <c r="E93" s="25">
        <f>IFERROR(Sanofi!B243/$D$5,0)</f>
        <v>2895</v>
      </c>
      <c r="F93" s="25">
        <f>IFERROR(Sanofi!C243/$D$5,0)</f>
        <v>2292</v>
      </c>
      <c r="G93" s="25">
        <f>IFERROR(Sanofi!D243/$D$5,0)</f>
        <v>1605</v>
      </c>
      <c r="H93" s="25">
        <f>IFERROR(Sanofi!E243/$D$5,0)</f>
        <v>3414</v>
      </c>
      <c r="I93" s="25">
        <f>IFERROR(Sanofi!F243/$D$5,0)</f>
        <v>2294</v>
      </c>
      <c r="J93" s="25">
        <f>IFERROR(Sanofi!G243/$D$5,0)</f>
        <v>1770</v>
      </c>
      <c r="K93" s="25">
        <f>IFERROR(Sanofi!H243/$D$5,0)</f>
        <v>1617</v>
      </c>
      <c r="L93" s="25">
        <f>IFERROR(Sanofi!I243/$D$5,0)</f>
        <v>1841</v>
      </c>
      <c r="M93" s="25">
        <f>IFERROR(Sanofi!J243/$D$5,0)</f>
        <v>1857</v>
      </c>
      <c r="N93" s="25">
        <f>IFERROR(Sanofi!K243/$D$5,0)</f>
        <v>2166</v>
      </c>
      <c r="O93" s="25"/>
      <c r="P93" s="25"/>
      <c r="Q93" s="25"/>
      <c r="R93" s="25"/>
      <c r="S93" s="25"/>
    </row>
    <row r="94" spans="1:19" ht="15" customHeight="1" x14ac:dyDescent="0.45">
      <c r="B94" s="2" t="s">
        <v>294</v>
      </c>
      <c r="D94" s="467" t="s">
        <v>615</v>
      </c>
      <c r="E94" s="25">
        <f>IFERROR(Sanofi!B244/$D$5,0)</f>
        <v>5982</v>
      </c>
      <c r="F94" s="25">
        <f>IFERROR(Sanofi!C244/$D$5,0)</f>
        <v>5835</v>
      </c>
      <c r="G94" s="25">
        <f>IFERROR(Sanofi!D244/$D$5,0)</f>
        <v>6221</v>
      </c>
      <c r="H94" s="25">
        <f>IFERROR(Sanofi!E244/$D$5,0)</f>
        <v>6054</v>
      </c>
      <c r="I94" s="25">
        <f>IFERROR(Sanofi!F244/$D$5,0)</f>
        <v>6002</v>
      </c>
      <c r="J94" s="25">
        <f>IFERROR(Sanofi!G244/$D$5,0)</f>
        <v>6159</v>
      </c>
      <c r="K94" s="25">
        <f>IFERROR(Sanofi!H244/$D$5,0)</f>
        <v>6390</v>
      </c>
      <c r="L94" s="25">
        <f>IFERROR(Sanofi!I244/$D$5,0)</f>
        <v>6955</v>
      </c>
      <c r="M94" s="25">
        <f>IFERROR(Sanofi!J244/$D$5,0)</f>
        <v>7731</v>
      </c>
      <c r="N94" s="25">
        <f>IFERROR(Sanofi!K244/$D$5,0)</f>
        <v>8185</v>
      </c>
      <c r="O94" s="25"/>
      <c r="P94" s="25"/>
      <c r="Q94" s="25"/>
      <c r="R94" s="25"/>
      <c r="S94" s="25"/>
    </row>
    <row r="95" spans="1:19" s="29" customFormat="1" ht="15" customHeight="1" x14ac:dyDescent="0.45">
      <c r="A95" s="1"/>
      <c r="B95" s="2"/>
      <c r="C95" s="1"/>
      <c r="D95" s="478" t="s">
        <v>486</v>
      </c>
      <c r="E95" s="477">
        <f t="shared" ref="E95:N95" si="10">SUM(E90:E94)</f>
        <v>26303</v>
      </c>
      <c r="F95" s="477">
        <f t="shared" si="10"/>
        <v>29319</v>
      </c>
      <c r="G95" s="477">
        <f t="shared" si="10"/>
        <v>26111</v>
      </c>
      <c r="H95" s="477">
        <f t="shared" si="10"/>
        <v>34997</v>
      </c>
      <c r="I95" s="477">
        <f t="shared" si="10"/>
        <v>33013</v>
      </c>
      <c r="J95" s="477">
        <f t="shared" si="10"/>
        <v>31881</v>
      </c>
      <c r="K95" s="477">
        <f t="shared" si="10"/>
        <v>29916</v>
      </c>
      <c r="L95" s="477">
        <f t="shared" si="10"/>
        <v>27596</v>
      </c>
      <c r="M95" s="477">
        <f t="shared" si="10"/>
        <v>27904</v>
      </c>
      <c r="N95" s="477">
        <f t="shared" si="10"/>
        <v>25779</v>
      </c>
      <c r="O95" s="477"/>
      <c r="P95" s="477"/>
      <c r="Q95" s="477"/>
      <c r="R95" s="477"/>
      <c r="S95" s="477"/>
    </row>
    <row r="96" spans="1:19" ht="15" customHeight="1" x14ac:dyDescent="0.45">
      <c r="B96" s="2"/>
      <c r="D96" s="479"/>
      <c r="E96" s="23"/>
      <c r="F96" s="23"/>
      <c r="G96" s="23"/>
      <c r="H96" s="23"/>
      <c r="I96" s="23"/>
      <c r="J96" s="23"/>
      <c r="K96" s="23"/>
      <c r="L96" s="23"/>
      <c r="M96" s="23"/>
      <c r="N96" s="23"/>
      <c r="O96" s="23"/>
      <c r="P96" s="23"/>
      <c r="Q96" s="23"/>
      <c r="R96" s="23"/>
      <c r="S96" s="23"/>
    </row>
    <row r="97" spans="1:19" ht="15" customHeight="1" x14ac:dyDescent="0.45">
      <c r="B97" s="2" t="s">
        <v>296</v>
      </c>
      <c r="D97" s="31" t="s">
        <v>616</v>
      </c>
      <c r="E97" s="25">
        <f>IFERROR(Sanofi!B231/$D$5,0)</f>
        <v>3817</v>
      </c>
      <c r="F97" s="25">
        <f>IFERROR(Sanofi!C231/$D$5,0)</f>
        <v>4297</v>
      </c>
      <c r="G97" s="25">
        <f>IFERROR(Sanofi!D231/$D$5,0)</f>
        <v>4633</v>
      </c>
      <c r="H97" s="25">
        <f>IFERROR(Sanofi!E231/$D$5,0)</f>
        <v>5041</v>
      </c>
      <c r="I97" s="25">
        <f>IFERROR(Sanofi!F231/$D$5,0)</f>
        <v>5313</v>
      </c>
      <c r="J97" s="25">
        <f>IFERROR(Sanofi!G231/$D$5,0)</f>
        <v>5295</v>
      </c>
      <c r="K97" s="25">
        <f>IFERROR(Sanofi!H231/$D$5,0)</f>
        <v>6180</v>
      </c>
      <c r="L97" s="25">
        <f>IFERROR(Sanofi!I231/$D$5,0)</f>
        <v>6813</v>
      </c>
      <c r="M97" s="25">
        <f>IFERROR(Sanofi!J231/$D$5,0)</f>
        <v>7328</v>
      </c>
      <c r="N97" s="25">
        <f>IFERROR(Sanofi!K231/$D$5,0)</f>
        <v>7551</v>
      </c>
      <c r="O97" s="25"/>
      <c r="P97" s="25"/>
      <c r="Q97" s="25"/>
      <c r="R97" s="25"/>
      <c r="S97" s="25"/>
    </row>
    <row r="98" spans="1:19" ht="15" customHeight="1" x14ac:dyDescent="0.45">
      <c r="B98" s="2" t="s">
        <v>297</v>
      </c>
      <c r="D98" s="31" t="s">
        <v>617</v>
      </c>
      <c r="E98" s="25">
        <f>IFERROR(Sanofi!B232/$D$5,0)</f>
        <v>1920</v>
      </c>
      <c r="F98" s="25">
        <f>IFERROR(Sanofi!C232/$D$5,0)</f>
        <v>1967</v>
      </c>
      <c r="G98" s="25">
        <f>IFERROR(Sanofi!D232/$D$5,0)</f>
        <v>1922</v>
      </c>
      <c r="H98" s="25">
        <f>IFERROR(Sanofi!E232/$D$5,0)</f>
        <v>2382</v>
      </c>
      <c r="I98" s="25">
        <f>IFERROR(Sanofi!F232/$D$5,0)</f>
        <v>2339</v>
      </c>
      <c r="J98" s="25">
        <f>IFERROR(Sanofi!G232/$D$5,0)</f>
        <v>2389</v>
      </c>
      <c r="K98" s="25">
        <f>IFERROR(Sanofi!H232/$D$5,0)</f>
        <v>2554</v>
      </c>
      <c r="L98" s="25">
        <f>IFERROR(Sanofi!I232/$D$5,0)</f>
        <v>2578</v>
      </c>
      <c r="M98" s="25">
        <f>IFERROR(Sanofi!J232/$D$5,0)</f>
        <v>2501</v>
      </c>
      <c r="N98" s="25">
        <f>IFERROR(Sanofi!K232/$D$5,0)</f>
        <v>2366</v>
      </c>
      <c r="O98" s="25"/>
      <c r="P98" s="25"/>
      <c r="Q98" s="25"/>
      <c r="R98" s="25"/>
      <c r="S98" s="25"/>
    </row>
    <row r="99" spans="1:19" ht="15" customHeight="1" x14ac:dyDescent="0.45">
      <c r="B99" s="2" t="s">
        <v>298</v>
      </c>
      <c r="D99" s="31" t="s">
        <v>651</v>
      </c>
      <c r="E99" s="25">
        <f>IFERROR(Sanofi!B233/$D$5,0)</f>
        <v>242</v>
      </c>
      <c r="F99" s="25">
        <f>IFERROR(Sanofi!C233/$D$5,0)</f>
        <v>203</v>
      </c>
      <c r="G99" s="25">
        <f>IFERROR(Sanofi!D233/$D$5,0)</f>
        <v>237</v>
      </c>
      <c r="H99" s="25">
        <f>IFERROR(Sanofi!E233/$D$5,0)</f>
        <v>269</v>
      </c>
      <c r="I99" s="25">
        <f>IFERROR(Sanofi!F233/$D$5,0)</f>
        <v>307</v>
      </c>
      <c r="J99" s="25">
        <f>IFERROR(Sanofi!G233/$D$5,0)</f>
        <v>285</v>
      </c>
      <c r="K99" s="25">
        <f>IFERROR(Sanofi!H233/$D$5,0)</f>
        <v>189</v>
      </c>
      <c r="L99" s="25">
        <f>IFERROR(Sanofi!I233/$D$5,0)</f>
        <v>164</v>
      </c>
      <c r="M99" s="25">
        <f>IFERROR(Sanofi!J233/$D$5,0)</f>
        <v>203</v>
      </c>
      <c r="N99" s="25">
        <f>IFERROR(Sanofi!K233/$D$5,0)</f>
        <v>200</v>
      </c>
      <c r="O99" s="25"/>
      <c r="P99" s="25"/>
      <c r="Q99" s="25"/>
      <c r="R99" s="25"/>
      <c r="S99" s="25"/>
    </row>
    <row r="100" spans="1:19" ht="15" customHeight="1" x14ac:dyDescent="0.45">
      <c r="B100" s="2" t="s">
        <v>298</v>
      </c>
      <c r="D100" s="31" t="s">
        <v>652</v>
      </c>
      <c r="E100" s="25">
        <f>IFERROR(Sanofi!B234/$D$5,0)</f>
        <v>3180</v>
      </c>
      <c r="F100" s="25">
        <f>IFERROR(Sanofi!C234/$D$5,0)</f>
        <v>1544</v>
      </c>
      <c r="G100" s="25">
        <f>IFERROR(Sanofi!D234/$D$5,0)</f>
        <v>1027</v>
      </c>
      <c r="H100" s="25">
        <f>IFERROR(Sanofi!E234/$D$5,0)</f>
        <v>2360</v>
      </c>
      <c r="I100" s="25">
        <f>IFERROR(Sanofi!F234/$D$5,0)</f>
        <v>4249</v>
      </c>
      <c r="J100" s="25">
        <f>IFERROR(Sanofi!G234/$D$5,0)</f>
        <v>2482</v>
      </c>
      <c r="K100" s="25">
        <f>IFERROR(Sanofi!H234/$D$5,0)</f>
        <v>2995</v>
      </c>
      <c r="L100" s="25">
        <f>IFERROR(Sanofi!I234/$D$5,0)</f>
        <v>4010</v>
      </c>
      <c r="M100" s="25">
        <f>IFERROR(Sanofi!J234/$D$5,0)</f>
        <v>1843</v>
      </c>
      <c r="N100" s="25">
        <f>IFERROR(Sanofi!K234/$D$5,0)</f>
        <v>4016</v>
      </c>
      <c r="O100" s="25"/>
      <c r="P100" s="25"/>
      <c r="Q100" s="25"/>
      <c r="R100" s="25"/>
      <c r="S100" s="25"/>
    </row>
    <row r="101" spans="1:19" ht="15" customHeight="1" x14ac:dyDescent="0.45">
      <c r="B101" s="2" t="s">
        <v>298</v>
      </c>
      <c r="D101" s="31" t="s">
        <v>618</v>
      </c>
      <c r="E101" s="25">
        <f>IFERROR(Sanofi!B235/$D$5,0)</f>
        <v>18</v>
      </c>
      <c r="F101" s="25">
        <f>IFERROR(Sanofi!C235/$D$5,0)</f>
        <v>19</v>
      </c>
      <c r="G101" s="25">
        <f>IFERROR(Sanofi!D235/$D$5,0)</f>
        <v>11</v>
      </c>
      <c r="H101" s="25">
        <f>IFERROR(Sanofi!E235/$D$5,0)</f>
        <v>4</v>
      </c>
      <c r="I101" s="25">
        <f>IFERROR(Sanofi!F235/$D$5,0)</f>
        <v>261</v>
      </c>
      <c r="J101" s="25">
        <f>IFERROR(Sanofi!G235/$D$5,0)</f>
        <v>232</v>
      </c>
      <c r="K101" s="25">
        <f>IFERROR(Sanofi!H235/$D$5,0)</f>
        <v>269</v>
      </c>
      <c r="L101" s="25">
        <f>IFERROR(Sanofi!I235/$D$5,0)</f>
        <v>277</v>
      </c>
      <c r="M101" s="25">
        <f>IFERROR(Sanofi!J235/$D$5,0)</f>
        <v>275</v>
      </c>
      <c r="N101" s="25">
        <f>IFERROR(Sanofi!K235/$D$5,0)</f>
        <v>261</v>
      </c>
      <c r="O101" s="25"/>
      <c r="P101" s="25"/>
      <c r="Q101" s="25"/>
      <c r="R101" s="25"/>
      <c r="S101" s="25"/>
    </row>
    <row r="102" spans="1:19" ht="15" customHeight="1" x14ac:dyDescent="0.45">
      <c r="B102" s="2" t="s">
        <v>297</v>
      </c>
      <c r="D102" s="31" t="s">
        <v>619</v>
      </c>
      <c r="E102" s="25">
        <f>IFERROR(Sanofi!B236/$D$5,0)</f>
        <v>1044</v>
      </c>
      <c r="F102" s="25">
        <f>IFERROR(Sanofi!C236/$D$5,0)</f>
        <v>1134</v>
      </c>
      <c r="G102" s="25">
        <f>IFERROR(Sanofi!D236/$D$5,0)</f>
        <v>1180</v>
      </c>
      <c r="H102" s="25">
        <f>IFERROR(Sanofi!E236/$D$5,0)</f>
        <v>392</v>
      </c>
      <c r="I102" s="25">
        <f>IFERROR(Sanofi!F236/$D$5,0)</f>
        <v>258</v>
      </c>
      <c r="J102" s="25">
        <f>IFERROR(Sanofi!G236/$D$5,0)</f>
        <v>604</v>
      </c>
      <c r="K102" s="25">
        <f>IFERROR(Sanofi!H236/$D$5,0)</f>
        <v>309</v>
      </c>
      <c r="L102" s="25">
        <f>IFERROR(Sanofi!I236/$D$5,0)</f>
        <v>574</v>
      </c>
      <c r="M102" s="25">
        <f>IFERROR(Sanofi!J236/$D$5,0)</f>
        <v>597</v>
      </c>
      <c r="N102" s="25">
        <f>IFERROR(Sanofi!K236/$D$5,0)</f>
        <v>697</v>
      </c>
      <c r="O102" s="25"/>
      <c r="P102" s="25"/>
      <c r="Q102" s="25"/>
      <c r="R102" s="25"/>
      <c r="S102" s="25"/>
    </row>
    <row r="103" spans="1:19" ht="15" customHeight="1" x14ac:dyDescent="0.45">
      <c r="B103" s="2" t="s">
        <v>297</v>
      </c>
      <c r="D103" s="487" t="s">
        <v>620</v>
      </c>
      <c r="E103" s="25">
        <f>IFERROR(Sanofi!B237/$D$5,0)</f>
        <v>0</v>
      </c>
      <c r="F103" s="25">
        <f>IFERROR(Sanofi!C237/$D$5,0)</f>
        <v>0</v>
      </c>
      <c r="G103" s="25">
        <f>IFERROR(Sanofi!D237/$D$5,0)</f>
        <v>0</v>
      </c>
      <c r="H103" s="25">
        <f>IFERROR(Sanofi!E237/$D$5,0)</f>
        <v>0</v>
      </c>
      <c r="I103" s="25">
        <f>IFERROR(Sanofi!F237/$D$5,0)</f>
        <v>0</v>
      </c>
      <c r="J103" s="25">
        <f>IFERROR(Sanofi!G237/$D$5,0)</f>
        <v>252</v>
      </c>
      <c r="K103" s="25">
        <f>IFERROR(Sanofi!H237/$D$5,0)</f>
        <v>321</v>
      </c>
      <c r="L103" s="25">
        <f>IFERROR(Sanofi!I237/$D$5,0)</f>
        <v>269</v>
      </c>
      <c r="M103" s="25">
        <f>IFERROR(Sanofi!J237/$D$5,0)</f>
        <v>0</v>
      </c>
      <c r="N103" s="25">
        <f>IFERROR(Sanofi!K237/$D$5,0)</f>
        <v>0</v>
      </c>
      <c r="O103" s="25"/>
      <c r="P103" s="25"/>
      <c r="Q103" s="25"/>
      <c r="R103" s="25"/>
      <c r="S103" s="25"/>
    </row>
    <row r="104" spans="1:19" ht="15" customHeight="1" x14ac:dyDescent="0.45">
      <c r="B104" s="2" t="s">
        <v>297</v>
      </c>
      <c r="D104" s="487" t="s">
        <v>297</v>
      </c>
      <c r="E104" s="25">
        <f>IFERROR(Sanofi!B238/$D$5,0)</f>
        <v>7587</v>
      </c>
      <c r="F104" s="25">
        <f>IFERROR(Sanofi!C238/$D$5,0)</f>
        <v>8474</v>
      </c>
      <c r="G104" s="25">
        <f>IFERROR(Sanofi!D238/$D$5,0)</f>
        <v>6453</v>
      </c>
      <c r="H104" s="25">
        <f>IFERROR(Sanofi!E238/$D$5,0)</f>
        <v>6928</v>
      </c>
      <c r="I104" s="25">
        <f>IFERROR(Sanofi!F238/$D$5,0)</f>
        <v>7660</v>
      </c>
      <c r="J104" s="25">
        <f>IFERROR(Sanofi!G238/$D$5,0)</f>
        <v>7741</v>
      </c>
      <c r="K104" s="25">
        <f>IFERROR(Sanofi!H238/$D$5,0)</f>
        <v>8478</v>
      </c>
      <c r="L104" s="25">
        <f>IFERROR(Sanofi!I238/$D$5,0)</f>
        <v>9289</v>
      </c>
      <c r="M104" s="25">
        <f>IFERROR(Sanofi!J238/$D$5,0)</f>
        <v>11460</v>
      </c>
      <c r="N104" s="25">
        <f>IFERROR(Sanofi!K238/$D$5,0)</f>
        <v>14071</v>
      </c>
      <c r="O104" s="25"/>
      <c r="P104" s="25"/>
      <c r="Q104" s="25"/>
      <c r="R104" s="25"/>
      <c r="S104" s="25"/>
    </row>
    <row r="105" spans="1:19" s="30" customFormat="1" ht="15" customHeight="1" x14ac:dyDescent="0.45">
      <c r="A105" s="4"/>
      <c r="B105" s="5"/>
      <c r="C105" s="4"/>
      <c r="D105" s="478" t="s">
        <v>491</v>
      </c>
      <c r="E105" s="477">
        <f t="shared" ref="E105:N105" si="11">SUM(E97:E104)</f>
        <v>17808</v>
      </c>
      <c r="F105" s="477">
        <f t="shared" si="11"/>
        <v>17638</v>
      </c>
      <c r="G105" s="477">
        <f t="shared" si="11"/>
        <v>15463</v>
      </c>
      <c r="H105" s="477">
        <f t="shared" si="11"/>
        <v>17376</v>
      </c>
      <c r="I105" s="477">
        <f t="shared" si="11"/>
        <v>20387</v>
      </c>
      <c r="J105" s="477">
        <f t="shared" si="11"/>
        <v>19280</v>
      </c>
      <c r="K105" s="477">
        <f t="shared" si="11"/>
        <v>21295</v>
      </c>
      <c r="L105" s="477">
        <f t="shared" si="11"/>
        <v>23974</v>
      </c>
      <c r="M105" s="477">
        <f t="shared" si="11"/>
        <v>24207</v>
      </c>
      <c r="N105" s="477">
        <f t="shared" si="11"/>
        <v>29162</v>
      </c>
      <c r="O105" s="477"/>
      <c r="P105" s="477"/>
      <c r="Q105" s="477"/>
      <c r="R105" s="477"/>
      <c r="S105" s="477"/>
    </row>
    <row r="106" spans="1:19" ht="15" customHeight="1" x14ac:dyDescent="0.45">
      <c r="B106" s="2"/>
      <c r="D106" s="479"/>
      <c r="E106" s="28"/>
      <c r="F106" s="25"/>
      <c r="G106" s="25"/>
      <c r="H106" s="25"/>
      <c r="I106" s="25"/>
      <c r="J106" s="25"/>
      <c r="K106" s="25"/>
      <c r="L106" s="25"/>
      <c r="M106" s="25"/>
      <c r="N106" s="28"/>
      <c r="O106" s="28"/>
      <c r="P106" s="28"/>
      <c r="Q106" s="28"/>
      <c r="R106" s="28"/>
      <c r="S106" s="28"/>
    </row>
    <row r="107" spans="1:19" ht="15" customHeight="1" x14ac:dyDescent="0.45">
      <c r="B107" s="2" t="s">
        <v>300</v>
      </c>
      <c r="D107" s="479" t="s">
        <v>492</v>
      </c>
      <c r="E107" s="477">
        <f t="shared" ref="E107:N107" si="12">SUM(E88,E105,E95)</f>
        <v>102321</v>
      </c>
      <c r="F107" s="477">
        <f t="shared" si="12"/>
        <v>104679</v>
      </c>
      <c r="G107" s="477">
        <f t="shared" si="12"/>
        <v>99813</v>
      </c>
      <c r="H107" s="477">
        <f t="shared" si="12"/>
        <v>111408</v>
      </c>
      <c r="I107" s="477">
        <f t="shared" si="12"/>
        <v>112630</v>
      </c>
      <c r="J107" s="477">
        <f t="shared" si="12"/>
        <v>114413</v>
      </c>
      <c r="K107" s="477">
        <f t="shared" si="12"/>
        <v>120242</v>
      </c>
      <c r="L107" s="477">
        <f t="shared" si="12"/>
        <v>126722</v>
      </c>
      <c r="M107" s="477">
        <f t="shared" si="12"/>
        <v>126464</v>
      </c>
      <c r="N107" s="477">
        <f t="shared" si="12"/>
        <v>132798</v>
      </c>
      <c r="O107" s="23"/>
      <c r="P107" s="23"/>
      <c r="Q107" s="23"/>
      <c r="R107" s="23"/>
      <c r="S107" s="23"/>
    </row>
    <row r="108" spans="1:19" ht="15" customHeight="1" x14ac:dyDescent="0.45">
      <c r="B108" s="2"/>
      <c r="D108" s="474" t="s">
        <v>301</v>
      </c>
      <c r="E108" s="486">
        <f t="shared" ref="E108:N108" si="13">E107-E81</f>
        <v>0</v>
      </c>
      <c r="F108" s="486">
        <f t="shared" si="13"/>
        <v>0</v>
      </c>
      <c r="G108" s="486">
        <f t="shared" si="13"/>
        <v>0</v>
      </c>
      <c r="H108" s="486">
        <f t="shared" si="13"/>
        <v>0</v>
      </c>
      <c r="I108" s="486">
        <f t="shared" si="13"/>
        <v>0</v>
      </c>
      <c r="J108" s="486">
        <f t="shared" si="13"/>
        <v>0</v>
      </c>
      <c r="K108" s="486">
        <f t="shared" si="13"/>
        <v>0</v>
      </c>
      <c r="L108" s="486">
        <f t="shared" si="13"/>
        <v>0</v>
      </c>
      <c r="M108" s="486">
        <f t="shared" si="13"/>
        <v>0</v>
      </c>
      <c r="N108" s="486">
        <f t="shared" si="13"/>
        <v>0</v>
      </c>
      <c r="O108" s="25"/>
      <c r="P108" s="25"/>
      <c r="Q108" s="25"/>
      <c r="R108" s="25"/>
      <c r="S108" s="25"/>
    </row>
    <row r="109" spans="1:19" ht="15" customHeight="1" x14ac:dyDescent="0.45">
      <c r="B109" s="2"/>
      <c r="D109" s="31"/>
      <c r="E109" s="25"/>
      <c r="F109" s="25"/>
      <c r="G109" s="25"/>
      <c r="H109" s="25"/>
      <c r="I109" s="25"/>
      <c r="J109" s="25"/>
      <c r="K109" s="25"/>
      <c r="L109" s="25"/>
      <c r="M109" s="25"/>
      <c r="N109" s="25"/>
      <c r="O109" s="25"/>
      <c r="P109" s="25"/>
      <c r="Q109" s="25"/>
      <c r="R109" s="25"/>
      <c r="S109" s="25"/>
    </row>
    <row r="111" spans="1:19" ht="15" customHeight="1" x14ac:dyDescent="0.45">
      <c r="B111" s="3"/>
      <c r="D111" s="485" t="s">
        <v>493</v>
      </c>
      <c r="E111" s="23"/>
      <c r="F111" s="23"/>
      <c r="G111" s="23"/>
      <c r="H111" s="23"/>
      <c r="I111" s="23"/>
      <c r="J111" s="23"/>
      <c r="K111" s="23"/>
      <c r="L111" s="23"/>
      <c r="M111" s="23"/>
      <c r="N111" s="23"/>
      <c r="O111" s="23"/>
      <c r="P111" s="23"/>
      <c r="Q111" s="23"/>
      <c r="R111" s="23"/>
      <c r="S111" s="23"/>
    </row>
    <row r="112" spans="1:19" ht="15" customHeight="1" x14ac:dyDescent="0.45">
      <c r="B112" s="3"/>
      <c r="D112" s="31"/>
      <c r="E112" s="23"/>
      <c r="F112" s="23"/>
      <c r="G112" s="23"/>
      <c r="H112" s="23"/>
      <c r="I112" s="23"/>
      <c r="J112" s="23"/>
      <c r="K112" s="23"/>
      <c r="L112" s="23"/>
      <c r="M112" s="23"/>
      <c r="N112" s="23"/>
      <c r="O112" s="23"/>
      <c r="P112" s="23"/>
      <c r="Q112" s="23"/>
      <c r="R112" s="23"/>
      <c r="S112" s="23"/>
    </row>
    <row r="113" spans="2:19" ht="15" customHeight="1" x14ac:dyDescent="0.45">
      <c r="B113" s="2"/>
      <c r="D113" s="480" t="s">
        <v>494</v>
      </c>
      <c r="E113" s="25"/>
      <c r="F113" s="25"/>
      <c r="G113" s="25"/>
      <c r="H113" s="25"/>
      <c r="I113" s="25"/>
      <c r="J113" s="25"/>
      <c r="K113" s="25"/>
      <c r="L113" s="25"/>
      <c r="M113" s="25"/>
      <c r="N113" s="25"/>
      <c r="O113" s="25"/>
      <c r="P113" s="25"/>
      <c r="Q113" s="25"/>
      <c r="R113" s="25"/>
      <c r="S113" s="25"/>
    </row>
    <row r="114" spans="2:19" ht="15" customHeight="1" x14ac:dyDescent="0.45">
      <c r="B114" s="2" t="s">
        <v>303</v>
      </c>
      <c r="D114" t="s">
        <v>621</v>
      </c>
      <c r="E114" s="25">
        <f t="shared" ref="E114:N114" si="14">E40-E23-E24-E37</f>
        <v>5355</v>
      </c>
      <c r="F114" s="25">
        <f t="shared" si="14"/>
        <v>6338</v>
      </c>
      <c r="G114" s="25">
        <f t="shared" si="14"/>
        <v>10428</v>
      </c>
      <c r="H114" s="25">
        <f t="shared" si="14"/>
        <v>5186</v>
      </c>
      <c r="I114" s="25">
        <f t="shared" si="14"/>
        <v>3328</v>
      </c>
      <c r="J114" s="25">
        <f t="shared" si="14"/>
        <v>14523</v>
      </c>
      <c r="K114" s="25">
        <f t="shared" si="14"/>
        <v>8140</v>
      </c>
      <c r="L114" s="25">
        <f t="shared" si="14"/>
        <v>10443</v>
      </c>
      <c r="M114" s="25">
        <f t="shared" si="14"/>
        <v>6479</v>
      </c>
      <c r="N114" s="25">
        <f t="shared" si="14"/>
        <v>6992</v>
      </c>
      <c r="O114" s="25"/>
      <c r="P114" s="25"/>
      <c r="Q114" s="25"/>
      <c r="R114" s="25"/>
      <c r="S114" s="25"/>
    </row>
    <row r="115" spans="2:19" ht="15" customHeight="1" x14ac:dyDescent="0.45">
      <c r="B115" s="2" t="s">
        <v>314</v>
      </c>
      <c r="D115" s="467" t="str">
        <f>D23</f>
        <v>Interest Expense</v>
      </c>
      <c r="E115" s="24" cm="1">
        <f t="array" ref="E115">_xlfn.ANCHORARRAY(E23)</f>
        <v>-416</v>
      </c>
      <c r="F115" s="24" cm="1">
        <f t="array" ref="F115">_xlfn.ANCHORARRAY(F23)</f>
        <v>-360</v>
      </c>
      <c r="G115" s="24" cm="1">
        <f t="array" ref="G115">_xlfn.ANCHORARRAY(G23)</f>
        <v>-346</v>
      </c>
      <c r="H115" s="24" cm="1">
        <f t="array" ref="H115">_xlfn.ANCHORARRAY(H23)</f>
        <v>-471</v>
      </c>
      <c r="I115" s="24" cm="1">
        <f t="array" ref="I115">_xlfn.ANCHORARRAY(I23)</f>
        <v>-544</v>
      </c>
      <c r="J115" s="24" cm="1">
        <f t="array" ref="J115">_xlfn.ANCHORARRAY(J23)</f>
        <v>-459</v>
      </c>
      <c r="K115" s="24" cm="1">
        <f t="array" ref="K115">_xlfn.ANCHORARRAY(K23)</f>
        <v>-362</v>
      </c>
      <c r="L115" s="24" cm="1">
        <f t="array" ref="L115">_xlfn.ANCHORARRAY(L23)</f>
        <v>-402</v>
      </c>
      <c r="M115" s="24" cm="1">
        <f t="array" ref="M115">_xlfn.ANCHORARRAY(M23)</f>
        <v>-589</v>
      </c>
      <c r="N115" s="24" cm="1">
        <f t="array" ref="N115">_xlfn.ANCHORARRAY(N23)</f>
        <v>-641</v>
      </c>
      <c r="O115" s="25"/>
      <c r="P115" s="25"/>
      <c r="Q115" s="25"/>
      <c r="R115" s="25"/>
      <c r="S115" s="25"/>
    </row>
    <row r="116" spans="2:19" ht="15" customHeight="1" x14ac:dyDescent="0.45">
      <c r="B116" s="2" t="s">
        <v>310</v>
      </c>
      <c r="D116" s="467" t="str">
        <f>D24</f>
        <v>Interest and Invest. Income</v>
      </c>
      <c r="E116" s="24">
        <f>E24</f>
        <v>57</v>
      </c>
      <c r="F116" s="24" cm="1">
        <f t="array" ref="F116">_xlfn.ANCHORARRAY(F24)</f>
        <v>56</v>
      </c>
      <c r="G116" s="24" cm="1">
        <f t="array" ref="G116">_xlfn.ANCHORARRAY(G24)</f>
        <v>56</v>
      </c>
      <c r="H116" s="24" cm="1">
        <f t="array" ref="H116">_xlfn.ANCHORARRAY(H24)</f>
        <v>72</v>
      </c>
      <c r="I116" s="24" cm="1">
        <f t="array" ref="I116">_xlfn.ANCHORARRAY(I24)</f>
        <v>91</v>
      </c>
      <c r="J116" s="24" cm="1">
        <f t="array" ref="J116">_xlfn.ANCHORARRAY(J24)</f>
        <v>37</v>
      </c>
      <c r="K116" s="24" cm="1">
        <f t="array" ref="K116">_xlfn.ANCHORARRAY(K24)</f>
        <v>3</v>
      </c>
      <c r="L116" s="24" cm="1">
        <f t="array" ref="L116">_xlfn.ANCHORARRAY(L24)</f>
        <v>239</v>
      </c>
      <c r="M116" s="24" cm="1">
        <f t="array" ref="M116">_xlfn.ANCHORARRAY(M24)</f>
        <v>527</v>
      </c>
      <c r="N116" s="24" cm="1">
        <f t="array" ref="N116">_xlfn.ANCHORARRAY(N24)</f>
        <v>413</v>
      </c>
      <c r="O116" s="25"/>
      <c r="P116" s="25"/>
      <c r="Q116" s="25"/>
      <c r="R116" s="25"/>
      <c r="S116" s="25"/>
    </row>
    <row r="117" spans="2:19" ht="15" customHeight="1" x14ac:dyDescent="0.45">
      <c r="B117" s="2" t="s">
        <v>304</v>
      </c>
      <c r="D117" s="467" t="str">
        <f t="shared" ref="D117:N117" si="15">D37</f>
        <v>Income Tax Expense</v>
      </c>
      <c r="E117" s="24">
        <f t="shared" si="15"/>
        <v>-709</v>
      </c>
      <c r="F117" s="24">
        <f t="shared" si="15"/>
        <v>-1325</v>
      </c>
      <c r="G117" s="24">
        <f t="shared" si="15"/>
        <v>-1722</v>
      </c>
      <c r="H117" s="24">
        <f t="shared" si="15"/>
        <v>-481</v>
      </c>
      <c r="I117" s="24">
        <f t="shared" si="15"/>
        <v>-121</v>
      </c>
      <c r="J117" s="24">
        <f t="shared" si="15"/>
        <v>-1807</v>
      </c>
      <c r="K117" s="24">
        <f t="shared" si="15"/>
        <v>-1558</v>
      </c>
      <c r="L117" s="24">
        <f t="shared" si="15"/>
        <v>-1909</v>
      </c>
      <c r="M117" s="24">
        <f t="shared" si="15"/>
        <v>-1017</v>
      </c>
      <c r="N117" s="24">
        <f t="shared" si="15"/>
        <v>-1204</v>
      </c>
      <c r="O117" s="25"/>
      <c r="P117" s="25"/>
      <c r="Q117" s="25"/>
      <c r="R117" s="25"/>
      <c r="S117" s="25"/>
    </row>
    <row r="118" spans="2:19" ht="15" customHeight="1" x14ac:dyDescent="0.45">
      <c r="B118" s="2" t="s">
        <v>306</v>
      </c>
      <c r="D118" s="509" t="s">
        <v>556</v>
      </c>
      <c r="E118" s="25">
        <f>IFERROR(Sanofi!B132/$D$5,0)</f>
        <v>612</v>
      </c>
      <c r="F118" s="25">
        <f>IFERROR(Sanofi!C132/$D$5,0)</f>
        <v>1129</v>
      </c>
      <c r="G118" s="25">
        <f>IFERROR(Sanofi!D132/$D$5,0)</f>
        <v>1121</v>
      </c>
      <c r="H118" s="25">
        <f>IFERROR(Sanofi!E132/$D$5,0)</f>
        <v>1151</v>
      </c>
      <c r="I118" s="25">
        <f>IFERROR(Sanofi!F132/$D$5,0)</f>
        <v>1426</v>
      </c>
      <c r="J118" s="25">
        <f>IFERROR(Sanofi!G132/$D$5,0)</f>
        <v>1479</v>
      </c>
      <c r="K118" s="25">
        <f>IFERROR(Sanofi!H132/$D$5,0)</f>
        <v>1380</v>
      </c>
      <c r="L118" s="25">
        <f>IFERROR(Sanofi!I132/$D$5,0)</f>
        <v>1180</v>
      </c>
      <c r="M118" s="25">
        <f>IFERROR(Sanofi!J132/$D$5,0)</f>
        <v>1022</v>
      </c>
      <c r="N118" s="25">
        <f>IFERROR(Sanofi!K132/$D$5,0)</f>
        <v>1016</v>
      </c>
      <c r="O118" s="25"/>
      <c r="P118" s="25"/>
      <c r="Q118" s="25"/>
      <c r="R118" s="25"/>
      <c r="S118" s="25"/>
    </row>
    <row r="119" spans="2:19" ht="15" customHeight="1" x14ac:dyDescent="0.45">
      <c r="B119" s="2" t="s">
        <v>306</v>
      </c>
      <c r="D119" s="509" t="s">
        <v>560</v>
      </c>
      <c r="E119" s="25">
        <f>IFERROR(Sanofi!B133/$D$5,0)</f>
        <v>2651</v>
      </c>
      <c r="F119" s="25">
        <f>IFERROR(Sanofi!C133/$D$5,0)</f>
        <v>1712</v>
      </c>
      <c r="G119" s="25">
        <f>IFERROR(Sanofi!D133/$D$5,0)</f>
        <v>1886</v>
      </c>
      <c r="H119" s="25">
        <f>IFERROR(Sanofi!E133/$D$5,0)</f>
        <v>2188</v>
      </c>
      <c r="I119" s="25">
        <f>IFERROR(Sanofi!F133/$D$5,0)</f>
        <v>2167</v>
      </c>
      <c r="J119" s="25">
        <f>IFERROR(Sanofi!G133/$D$5,0)</f>
        <v>1707</v>
      </c>
      <c r="K119" s="25">
        <f>IFERROR(Sanofi!H133/$D$5,0)</f>
        <v>1621</v>
      </c>
      <c r="L119" s="25">
        <f>IFERROR(Sanofi!I133/$D$5,0)</f>
        <v>1873</v>
      </c>
      <c r="M119" s="25">
        <f>IFERROR(Sanofi!J133/$D$5,0)</f>
        <v>2225</v>
      </c>
      <c r="N119" s="25">
        <f>IFERROR(Sanofi!K133/$D$5,0)</f>
        <v>2094</v>
      </c>
      <c r="O119" s="25"/>
      <c r="P119" s="25"/>
      <c r="Q119" s="25"/>
      <c r="R119" s="25"/>
      <c r="S119" s="25"/>
    </row>
    <row r="120" spans="2:19" ht="15" customHeight="1" x14ac:dyDescent="0.45">
      <c r="B120" s="2" t="s">
        <v>306</v>
      </c>
      <c r="D120" s="509" t="s">
        <v>561</v>
      </c>
      <c r="E120" s="25">
        <f>IFERROR(Sanofi!B135/$D$5,0)</f>
        <v>108</v>
      </c>
      <c r="F120" s="25">
        <f>IFERROR(Sanofi!C135/$D$5,0)</f>
        <v>104</v>
      </c>
      <c r="G120" s="25">
        <f>IFERROR(Sanofi!D135/$D$5,0)</f>
        <v>112</v>
      </c>
      <c r="H120" s="25">
        <f>IFERROR(Sanofi!E135/$D$5,0)</f>
        <v>115</v>
      </c>
      <c r="I120" s="25">
        <f>IFERROR(Sanofi!F135/$D$5,0)</f>
        <v>127</v>
      </c>
      <c r="J120" s="25">
        <f>IFERROR(Sanofi!G135/$D$5,0)</f>
        <v>112</v>
      </c>
      <c r="K120" s="25">
        <f>IFERROR(Sanofi!H135/$D$5,0)</f>
        <v>119</v>
      </c>
      <c r="L120" s="25">
        <f>IFERROR(Sanofi!I135/$D$5,0)</f>
        <v>97</v>
      </c>
      <c r="M120" s="25">
        <f>IFERROR(Sanofi!J135/$D$5,0)</f>
        <v>120</v>
      </c>
      <c r="N120" s="25">
        <f>IFERROR(Sanofi!K135/$D$5,0)</f>
        <v>106</v>
      </c>
      <c r="O120" s="25"/>
      <c r="P120" s="25"/>
      <c r="Q120" s="25"/>
      <c r="R120" s="25"/>
      <c r="S120" s="25"/>
    </row>
    <row r="121" spans="2:19" ht="15" customHeight="1" x14ac:dyDescent="0.45">
      <c r="B121" s="2" t="s">
        <v>305</v>
      </c>
      <c r="D121" s="509" t="s">
        <v>642</v>
      </c>
      <c r="E121" s="25">
        <f>IFERROR(Sanofi!B136/$D$5,0)</f>
        <v>7</v>
      </c>
      <c r="F121" s="25">
        <f>IFERROR(Sanofi!C136/$D$5,0)</f>
        <v>5</v>
      </c>
      <c r="G121" s="25">
        <f>IFERROR(Sanofi!D136/$D$5,0)</f>
        <v>38</v>
      </c>
      <c r="H121" s="25">
        <f>IFERROR(Sanofi!E136/$D$5,0)</f>
        <v>22</v>
      </c>
      <c r="I121" s="25">
        <f>IFERROR(Sanofi!F136/$D$5,0)</f>
        <v>31</v>
      </c>
      <c r="J121" s="25">
        <f>IFERROR(Sanofi!G136/$D$5,0)</f>
        <v>36</v>
      </c>
      <c r="K121" s="25">
        <f>IFERROR(Sanofi!H136/$D$5,0)</f>
        <v>56</v>
      </c>
      <c r="L121" s="25">
        <f>IFERROR(Sanofi!I136/$D$5,0)</f>
        <v>113</v>
      </c>
      <c r="M121" s="25">
        <f>IFERROR(Sanofi!J136/$D$5,0)</f>
        <v>36</v>
      </c>
      <c r="N121" s="25">
        <f>IFERROR(Sanofi!K136/$D$5,0)</f>
        <v>58</v>
      </c>
      <c r="O121" s="25"/>
      <c r="P121" s="25"/>
      <c r="Q121" s="25"/>
      <c r="R121" s="25"/>
      <c r="S121" s="25"/>
    </row>
    <row r="122" spans="2:19" ht="15" customHeight="1" x14ac:dyDescent="0.45">
      <c r="B122" s="2" t="s">
        <v>305</v>
      </c>
      <c r="D122" s="509" t="s">
        <v>562</v>
      </c>
      <c r="E122" s="25">
        <f>IFERROR(Sanofi!B137/$D$5,0)</f>
        <v>-136</v>
      </c>
      <c r="F122" s="25">
        <f>IFERROR(Sanofi!C137/$D$5,0)</f>
        <v>-327</v>
      </c>
      <c r="G122" s="25">
        <f>IFERROR(Sanofi!D137/$D$5,0)</f>
        <v>-59</v>
      </c>
      <c r="H122" s="25">
        <f>IFERROR(Sanofi!E137/$D$5,0)</f>
        <v>-728</v>
      </c>
      <c r="I122" s="25">
        <f>IFERROR(Sanofi!F137/$D$5,0)</f>
        <v>-595</v>
      </c>
      <c r="J122" s="25">
        <f>IFERROR(Sanofi!G137/$D$5,0)</f>
        <v>-1012</v>
      </c>
      <c r="K122" s="25">
        <f>IFERROR(Sanofi!H137/$D$5,0)</f>
        <v>-357</v>
      </c>
      <c r="L122" s="25">
        <f>IFERROR(Sanofi!I137/$D$5,0)</f>
        <v>-470</v>
      </c>
      <c r="M122" s="25">
        <f>IFERROR(Sanofi!J137/$D$5,0)</f>
        <v>-103</v>
      </c>
      <c r="N122" s="25">
        <f>IFERROR(Sanofi!K137/$D$5,0)</f>
        <v>-298</v>
      </c>
      <c r="O122" s="25"/>
      <c r="P122" s="25"/>
      <c r="Q122" s="25"/>
      <c r="R122" s="25"/>
      <c r="S122" s="25"/>
    </row>
    <row r="123" spans="2:19" ht="15" customHeight="1" x14ac:dyDescent="0.45">
      <c r="B123" s="2" t="s">
        <v>305</v>
      </c>
      <c r="D123" s="509" t="s">
        <v>563</v>
      </c>
      <c r="E123" s="25">
        <f>IFERROR(Sanofi!B138/$D$5,0)</f>
        <v>0</v>
      </c>
      <c r="F123" s="25">
        <f>IFERROR(Sanofi!C138/$D$5,0)</f>
        <v>0</v>
      </c>
      <c r="G123" s="25">
        <f>IFERROR(Sanofi!D138/$D$5,0)</f>
        <v>0</v>
      </c>
      <c r="H123" s="25">
        <f>IFERROR(Sanofi!E138/$D$5,0)</f>
        <v>0</v>
      </c>
      <c r="I123" s="25">
        <f>IFERROR(Sanofi!F138/$D$5,0)</f>
        <v>0</v>
      </c>
      <c r="J123" s="25">
        <f>IFERROR(Sanofi!G138/$D$5,0)</f>
        <v>-6880</v>
      </c>
      <c r="K123" s="25">
        <f>IFERROR(Sanofi!H138/$D$5,0)</f>
        <v>0</v>
      </c>
      <c r="L123" s="25">
        <f>IFERROR(Sanofi!I138/$D$5,0)</f>
        <v>0</v>
      </c>
      <c r="M123" s="25">
        <f>IFERROR(Sanofi!J138/$D$5,0)</f>
        <v>0</v>
      </c>
      <c r="N123" s="25">
        <f>IFERROR(Sanofi!K138/$D$5,0)</f>
        <v>0</v>
      </c>
      <c r="O123" s="25"/>
      <c r="P123" s="25"/>
      <c r="Q123" s="25"/>
      <c r="R123" s="25"/>
      <c r="S123" s="25"/>
    </row>
    <row r="124" spans="2:19" ht="15" customHeight="1" x14ac:dyDescent="0.45">
      <c r="B124" s="2" t="s">
        <v>306</v>
      </c>
      <c r="D124" s="509" t="s">
        <v>564</v>
      </c>
      <c r="E124" s="25">
        <f>IFERROR(Sanofi!B139/$D$5,0)</f>
        <v>540</v>
      </c>
      <c r="F124" s="25">
        <f>IFERROR(Sanofi!C139/$D$5,0)</f>
        <v>356</v>
      </c>
      <c r="G124" s="25">
        <f>IFERROR(Sanofi!D139/$D$5,0)</f>
        <v>567</v>
      </c>
      <c r="H124" s="25">
        <f>IFERROR(Sanofi!E139/$D$5,0)</f>
        <v>825</v>
      </c>
      <c r="I124" s="25">
        <f>IFERROR(Sanofi!F139/$D$5,0)</f>
        <v>3725</v>
      </c>
      <c r="J124" s="25">
        <f>IFERROR(Sanofi!G139/$D$5,0)</f>
        <v>373</v>
      </c>
      <c r="K124" s="25">
        <f>IFERROR(Sanofi!H139/$D$5,0)</f>
        <v>231</v>
      </c>
      <c r="L124" s="25">
        <f>IFERROR(Sanofi!I139/$D$5,0)</f>
        <v>-42</v>
      </c>
      <c r="M124" s="25">
        <f>IFERROR(Sanofi!J139/$D$5,0)</f>
        <v>1062</v>
      </c>
      <c r="N124" s="25">
        <f>IFERROR(Sanofi!K139/$D$5,0)</f>
        <v>370</v>
      </c>
      <c r="O124" s="25"/>
      <c r="P124" s="25"/>
      <c r="Q124" s="25"/>
      <c r="R124" s="25"/>
      <c r="S124" s="25"/>
    </row>
    <row r="125" spans="2:19" ht="15" customHeight="1" x14ac:dyDescent="0.45">
      <c r="B125" s="2" t="s">
        <v>305</v>
      </c>
      <c r="D125" s="509" t="s">
        <v>565</v>
      </c>
      <c r="E125" s="25">
        <f>IFERROR(Sanofi!B140/$D$5,0)</f>
        <v>115</v>
      </c>
      <c r="F125" s="25">
        <f>IFERROR(Sanofi!C140/$D$5,0)</f>
        <v>-85</v>
      </c>
      <c r="G125" s="25">
        <f>IFERROR(Sanofi!D140/$D$5,0)</f>
        <v>-47</v>
      </c>
      <c r="H125" s="25">
        <f>IFERROR(Sanofi!E140/$D$5,0)</f>
        <v>-471</v>
      </c>
      <c r="I125" s="25">
        <f>IFERROR(Sanofi!F140/$D$5,0)</f>
        <v>-192</v>
      </c>
      <c r="J125" s="25">
        <f>IFERROR(Sanofi!G140/$D$5,0)</f>
        <v>-339</v>
      </c>
      <c r="K125" s="25">
        <f>IFERROR(Sanofi!H140/$D$5,0)</f>
        <v>-15</v>
      </c>
      <c r="L125" s="25">
        <f>IFERROR(Sanofi!I140/$D$5,0)</f>
        <v>-45</v>
      </c>
      <c r="M125" s="25">
        <f>IFERROR(Sanofi!J140/$D$5,0)</f>
        <v>293</v>
      </c>
      <c r="N125" s="25">
        <f>IFERROR(Sanofi!K140/$D$5,0)</f>
        <v>82</v>
      </c>
      <c r="O125" s="25"/>
      <c r="P125" s="25"/>
      <c r="Q125" s="25"/>
      <c r="R125" s="25"/>
      <c r="S125" s="25"/>
    </row>
    <row r="126" spans="2:19" ht="15" customHeight="1" x14ac:dyDescent="0.45">
      <c r="B126" s="2" t="s">
        <v>306</v>
      </c>
      <c r="D126" s="509" t="s">
        <v>566</v>
      </c>
      <c r="E126" s="25">
        <f>IFERROR(Sanofi!B141/$D$5,0)</f>
        <v>193</v>
      </c>
      <c r="F126" s="25">
        <f>IFERROR(Sanofi!C141/$D$5,0)</f>
        <v>241</v>
      </c>
      <c r="G126" s="25">
        <f>IFERROR(Sanofi!D141/$D$5,0)</f>
        <v>263</v>
      </c>
      <c r="H126" s="25">
        <f>IFERROR(Sanofi!E141/$D$5,0)</f>
        <v>284</v>
      </c>
      <c r="I126" s="25">
        <f>IFERROR(Sanofi!F141/$D$5,0)</f>
        <v>252</v>
      </c>
      <c r="J126" s="25">
        <f>IFERROR(Sanofi!G141/$D$5,0)</f>
        <v>274</v>
      </c>
      <c r="K126" s="25">
        <f>IFERROR(Sanofi!H141/$D$5,0)</f>
        <v>244</v>
      </c>
      <c r="L126" s="25">
        <f>IFERROR(Sanofi!I141/$D$5,0)</f>
        <v>234</v>
      </c>
      <c r="M126" s="25">
        <f>IFERROR(Sanofi!J141/$D$5,0)</f>
        <v>260</v>
      </c>
      <c r="N126" s="25">
        <f>IFERROR(Sanofi!K141/$D$5,0)</f>
        <v>278</v>
      </c>
      <c r="O126" s="25"/>
      <c r="P126" s="25"/>
      <c r="Q126" s="25"/>
      <c r="R126" s="25"/>
      <c r="S126" s="25"/>
    </row>
    <row r="127" spans="2:19" ht="15" customHeight="1" x14ac:dyDescent="0.45">
      <c r="B127" s="2" t="s">
        <v>305</v>
      </c>
      <c r="D127" s="509" t="s">
        <v>653</v>
      </c>
      <c r="E127" s="25">
        <f>IFERROR(Sanofi!B142/$D$5,0)</f>
        <v>630</v>
      </c>
      <c r="F127" s="25">
        <f>IFERROR(Sanofi!C142/$D$5,0)</f>
        <v>-314</v>
      </c>
      <c r="G127" s="25">
        <f>IFERROR(Sanofi!D142/$D$5,0)</f>
        <v>-4643</v>
      </c>
      <c r="H127" s="25">
        <f>IFERROR(Sanofi!E142/$D$5,0)</f>
        <v>13</v>
      </c>
      <c r="I127" s="25">
        <f>IFERROR(Sanofi!F142/$D$5,0)</f>
        <v>101</v>
      </c>
      <c r="J127" s="25">
        <f>IFERROR(Sanofi!G142/$D$5,0)</f>
        <v>0</v>
      </c>
      <c r="K127" s="25">
        <f>IFERROR(Sanofi!H142/$D$5,0)</f>
        <v>0</v>
      </c>
      <c r="L127" s="25">
        <f>IFERROR(Sanofi!I142/$D$5,0)</f>
        <v>888</v>
      </c>
      <c r="M127" s="25">
        <f>IFERROR(Sanofi!J142/$D$5,0)</f>
        <v>987</v>
      </c>
      <c r="N127" s="25">
        <f>IFERROR(Sanofi!K142/$D$5,0)</f>
        <v>474</v>
      </c>
      <c r="O127" s="25"/>
      <c r="P127" s="25"/>
      <c r="Q127" s="25"/>
      <c r="R127" s="25"/>
      <c r="S127" s="25"/>
    </row>
    <row r="128" spans="2:19" ht="15" customHeight="1" x14ac:dyDescent="0.45">
      <c r="B128" s="2" t="s">
        <v>306</v>
      </c>
      <c r="D128" s="509" t="s">
        <v>567</v>
      </c>
      <c r="E128" s="25">
        <f>IFERROR(Sanofi!B143/$D$5,0)</f>
        <v>-1142</v>
      </c>
      <c r="F128" s="25">
        <f>IFERROR(Sanofi!C143/$D$5,0)</f>
        <v>-522</v>
      </c>
      <c r="G128" s="25">
        <f>IFERROR(Sanofi!D143/$D$5,0)</f>
        <v>-422</v>
      </c>
      <c r="H128" s="25">
        <f>IFERROR(Sanofi!E143/$D$5,0)</f>
        <v>-878</v>
      </c>
      <c r="I128" s="25">
        <f>IFERROR(Sanofi!F143/$D$5,0)</f>
        <v>-1662</v>
      </c>
      <c r="J128" s="25">
        <f>IFERROR(Sanofi!G143/$D$5,0)</f>
        <v>-301</v>
      </c>
      <c r="K128" s="25">
        <f>IFERROR(Sanofi!H143/$D$5,0)</f>
        <v>-389</v>
      </c>
      <c r="L128" s="25">
        <f>IFERROR(Sanofi!I143/$D$5,0)</f>
        <v>-879</v>
      </c>
      <c r="M128" s="25">
        <f>IFERROR(Sanofi!J143/$D$5,0)</f>
        <v>-1457</v>
      </c>
      <c r="N128" s="25">
        <f>IFERROR(Sanofi!K143/$D$5,0)</f>
        <v>-44</v>
      </c>
      <c r="O128" s="25"/>
      <c r="P128" s="25"/>
      <c r="Q128" s="25"/>
      <c r="R128" s="25"/>
      <c r="S128" s="25"/>
    </row>
    <row r="129" spans="1:19" ht="15" customHeight="1" x14ac:dyDescent="0.45">
      <c r="B129" s="2" t="s">
        <v>308</v>
      </c>
      <c r="D129" s="509" t="s">
        <v>568</v>
      </c>
      <c r="E129" s="25">
        <f>IFERROR(Sanofi!B144/$D$5,0)</f>
        <v>-493</v>
      </c>
      <c r="F129" s="25">
        <f>IFERROR(Sanofi!C144/$D$5,0)</f>
        <v>168</v>
      </c>
      <c r="G129" s="25">
        <f>IFERROR(Sanofi!D144/$D$5,0)</f>
        <v>-529</v>
      </c>
      <c r="H129" s="25">
        <f>IFERROR(Sanofi!E144/$D$5,0)</f>
        <v>-35</v>
      </c>
      <c r="I129" s="25">
        <f>IFERROR(Sanofi!F144/$D$5,0)</f>
        <v>-462</v>
      </c>
      <c r="J129" s="25">
        <f>IFERROR(Sanofi!G144/$D$5,0)</f>
        <v>-134</v>
      </c>
      <c r="K129" s="25">
        <f>IFERROR(Sanofi!H144/$D$5,0)</f>
        <v>185</v>
      </c>
      <c r="L129" s="25">
        <f>IFERROR(Sanofi!I144/$D$5,0)</f>
        <v>-500</v>
      </c>
      <c r="M129" s="25">
        <f>IFERROR(Sanofi!J144/$D$5,0)</f>
        <v>-472</v>
      </c>
      <c r="N129" s="25">
        <f>IFERROR(Sanofi!K144/$D$5,0)</f>
        <v>-28</v>
      </c>
      <c r="O129" s="25"/>
      <c r="P129" s="25"/>
      <c r="Q129" s="25"/>
      <c r="R129" s="25"/>
      <c r="S129" s="25"/>
    </row>
    <row r="130" spans="1:19" ht="15" customHeight="1" x14ac:dyDescent="0.45">
      <c r="B130" s="2" t="s">
        <v>308</v>
      </c>
      <c r="D130" s="509" t="s">
        <v>569</v>
      </c>
      <c r="E130" s="25">
        <f>IFERROR(Sanofi!B145/$D$5,0)</f>
        <v>-466</v>
      </c>
      <c r="F130" s="25">
        <f>IFERROR(Sanofi!C145/$D$5,0)</f>
        <v>-326</v>
      </c>
      <c r="G130" s="25">
        <f>IFERROR(Sanofi!D145/$D$5,0)</f>
        <v>-144</v>
      </c>
      <c r="H130" s="25">
        <f>IFERROR(Sanofi!E145/$D$5,0)</f>
        <v>-701</v>
      </c>
      <c r="I130" s="25">
        <f>IFERROR(Sanofi!F145/$D$5,0)</f>
        <v>-547</v>
      </c>
      <c r="J130" s="25">
        <f>IFERROR(Sanofi!G145/$D$5,0)</f>
        <v>-593</v>
      </c>
      <c r="K130" s="25">
        <f>IFERROR(Sanofi!H145/$D$5,0)</f>
        <v>-357</v>
      </c>
      <c r="L130" s="25">
        <f>IFERROR(Sanofi!I145/$D$5,0)</f>
        <v>-918</v>
      </c>
      <c r="M130" s="25">
        <f>IFERROR(Sanofi!J145/$D$5,0)</f>
        <v>-866</v>
      </c>
      <c r="N130" s="25">
        <f>IFERROR(Sanofi!K145/$D$5,0)</f>
        <v>-477</v>
      </c>
      <c r="O130" s="25"/>
      <c r="P130" s="25"/>
      <c r="Q130" s="25"/>
      <c r="R130" s="25"/>
      <c r="S130" s="25"/>
    </row>
    <row r="131" spans="1:19" ht="15" customHeight="1" x14ac:dyDescent="0.45">
      <c r="B131" s="2" t="s">
        <v>308</v>
      </c>
      <c r="D131" s="509" t="s">
        <v>570</v>
      </c>
      <c r="E131" s="25">
        <f>IFERROR(Sanofi!B146/$D$5,0)</f>
        <v>241</v>
      </c>
      <c r="F131" s="25">
        <f>IFERROR(Sanofi!C146/$D$5,0)</f>
        <v>447</v>
      </c>
      <c r="G131" s="25">
        <f>IFERROR(Sanofi!D146/$D$5,0)</f>
        <v>577</v>
      </c>
      <c r="H131" s="25">
        <f>IFERROR(Sanofi!E146/$D$5,0)</f>
        <v>270</v>
      </c>
      <c r="I131" s="25">
        <f>IFERROR(Sanofi!F146/$D$5,0)</f>
        <v>169</v>
      </c>
      <c r="J131" s="25">
        <f>IFERROR(Sanofi!G146/$D$5,0)</f>
        <v>86</v>
      </c>
      <c r="K131" s="25">
        <f>IFERROR(Sanofi!H146/$D$5,0)</f>
        <v>451</v>
      </c>
      <c r="L131" s="25">
        <f>IFERROR(Sanofi!I146/$D$5,0)</f>
        <v>340</v>
      </c>
      <c r="M131" s="25">
        <f>IFERROR(Sanofi!J146/$D$5,0)</f>
        <v>258</v>
      </c>
      <c r="N131" s="25">
        <f>IFERROR(Sanofi!K146/$D$5,0)</f>
        <v>789</v>
      </c>
      <c r="O131" s="25"/>
      <c r="P131" s="25"/>
      <c r="Q131" s="25"/>
      <c r="R131" s="25"/>
      <c r="S131" s="25"/>
    </row>
    <row r="132" spans="1:19" ht="15" customHeight="1" x14ac:dyDescent="0.45">
      <c r="B132" s="2" t="s">
        <v>308</v>
      </c>
      <c r="D132" s="509" t="s">
        <v>626</v>
      </c>
      <c r="E132" s="25">
        <f>IFERROR(Sanofi!B147/$D$5,0)</f>
        <v>1773</v>
      </c>
      <c r="F132" s="25">
        <f>IFERROR(Sanofi!C147/$D$5,0)</f>
        <v>541</v>
      </c>
      <c r="G132" s="25">
        <f>IFERROR(Sanofi!D147/$D$5,0)</f>
        <v>243</v>
      </c>
      <c r="H132" s="25">
        <f>IFERROR(Sanofi!E147/$D$5,0)</f>
        <v>-814</v>
      </c>
      <c r="I132" s="25">
        <f>IFERROR(Sanofi!F147/$D$5,0)</f>
        <v>421</v>
      </c>
      <c r="J132" s="25">
        <f>IFERROR(Sanofi!G147/$D$5,0)</f>
        <v>316</v>
      </c>
      <c r="K132" s="25">
        <f>IFERROR(Sanofi!H147/$D$5,0)</f>
        <v>1130</v>
      </c>
      <c r="L132" s="25">
        <f>IFERROR(Sanofi!I147/$D$5,0)</f>
        <v>284</v>
      </c>
      <c r="M132" s="25">
        <f>IFERROR(Sanofi!J147/$D$5,0)</f>
        <v>1493</v>
      </c>
      <c r="N132" s="25">
        <f>IFERROR(Sanofi!K147/$D$5,0)</f>
        <v>-899</v>
      </c>
      <c r="O132" s="25"/>
      <c r="P132" s="25"/>
      <c r="Q132" s="25"/>
      <c r="R132" s="25"/>
      <c r="S132" s="25"/>
    </row>
    <row r="133" spans="1:19" ht="15" customHeight="1" x14ac:dyDescent="0.45">
      <c r="B133" s="2"/>
      <c r="D133" s="1"/>
      <c r="E133" s="25"/>
      <c r="F133" s="25"/>
      <c r="G133" s="25"/>
      <c r="H133" s="25"/>
      <c r="I133" s="25"/>
      <c r="J133" s="25"/>
      <c r="K133" s="25"/>
      <c r="L133" s="25"/>
      <c r="M133" s="25"/>
      <c r="N133" s="25"/>
      <c r="O133" s="25"/>
      <c r="P133" s="25"/>
      <c r="Q133" s="25"/>
      <c r="R133" s="25"/>
      <c r="S133" s="25"/>
    </row>
    <row r="134" spans="1:19" ht="15" customHeight="1" x14ac:dyDescent="0.45">
      <c r="B134" s="2"/>
      <c r="D134" s="1"/>
      <c r="E134" s="25"/>
      <c r="F134" s="25"/>
      <c r="G134" s="25"/>
      <c r="H134" s="25"/>
      <c r="I134" s="25"/>
      <c r="J134" s="25"/>
      <c r="K134" s="25"/>
      <c r="L134" s="25"/>
      <c r="M134" s="25"/>
      <c r="N134" s="25"/>
      <c r="O134" s="25"/>
      <c r="P134" s="25"/>
      <c r="Q134" s="25"/>
      <c r="R134" s="25"/>
      <c r="S134" s="25"/>
    </row>
    <row r="135" spans="1:19" ht="15" customHeight="1" x14ac:dyDescent="0.45">
      <c r="B135" s="2"/>
      <c r="D135" s="1"/>
      <c r="E135" s="25"/>
      <c r="F135" s="25"/>
      <c r="G135" s="25"/>
      <c r="H135" s="25"/>
      <c r="I135" s="25"/>
      <c r="J135" s="25"/>
      <c r="K135" s="25"/>
      <c r="L135" s="25"/>
      <c r="M135" s="25"/>
      <c r="N135" s="25"/>
      <c r="O135" s="25"/>
      <c r="P135" s="25"/>
      <c r="Q135" s="25"/>
      <c r="R135" s="25"/>
      <c r="S135" s="25"/>
    </row>
    <row r="136" spans="1:19" ht="15" customHeight="1" x14ac:dyDescent="0.45">
      <c r="B136" s="2"/>
      <c r="D136" s="1"/>
      <c r="E136" s="25"/>
      <c r="F136" s="25"/>
      <c r="G136" s="25"/>
      <c r="H136" s="25"/>
      <c r="I136" s="25"/>
      <c r="J136" s="25"/>
      <c r="K136" s="25"/>
      <c r="L136" s="25"/>
      <c r="M136" s="25"/>
      <c r="N136" s="25"/>
      <c r="O136" s="25"/>
      <c r="P136" s="25"/>
      <c r="Q136" s="25"/>
      <c r="R136" s="25"/>
      <c r="S136" s="25"/>
    </row>
    <row r="137" spans="1:19" ht="15" customHeight="1" x14ac:dyDescent="0.45">
      <c r="B137" s="2"/>
      <c r="D137" s="1"/>
      <c r="E137" s="25"/>
      <c r="F137" s="25"/>
      <c r="G137" s="25"/>
      <c r="H137" s="25"/>
      <c r="I137" s="25"/>
      <c r="J137" s="25"/>
      <c r="K137" s="25"/>
      <c r="L137" s="25"/>
      <c r="M137" s="25"/>
      <c r="N137" s="25"/>
      <c r="O137" s="25"/>
      <c r="P137" s="25"/>
      <c r="Q137" s="25"/>
      <c r="R137" s="25"/>
      <c r="S137" s="25"/>
    </row>
    <row r="138" spans="1:19" ht="15" customHeight="1" x14ac:dyDescent="0.45">
      <c r="B138" s="2"/>
      <c r="D138" s="1"/>
      <c r="E138" s="25"/>
      <c r="F138" s="25"/>
      <c r="G138" s="25"/>
      <c r="H138" s="25"/>
      <c r="I138" s="25"/>
      <c r="J138" s="25"/>
      <c r="K138" s="25"/>
      <c r="L138" s="25"/>
      <c r="M138" s="25"/>
      <c r="N138" s="25"/>
      <c r="O138" s="25"/>
      <c r="P138" s="25"/>
      <c r="Q138" s="25"/>
      <c r="R138" s="25"/>
      <c r="S138" s="25"/>
    </row>
    <row r="139" spans="1:19" ht="15" customHeight="1" x14ac:dyDescent="0.45">
      <c r="B139" s="2"/>
      <c r="D139" s="1"/>
      <c r="E139" s="25"/>
      <c r="F139" s="25"/>
      <c r="G139" s="25"/>
      <c r="H139" s="25"/>
      <c r="I139" s="25"/>
      <c r="J139" s="25"/>
      <c r="K139" s="25"/>
      <c r="L139" s="25"/>
      <c r="M139" s="25"/>
      <c r="N139" s="25"/>
      <c r="O139" s="25"/>
      <c r="P139" s="25"/>
      <c r="Q139" s="25"/>
      <c r="R139" s="25"/>
      <c r="S139" s="25"/>
    </row>
    <row r="140" spans="1:19" ht="15" customHeight="1" x14ac:dyDescent="0.45">
      <c r="B140" s="2"/>
      <c r="D140" s="1"/>
      <c r="E140" s="25"/>
      <c r="F140" s="25"/>
      <c r="G140" s="25"/>
      <c r="H140" s="25"/>
      <c r="I140" s="25"/>
      <c r="J140" s="25"/>
      <c r="K140" s="25"/>
      <c r="L140" s="25"/>
      <c r="M140" s="25"/>
      <c r="N140" s="25"/>
      <c r="O140" s="25"/>
      <c r="P140" s="25"/>
      <c r="Q140" s="25"/>
      <c r="R140" s="25"/>
      <c r="S140" s="25"/>
    </row>
    <row r="141" spans="1:19" ht="15" customHeight="1" x14ac:dyDescent="0.45">
      <c r="B141" s="2"/>
      <c r="D141" s="1"/>
      <c r="E141" s="25"/>
      <c r="F141" s="25"/>
      <c r="G141" s="25"/>
      <c r="H141" s="25"/>
      <c r="I141" s="25"/>
      <c r="J141" s="25"/>
      <c r="K141" s="25"/>
      <c r="L141" s="25"/>
      <c r="M141" s="25"/>
      <c r="N141" s="25"/>
      <c r="O141" s="25"/>
      <c r="P141" s="25"/>
      <c r="Q141" s="25"/>
      <c r="R141" s="25"/>
      <c r="S141" s="25"/>
    </row>
    <row r="142" spans="1:19" s="29" customFormat="1" ht="15" customHeight="1" x14ac:dyDescent="0.45">
      <c r="A142" s="1"/>
      <c r="B142" s="2"/>
      <c r="C142" s="1"/>
      <c r="D142" s="478" t="s">
        <v>519</v>
      </c>
      <c r="E142" s="477">
        <f t="shared" ref="E142:N142" si="16">SUM(E114:E141)</f>
        <v>8920</v>
      </c>
      <c r="F142" s="477">
        <f t="shared" si="16"/>
        <v>7838</v>
      </c>
      <c r="G142" s="477">
        <f t="shared" si="16"/>
        <v>7379</v>
      </c>
      <c r="H142" s="477">
        <f t="shared" si="16"/>
        <v>5547</v>
      </c>
      <c r="I142" s="477">
        <f t="shared" si="16"/>
        <v>7715</v>
      </c>
      <c r="J142" s="477">
        <f t="shared" si="16"/>
        <v>7418</v>
      </c>
      <c r="K142" s="477">
        <f t="shared" si="16"/>
        <v>10522</v>
      </c>
      <c r="L142" s="477">
        <f t="shared" si="16"/>
        <v>10526</v>
      </c>
      <c r="M142" s="477">
        <f t="shared" si="16"/>
        <v>10258</v>
      </c>
      <c r="N142" s="477">
        <f t="shared" si="16"/>
        <v>9081</v>
      </c>
      <c r="O142" s="477"/>
      <c r="P142" s="477"/>
      <c r="Q142" s="477"/>
      <c r="R142" s="477"/>
      <c r="S142" s="477"/>
    </row>
    <row r="143" spans="1:19" ht="15" customHeight="1" x14ac:dyDescent="0.45">
      <c r="B143" s="2"/>
      <c r="D143" s="479"/>
      <c r="E143" s="23"/>
      <c r="F143" s="23"/>
      <c r="G143" s="23"/>
      <c r="H143" s="23"/>
      <c r="I143" s="23"/>
      <c r="J143" s="23"/>
      <c r="K143" s="23"/>
      <c r="L143" s="23"/>
      <c r="M143" s="23"/>
      <c r="N143" s="23"/>
      <c r="O143" s="23"/>
      <c r="P143" s="23"/>
      <c r="Q143" s="23"/>
      <c r="R143" s="23"/>
      <c r="S143" s="23"/>
    </row>
    <row r="144" spans="1:19" s="481" customFormat="1" ht="15" customHeight="1" x14ac:dyDescent="0.45">
      <c r="A144" s="484"/>
      <c r="B144" s="6"/>
      <c r="C144" s="484"/>
      <c r="E144" s="482"/>
      <c r="F144" s="482"/>
      <c r="G144" s="483"/>
      <c r="H144" s="483"/>
      <c r="I144" s="483"/>
      <c r="J144" s="483"/>
      <c r="K144" s="483"/>
      <c r="L144" s="483"/>
      <c r="M144" s="483"/>
      <c r="N144" s="482"/>
      <c r="O144" s="482"/>
      <c r="P144" s="482"/>
      <c r="Q144" s="482"/>
      <c r="R144" s="482"/>
      <c r="S144" s="482"/>
    </row>
    <row r="145" spans="1:19" ht="15" customHeight="1" x14ac:dyDescent="0.45">
      <c r="B145" s="2"/>
      <c r="D145" s="480" t="s">
        <v>520</v>
      </c>
      <c r="E145" s="25"/>
      <c r="F145" s="25"/>
      <c r="G145" s="25"/>
      <c r="H145" s="25"/>
      <c r="I145" s="25"/>
      <c r="J145" s="25"/>
      <c r="K145" s="25"/>
      <c r="L145" s="25"/>
      <c r="M145" s="25"/>
      <c r="N145" s="25"/>
      <c r="O145" s="25"/>
      <c r="P145" s="25"/>
      <c r="Q145" s="25"/>
      <c r="R145" s="25"/>
      <c r="S145" s="25"/>
    </row>
    <row r="146" spans="1:19" ht="15" customHeight="1" x14ac:dyDescent="0.45">
      <c r="B146" s="2" t="s">
        <v>312</v>
      </c>
      <c r="D146" s="509" t="s">
        <v>571</v>
      </c>
      <c r="E146" s="25">
        <f>IFERROR(Sanofi!B150/$D$5,0)</f>
        <v>-1203</v>
      </c>
      <c r="F146" s="25">
        <f>IFERROR(Sanofi!C150/$D$5,0)</f>
        <v>-1219</v>
      </c>
      <c r="G146" s="25">
        <f>IFERROR(Sanofi!D150/$D$5,0)</f>
        <v>-1388</v>
      </c>
      <c r="H146" s="25">
        <f>IFERROR(Sanofi!E150/$D$5,0)</f>
        <v>-1415</v>
      </c>
      <c r="I146" s="25">
        <f>IFERROR(Sanofi!F150/$D$5,0)</f>
        <v>-1323</v>
      </c>
      <c r="J146" s="25">
        <f>IFERROR(Sanofi!G150/$D$5,0)</f>
        <v>-1254</v>
      </c>
      <c r="K146" s="25">
        <f>IFERROR(Sanofi!H150/$D$5,0)</f>
        <v>-1478</v>
      </c>
      <c r="L146" s="25">
        <f>IFERROR(Sanofi!I150/$D$5,0)</f>
        <v>-2103</v>
      </c>
      <c r="M146" s="25">
        <f>IFERROR(Sanofi!J150/$D$5,0)</f>
        <v>-2906</v>
      </c>
      <c r="N146" s="25">
        <f>IFERROR(Sanofi!K150/$D$5,0)</f>
        <v>-3195</v>
      </c>
      <c r="O146" s="25"/>
      <c r="P146" s="25"/>
      <c r="Q146" s="25"/>
      <c r="R146" s="25"/>
      <c r="S146" s="25"/>
    </row>
    <row r="147" spans="1:19" ht="15" customHeight="1" x14ac:dyDescent="0.45">
      <c r="B147" s="2" t="s">
        <v>312</v>
      </c>
      <c r="D147" s="509" t="s">
        <v>572</v>
      </c>
      <c r="E147" s="25">
        <f>IFERROR(Sanofi!B151/$D$5,0)</f>
        <v>211</v>
      </c>
      <c r="F147" s="25">
        <f>IFERROR(Sanofi!C151/$D$5,0)</f>
        <v>209</v>
      </c>
      <c r="G147" s="25">
        <f>IFERROR(Sanofi!D151/$D$5,0)</f>
        <v>535</v>
      </c>
      <c r="H147" s="25">
        <f>IFERROR(Sanofi!E151/$D$5,0)</f>
        <v>2163</v>
      </c>
      <c r="I147" s="25">
        <f>IFERROR(Sanofi!F151/$D$5,0)</f>
        <v>1224</v>
      </c>
      <c r="J147" s="25">
        <f>IFERROR(Sanofi!G151/$D$5,0)</f>
        <v>918</v>
      </c>
      <c r="K147" s="25">
        <f>IFERROR(Sanofi!H151/$D$5,0)</f>
        <v>676</v>
      </c>
      <c r="L147" s="25">
        <f>IFERROR(Sanofi!I151/$D$5,0)</f>
        <v>1340</v>
      </c>
      <c r="M147" s="25">
        <f>IFERROR(Sanofi!J151/$D$5,0)</f>
        <v>807</v>
      </c>
      <c r="N147" s="25">
        <f>IFERROR(Sanofi!K151/$D$5,0)</f>
        <v>1461</v>
      </c>
      <c r="O147" s="25"/>
      <c r="P147" s="25"/>
      <c r="Q147" s="25"/>
      <c r="R147" s="25"/>
      <c r="S147" s="25"/>
    </row>
    <row r="148" spans="1:19" ht="15" customHeight="1" x14ac:dyDescent="0.45">
      <c r="B148" s="2" t="s">
        <v>312</v>
      </c>
      <c r="D148" s="509" t="s">
        <v>573</v>
      </c>
      <c r="E148" s="25">
        <f>IFERROR(Sanofi!B152/$D$5,0)</f>
        <v>-103</v>
      </c>
      <c r="F148" s="25">
        <f>IFERROR(Sanofi!C152/$D$5,0)</f>
        <v>-311</v>
      </c>
      <c r="G148" s="25">
        <f>IFERROR(Sanofi!D152/$D$5,0)</f>
        <v>-1151</v>
      </c>
      <c r="H148" s="25">
        <f>IFERROR(Sanofi!E152/$D$5,0)</f>
        <v>-12857</v>
      </c>
      <c r="I148" s="25">
        <f>IFERROR(Sanofi!F152/$D$5,0)</f>
        <v>-488</v>
      </c>
      <c r="J148" s="25">
        <f>IFERROR(Sanofi!G152/$D$5,0)</f>
        <v>-5336</v>
      </c>
      <c r="K148" s="25">
        <f>IFERROR(Sanofi!H152/$D$5,0)</f>
        <v>-5594</v>
      </c>
      <c r="L148" s="25">
        <f>IFERROR(Sanofi!I152/$D$5,0)</f>
        <v>-987</v>
      </c>
      <c r="M148" s="25">
        <f>IFERROR(Sanofi!J152/$D$5,0)</f>
        <v>-2535</v>
      </c>
      <c r="N148" s="25">
        <f>IFERROR(Sanofi!K152/$D$5,0)</f>
        <v>-1901</v>
      </c>
      <c r="O148" s="25"/>
      <c r="P148" s="25"/>
      <c r="Q148" s="25"/>
      <c r="R148" s="25"/>
      <c r="S148" s="25"/>
    </row>
    <row r="149" spans="1:19" ht="15" customHeight="1" x14ac:dyDescent="0.45">
      <c r="B149" s="2" t="s">
        <v>312</v>
      </c>
      <c r="D149" s="509" t="s">
        <v>574</v>
      </c>
      <c r="E149" s="25">
        <f>IFERROR(Sanofi!B153/$D$5,0)</f>
        <v>-1569</v>
      </c>
      <c r="F149" s="25">
        <f>IFERROR(Sanofi!C153/$D$5,0)</f>
        <v>-864</v>
      </c>
      <c r="G149" s="25">
        <f>IFERROR(Sanofi!D153/$D$5,0)</f>
        <v>-568</v>
      </c>
      <c r="H149" s="25">
        <f>IFERROR(Sanofi!E153/$D$5,0)</f>
        <v>-562</v>
      </c>
      <c r="I149" s="25">
        <f>IFERROR(Sanofi!F153/$D$5,0)</f>
        <v>-464</v>
      </c>
      <c r="J149" s="25">
        <f>IFERROR(Sanofi!G153/$D$5,0)</f>
        <v>-829</v>
      </c>
      <c r="K149" s="25">
        <f>IFERROR(Sanofi!H153/$D$5,0)</f>
        <v>-565</v>
      </c>
      <c r="L149" s="25">
        <f>IFERROR(Sanofi!I153/$D$5,0)</f>
        <v>0</v>
      </c>
      <c r="M149" s="25">
        <f>IFERROR(Sanofi!J153/$D$5,0)</f>
        <v>0</v>
      </c>
      <c r="N149" s="25">
        <f>IFERROR(Sanofi!K153/$D$5,0)</f>
        <v>0</v>
      </c>
      <c r="O149" s="25"/>
      <c r="P149" s="25"/>
      <c r="Q149" s="25"/>
      <c r="R149" s="25"/>
      <c r="S149" s="25"/>
    </row>
    <row r="150" spans="1:19" ht="15" customHeight="1" x14ac:dyDescent="0.45">
      <c r="B150" s="2" t="s">
        <v>312</v>
      </c>
      <c r="D150" s="509" t="s">
        <v>575</v>
      </c>
      <c r="E150" s="25">
        <f>IFERROR(Sanofi!B154/$D$5,0)</f>
        <v>-259</v>
      </c>
      <c r="F150" s="25">
        <f>IFERROR(Sanofi!C154/$D$5,0)</f>
        <v>-223</v>
      </c>
      <c r="G150" s="25">
        <f>IFERROR(Sanofi!D154/$D$5,0)</f>
        <v>-61</v>
      </c>
      <c r="H150" s="25">
        <f>IFERROR(Sanofi!E154/$D$5,0)</f>
        <v>-137</v>
      </c>
      <c r="I150" s="25">
        <f>IFERROR(Sanofi!F154/$D$5,0)</f>
        <v>-38</v>
      </c>
      <c r="J150" s="25">
        <f>IFERROR(Sanofi!G154/$D$5,0)</f>
        <v>10233</v>
      </c>
      <c r="K150" s="25">
        <f>IFERROR(Sanofi!H154/$D$5,0)</f>
        <v>-269</v>
      </c>
      <c r="L150" s="25">
        <f>IFERROR(Sanofi!I154/$D$5,0)</f>
        <v>-353</v>
      </c>
      <c r="M150" s="25">
        <f>IFERROR(Sanofi!J154/$D$5,0)</f>
        <v>-92</v>
      </c>
      <c r="N150" s="25">
        <f>IFERROR(Sanofi!K154/$D$5,0)</f>
        <v>-623</v>
      </c>
      <c r="O150" s="25"/>
      <c r="P150" s="25"/>
      <c r="Q150" s="25"/>
      <c r="R150" s="25"/>
      <c r="S150" s="25"/>
    </row>
    <row r="151" spans="1:19" ht="15" customHeight="1" x14ac:dyDescent="0.45">
      <c r="B151" s="2" t="s">
        <v>312</v>
      </c>
      <c r="D151" s="509" t="s">
        <v>654</v>
      </c>
      <c r="E151" s="25">
        <f>IFERROR(Sanofi!B155/$D$5,0)</f>
        <v>-88</v>
      </c>
      <c r="F151" s="25">
        <f>IFERROR(Sanofi!C155/$D$5,0)</f>
        <v>0</v>
      </c>
      <c r="G151" s="25">
        <f>IFERROR(Sanofi!D155/$D$5,0)</f>
        <v>0</v>
      </c>
      <c r="H151" s="25">
        <f>IFERROR(Sanofi!E155/$D$5,0)</f>
        <v>0</v>
      </c>
      <c r="I151" s="25">
        <f>IFERROR(Sanofi!F155/$D$5,0)</f>
        <v>0</v>
      </c>
      <c r="J151" s="25">
        <f>IFERROR(Sanofi!G155/$D$5,0)</f>
        <v>0</v>
      </c>
      <c r="K151" s="25">
        <f>IFERROR(Sanofi!H155/$D$5,0)</f>
        <v>0</v>
      </c>
      <c r="L151" s="25">
        <f>IFERROR(Sanofi!I155/$D$5,0)</f>
        <v>0</v>
      </c>
      <c r="M151" s="25">
        <f>IFERROR(Sanofi!J155/$D$5,0)</f>
        <v>0</v>
      </c>
      <c r="N151" s="25">
        <f>IFERROR(Sanofi!K155/$D$5,0)</f>
        <v>0</v>
      </c>
      <c r="O151" s="25"/>
      <c r="P151" s="25"/>
      <c r="Q151" s="25"/>
      <c r="R151" s="25"/>
      <c r="S151" s="25"/>
    </row>
    <row r="152" spans="1:19" ht="15" customHeight="1" x14ac:dyDescent="0.45">
      <c r="B152" s="2" t="s">
        <v>312</v>
      </c>
      <c r="D152" s="509" t="s">
        <v>576</v>
      </c>
      <c r="E152" s="25">
        <f>IFERROR(Sanofi!B156/$D$5,0)</f>
        <v>-246</v>
      </c>
      <c r="F152" s="25">
        <f>IFERROR(Sanofi!C156/$D$5,0)</f>
        <v>-103</v>
      </c>
      <c r="G152" s="25">
        <f>IFERROR(Sanofi!D156/$D$5,0)</f>
        <v>-263</v>
      </c>
      <c r="H152" s="25">
        <f>IFERROR(Sanofi!E156/$D$5,0)</f>
        <v>-58</v>
      </c>
      <c r="I152" s="25">
        <f>IFERROR(Sanofi!F156/$D$5,0)</f>
        <v>-94</v>
      </c>
      <c r="J152" s="25">
        <f>IFERROR(Sanofi!G156/$D$5,0)</f>
        <v>-113</v>
      </c>
      <c r="K152" s="25">
        <f>IFERROR(Sanofi!H156/$D$5,0)</f>
        <v>-68</v>
      </c>
      <c r="L152" s="25">
        <f>IFERROR(Sanofi!I156/$D$5,0)</f>
        <v>28</v>
      </c>
      <c r="M152" s="25">
        <f>IFERROR(Sanofi!J156/$D$5,0)</f>
        <v>-1474</v>
      </c>
      <c r="N152" s="25">
        <f>IFERROR(Sanofi!K156/$D$5,0)</f>
        <v>-149</v>
      </c>
      <c r="O152" s="25"/>
      <c r="P152" s="25"/>
      <c r="Q152" s="25"/>
      <c r="R152" s="25"/>
      <c r="S152" s="25"/>
    </row>
    <row r="153" spans="1:19" ht="15" customHeight="1" x14ac:dyDescent="0.45">
      <c r="B153" s="2"/>
      <c r="D153" s="1"/>
      <c r="E153" s="25"/>
      <c r="F153" s="25"/>
      <c r="G153" s="25"/>
      <c r="H153" s="25"/>
      <c r="I153" s="25"/>
      <c r="J153" s="25"/>
      <c r="K153" s="25"/>
      <c r="L153" s="25"/>
      <c r="M153" s="25"/>
      <c r="N153" s="25"/>
      <c r="O153" s="25"/>
      <c r="P153" s="25"/>
      <c r="Q153" s="25"/>
      <c r="R153" s="25"/>
      <c r="S153" s="25"/>
    </row>
    <row r="154" spans="1:19" s="29" customFormat="1" ht="15" customHeight="1" x14ac:dyDescent="0.45">
      <c r="A154" s="1"/>
      <c r="B154" s="2"/>
      <c r="C154" s="1"/>
      <c r="D154" s="478" t="s">
        <v>529</v>
      </c>
      <c r="E154" s="477">
        <f t="shared" ref="E154:N154" si="17">SUM(E146:E153)</f>
        <v>-3257</v>
      </c>
      <c r="F154" s="477">
        <f t="shared" si="17"/>
        <v>-2511</v>
      </c>
      <c r="G154" s="477">
        <f t="shared" si="17"/>
        <v>-2896</v>
      </c>
      <c r="H154" s="477">
        <f t="shared" si="17"/>
        <v>-12866</v>
      </c>
      <c r="I154" s="477">
        <f t="shared" si="17"/>
        <v>-1183</v>
      </c>
      <c r="J154" s="477">
        <f t="shared" si="17"/>
        <v>3619</v>
      </c>
      <c r="K154" s="477">
        <f t="shared" si="17"/>
        <v>-7298</v>
      </c>
      <c r="L154" s="477">
        <f t="shared" si="17"/>
        <v>-2075</v>
      </c>
      <c r="M154" s="477">
        <f t="shared" si="17"/>
        <v>-6200</v>
      </c>
      <c r="N154" s="477">
        <f t="shared" si="17"/>
        <v>-4407</v>
      </c>
      <c r="O154" s="477"/>
      <c r="P154" s="477"/>
      <c r="Q154" s="477"/>
      <c r="R154" s="477"/>
      <c r="S154" s="477"/>
    </row>
    <row r="155" spans="1:19" ht="15" customHeight="1" x14ac:dyDescent="0.45">
      <c r="B155" s="2"/>
      <c r="D155" s="31"/>
      <c r="E155" s="25"/>
      <c r="F155" s="25"/>
      <c r="G155" s="25"/>
      <c r="H155" s="25"/>
      <c r="I155" s="25"/>
      <c r="J155" s="25"/>
      <c r="K155" s="25"/>
      <c r="L155" s="25"/>
      <c r="M155" s="25"/>
      <c r="N155" s="25"/>
      <c r="O155" s="25"/>
      <c r="P155" s="25"/>
      <c r="Q155" s="25"/>
      <c r="R155" s="25"/>
      <c r="S155" s="25"/>
    </row>
    <row r="156" spans="1:19" ht="15" customHeight="1" x14ac:dyDescent="0.45">
      <c r="B156" s="2" t="s">
        <v>315</v>
      </c>
      <c r="D156" s="509" t="s">
        <v>577</v>
      </c>
      <c r="E156" s="25">
        <f>IFERROR(Sanofi!B159/$D$5,0)</f>
        <v>0</v>
      </c>
      <c r="F156" s="25">
        <f>IFERROR(Sanofi!C159/$D$5,0)</f>
        <v>96</v>
      </c>
      <c r="G156" s="25">
        <f>IFERROR(Sanofi!D159/$D$5,0)</f>
        <v>30</v>
      </c>
      <c r="H156" s="25">
        <f>IFERROR(Sanofi!E159/$D$5,0)</f>
        <v>0</v>
      </c>
      <c r="I156" s="25">
        <f>IFERROR(Sanofi!F159/$D$5,0)</f>
        <v>0</v>
      </c>
      <c r="J156" s="25">
        <f>IFERROR(Sanofi!G159/$D$5,0)</f>
        <v>282</v>
      </c>
      <c r="K156" s="25">
        <f>IFERROR(Sanofi!H159/$D$5,0)</f>
        <v>0</v>
      </c>
      <c r="L156" s="25">
        <f>IFERROR(Sanofi!I159/$D$5,0)</f>
        <v>216</v>
      </c>
      <c r="M156" s="25">
        <f>IFERROR(Sanofi!J159/$D$5,0)</f>
        <v>751</v>
      </c>
      <c r="N156" s="25">
        <f>IFERROR(Sanofi!K159/$D$5,0)</f>
        <v>59</v>
      </c>
      <c r="O156" s="25"/>
      <c r="P156" s="25"/>
      <c r="Q156" s="25"/>
      <c r="R156" s="25"/>
      <c r="S156" s="25"/>
    </row>
    <row r="157" spans="1:19" ht="15" customHeight="1" x14ac:dyDescent="0.45">
      <c r="B157" s="2" t="s">
        <v>315</v>
      </c>
      <c r="D157" s="509" t="s">
        <v>578</v>
      </c>
      <c r="E157" s="25">
        <f>IFERROR(Sanofi!B160/$D$5,0)</f>
        <v>2253</v>
      </c>
      <c r="F157" s="25">
        <f>IFERROR(Sanofi!C160/$D$5,0)</f>
        <v>4773</v>
      </c>
      <c r="G157" s="25">
        <f>IFERROR(Sanofi!D160/$D$5,0)</f>
        <v>41</v>
      </c>
      <c r="H157" s="25">
        <f>IFERROR(Sanofi!E160/$D$5,0)</f>
        <v>9677</v>
      </c>
      <c r="I157" s="25">
        <f>IFERROR(Sanofi!F160/$D$5,0)</f>
        <v>1997</v>
      </c>
      <c r="J157" s="25">
        <f>IFERROR(Sanofi!G160/$D$5,0)</f>
        <v>2019</v>
      </c>
      <c r="K157" s="25">
        <f>IFERROR(Sanofi!H160/$D$5,0)</f>
        <v>0</v>
      </c>
      <c r="L157" s="25">
        <f>IFERROR(Sanofi!I160/$D$5,0)</f>
        <v>1549</v>
      </c>
      <c r="M157" s="25">
        <f>IFERROR(Sanofi!J160/$D$5,0)</f>
        <v>48</v>
      </c>
      <c r="N157" s="25">
        <f>IFERROR(Sanofi!K160/$D$5,0)</f>
        <v>0</v>
      </c>
      <c r="O157" s="25"/>
      <c r="P157" s="25"/>
      <c r="Q157" s="25"/>
      <c r="R157" s="25"/>
      <c r="S157" s="25"/>
    </row>
    <row r="158" spans="1:19" ht="15" customHeight="1" x14ac:dyDescent="0.45">
      <c r="B158" s="2" t="s">
        <v>315</v>
      </c>
      <c r="D158" s="509" t="s">
        <v>579</v>
      </c>
      <c r="E158" s="25">
        <f>IFERROR(Sanofi!B162/$D$5,0)</f>
        <v>-199</v>
      </c>
      <c r="F158" s="25">
        <f>IFERROR(Sanofi!C162/$D$5,0)</f>
        <v>0</v>
      </c>
      <c r="G158" s="25">
        <f>IFERROR(Sanofi!D162/$D$5,0)</f>
        <v>0</v>
      </c>
      <c r="H158" s="25">
        <f>IFERROR(Sanofi!E162/$D$5,0)</f>
        <v>-168</v>
      </c>
      <c r="I158" s="25">
        <f>IFERROR(Sanofi!F162/$D$5,0)</f>
        <v>-154</v>
      </c>
      <c r="J158" s="25">
        <f>IFERROR(Sanofi!G162/$D$5,0)</f>
        <v>0</v>
      </c>
      <c r="K158" s="25">
        <f>IFERROR(Sanofi!H162/$D$5,0)</f>
        <v>-414</v>
      </c>
      <c r="L158" s="25">
        <f>IFERROR(Sanofi!I162/$D$5,0)</f>
        <v>0</v>
      </c>
      <c r="M158" s="25">
        <f>IFERROR(Sanofi!J162/$D$5,0)</f>
        <v>0</v>
      </c>
      <c r="N158" s="25">
        <f>IFERROR(Sanofi!K162/$D$5,0)</f>
        <v>0</v>
      </c>
      <c r="O158" s="25"/>
      <c r="P158" s="25"/>
      <c r="Q158" s="25"/>
      <c r="R158" s="25"/>
      <c r="S158" s="25"/>
    </row>
    <row r="159" spans="1:19" ht="15" customHeight="1" x14ac:dyDescent="0.45">
      <c r="B159" s="2" t="s">
        <v>315</v>
      </c>
      <c r="D159" s="509" t="s">
        <v>580</v>
      </c>
      <c r="E159" s="25">
        <f>IFERROR(Sanofi!B163/$D$5,0)</f>
        <v>-708</v>
      </c>
      <c r="F159" s="25">
        <f>IFERROR(Sanofi!C163/$D$5,0)</f>
        <v>-2576</v>
      </c>
      <c r="G159" s="25">
        <f>IFERROR(Sanofi!D163/$D$5,0)</f>
        <v>-2368</v>
      </c>
      <c r="H159" s="25">
        <f>IFERROR(Sanofi!E163/$D$5,0)</f>
        <v>-787</v>
      </c>
      <c r="I159" s="25">
        <f>IFERROR(Sanofi!F163/$D$5,0)</f>
        <v>-2334</v>
      </c>
      <c r="J159" s="25">
        <f>IFERROR(Sanofi!G163/$D$5,0)</f>
        <v>-4186</v>
      </c>
      <c r="K159" s="25">
        <f>IFERROR(Sanofi!H163/$D$5,0)</f>
        <v>-2390</v>
      </c>
      <c r="L159" s="25">
        <f>IFERROR(Sanofi!I163/$D$5,0)</f>
        <v>-2998</v>
      </c>
      <c r="M159" s="25">
        <f>IFERROR(Sanofi!J163/$D$5,0)</f>
        <v>-3936</v>
      </c>
      <c r="N159" s="25">
        <f>IFERROR(Sanofi!K163/$D$5,0)</f>
        <v>-953</v>
      </c>
      <c r="O159" s="25"/>
      <c r="P159" s="25"/>
      <c r="Q159" s="25"/>
      <c r="R159" s="25"/>
      <c r="S159" s="25"/>
    </row>
    <row r="160" spans="1:19" ht="15" customHeight="1" x14ac:dyDescent="0.45">
      <c r="B160" s="2" t="s">
        <v>418</v>
      </c>
      <c r="D160" s="509" t="s">
        <v>581</v>
      </c>
      <c r="E160" s="25">
        <f>IFERROR(Sanofi!B165/$D$5,0)</f>
        <v>574</v>
      </c>
      <c r="F160" s="25">
        <f>IFERROR(Sanofi!C165/$D$5,0)</f>
        <v>305</v>
      </c>
      <c r="G160" s="25">
        <f>IFERROR(Sanofi!D165/$D$5,0)</f>
        <v>319</v>
      </c>
      <c r="H160" s="25">
        <f>IFERROR(Sanofi!E165/$D$5,0)</f>
        <v>177</v>
      </c>
      <c r="I160" s="25">
        <f>IFERROR(Sanofi!F165/$D$5,0)</f>
        <v>162</v>
      </c>
      <c r="J160" s="25">
        <f>IFERROR(Sanofi!G165/$D$5,0)</f>
        <v>203</v>
      </c>
      <c r="K160" s="25">
        <f>IFERROR(Sanofi!H165/$D$5,0)</f>
        <v>186</v>
      </c>
      <c r="L160" s="25">
        <f>IFERROR(Sanofi!I165/$D$5,0)</f>
        <v>188</v>
      </c>
      <c r="M160" s="25">
        <f>IFERROR(Sanofi!J165/$D$5,0)</f>
        <v>195</v>
      </c>
      <c r="N160" s="25">
        <f>IFERROR(Sanofi!K165/$D$5,0)</f>
        <v>187</v>
      </c>
      <c r="O160" s="25"/>
      <c r="P160" s="25"/>
      <c r="Q160" s="25"/>
      <c r="R160" s="25"/>
      <c r="S160" s="25"/>
    </row>
    <row r="161" spans="1:19" ht="15" customHeight="1" x14ac:dyDescent="0.45">
      <c r="B161" s="2" t="s">
        <v>418</v>
      </c>
      <c r="D161" s="509" t="s">
        <v>582</v>
      </c>
      <c r="E161" s="25">
        <f>IFERROR(Sanofi!B166/$D$5,0)</f>
        <v>-1784</v>
      </c>
      <c r="F161" s="25">
        <f>IFERROR(Sanofi!C166/$D$5,0)</f>
        <v>-2908</v>
      </c>
      <c r="G161" s="25">
        <f>IFERROR(Sanofi!D166/$D$5,0)</f>
        <v>-2162</v>
      </c>
      <c r="H161" s="25">
        <f>IFERROR(Sanofi!E166/$D$5,0)</f>
        <v>-1101</v>
      </c>
      <c r="I161" s="25">
        <f>IFERROR(Sanofi!F166/$D$5,0)</f>
        <v>-9</v>
      </c>
      <c r="J161" s="25">
        <f>IFERROR(Sanofi!G166/$D$5,0)</f>
        <v>-822</v>
      </c>
      <c r="K161" s="25">
        <f>IFERROR(Sanofi!H166/$D$5,0)</f>
        <v>-382</v>
      </c>
      <c r="L161" s="25">
        <f>IFERROR(Sanofi!I166/$D$5,0)</f>
        <v>-497</v>
      </c>
      <c r="M161" s="25">
        <f>IFERROR(Sanofi!J166/$D$5,0)</f>
        <v>-593</v>
      </c>
      <c r="N161" s="25">
        <f>IFERROR(Sanofi!K166/$D$5,0)</f>
        <v>-302</v>
      </c>
      <c r="O161" s="25"/>
      <c r="P161" s="25"/>
      <c r="Q161" s="25"/>
      <c r="R161" s="25"/>
      <c r="S161" s="25"/>
    </row>
    <row r="162" spans="1:19" ht="15" customHeight="1" x14ac:dyDescent="0.45">
      <c r="B162" s="2" t="s">
        <v>317</v>
      </c>
      <c r="D162" s="509" t="s">
        <v>583</v>
      </c>
      <c r="E162" s="25">
        <f>IFERROR(Sanofi!B167/$D$5,0)</f>
        <v>-3694</v>
      </c>
      <c r="F162" s="25">
        <f>IFERROR(Sanofi!C167/$D$5,0)</f>
        <v>-3759</v>
      </c>
      <c r="G162" s="25">
        <f>IFERROR(Sanofi!D167/$D$5,0)</f>
        <v>-3710</v>
      </c>
      <c r="H162" s="25">
        <f>IFERROR(Sanofi!E167/$D$5,0)</f>
        <v>-3773</v>
      </c>
      <c r="I162" s="25">
        <f>IFERROR(Sanofi!F167/$D$5,0)</f>
        <v>-3834</v>
      </c>
      <c r="J162" s="25">
        <f>IFERROR(Sanofi!G167/$D$5,0)</f>
        <v>-3937</v>
      </c>
      <c r="K162" s="25">
        <f>IFERROR(Sanofi!H167/$D$5,0)</f>
        <v>-4008</v>
      </c>
      <c r="L162" s="25">
        <f>IFERROR(Sanofi!I167/$D$5,0)</f>
        <v>-4168</v>
      </c>
      <c r="M162" s="25">
        <f>IFERROR(Sanofi!J167/$D$5,0)</f>
        <v>-4454</v>
      </c>
      <c r="N162" s="25">
        <f>IFERROR(Sanofi!K167/$D$5,0)</f>
        <v>-4704</v>
      </c>
      <c r="O162" s="25"/>
      <c r="P162" s="25"/>
      <c r="Q162" s="25"/>
      <c r="R162" s="25"/>
      <c r="S162" s="25"/>
    </row>
    <row r="163" spans="1:19" ht="15" customHeight="1" x14ac:dyDescent="0.45">
      <c r="B163" s="2" t="s">
        <v>315</v>
      </c>
      <c r="D163" s="509" t="s">
        <v>584</v>
      </c>
      <c r="E163" s="25">
        <f>IFERROR(Sanofi!B169/$D$5,0)</f>
        <v>-43</v>
      </c>
      <c r="F163" s="25">
        <f>IFERROR(Sanofi!C169/$D$5,0)</f>
        <v>-32</v>
      </c>
      <c r="G163" s="25">
        <f>IFERROR(Sanofi!D169/$D$5,0)</f>
        <v>3483</v>
      </c>
      <c r="H163" s="25">
        <f>IFERROR(Sanofi!E169/$D$5,0)</f>
        <v>-97</v>
      </c>
      <c r="I163" s="25">
        <f>IFERROR(Sanofi!F169/$D$5,0)</f>
        <v>133</v>
      </c>
      <c r="J163" s="25">
        <f>IFERROR(Sanofi!G169/$D$5,0)</f>
        <v>-44</v>
      </c>
      <c r="K163" s="25">
        <f>IFERROR(Sanofi!H169/$D$5,0)</f>
        <v>-48</v>
      </c>
      <c r="L163" s="25">
        <f>IFERROR(Sanofi!I169/$D$5,0)</f>
        <v>-111</v>
      </c>
      <c r="M163" s="25">
        <f>IFERROR(Sanofi!J169/$D$5,0)</f>
        <v>-63</v>
      </c>
      <c r="N163" s="25">
        <f>IFERROR(Sanofi!K169/$D$5,0)</f>
        <v>-50</v>
      </c>
      <c r="O163" s="25"/>
      <c r="P163" s="25"/>
      <c r="Q163" s="25"/>
      <c r="R163" s="25"/>
      <c r="S163" s="25"/>
    </row>
    <row r="164" spans="1:19" s="29" customFormat="1" ht="15" customHeight="1" x14ac:dyDescent="0.45">
      <c r="A164" s="1"/>
      <c r="B164" s="2"/>
      <c r="C164" s="1"/>
      <c r="D164" s="478" t="s">
        <v>538</v>
      </c>
      <c r="E164" s="477">
        <f t="shared" ref="E164:N164" si="18">SUM(E156:E163)</f>
        <v>-3601</v>
      </c>
      <c r="F164" s="477">
        <f t="shared" si="18"/>
        <v>-4101</v>
      </c>
      <c r="G164" s="477">
        <f t="shared" si="18"/>
        <v>-4367</v>
      </c>
      <c r="H164" s="477">
        <f t="shared" si="18"/>
        <v>3928</v>
      </c>
      <c r="I164" s="477">
        <f t="shared" si="18"/>
        <v>-4039</v>
      </c>
      <c r="J164" s="477">
        <f t="shared" si="18"/>
        <v>-6485</v>
      </c>
      <c r="K164" s="477">
        <f t="shared" si="18"/>
        <v>-7056</v>
      </c>
      <c r="L164" s="477">
        <f t="shared" si="18"/>
        <v>-5821</v>
      </c>
      <c r="M164" s="477">
        <f t="shared" si="18"/>
        <v>-8052</v>
      </c>
      <c r="N164" s="477">
        <f t="shared" si="18"/>
        <v>-5763</v>
      </c>
      <c r="O164" s="477"/>
      <c r="P164" s="477"/>
      <c r="Q164" s="477"/>
      <c r="R164" s="477"/>
      <c r="S164" s="477"/>
    </row>
    <row r="165" spans="1:19" ht="15" customHeight="1" x14ac:dyDescent="0.45">
      <c r="B165" s="2"/>
      <c r="D165" s="31"/>
      <c r="E165" s="25"/>
      <c r="F165" s="25"/>
      <c r="G165" s="25"/>
      <c r="H165" s="25"/>
      <c r="I165" s="25"/>
      <c r="J165" s="25"/>
      <c r="K165" s="25"/>
      <c r="L165" s="25"/>
      <c r="M165" s="25"/>
      <c r="N165" s="25"/>
      <c r="O165" s="25"/>
      <c r="P165" s="25"/>
      <c r="Q165" s="25"/>
      <c r="R165" s="25"/>
      <c r="S165" s="25"/>
    </row>
    <row r="166" spans="1:19" ht="15" customHeight="1" x14ac:dyDescent="0.45">
      <c r="B166" s="2"/>
      <c r="D166" s="31"/>
      <c r="E166" s="25"/>
      <c r="F166" s="25"/>
      <c r="G166" s="25"/>
      <c r="H166" s="25"/>
      <c r="I166" s="25"/>
      <c r="J166" s="25"/>
      <c r="K166" s="25"/>
      <c r="L166" s="25"/>
      <c r="M166" s="25"/>
      <c r="N166" s="25"/>
      <c r="O166" s="25"/>
      <c r="P166" s="25"/>
      <c r="Q166" s="25"/>
      <c r="R166" s="25"/>
      <c r="S166" s="25"/>
    </row>
    <row r="167" spans="1:19" s="26" customFormat="1" ht="15" customHeight="1" x14ac:dyDescent="0.45">
      <c r="A167" s="4"/>
      <c r="B167" s="5"/>
      <c r="C167" s="4"/>
      <c r="D167" s="479" t="s">
        <v>539</v>
      </c>
      <c r="E167" s="23"/>
      <c r="F167" s="23"/>
      <c r="G167" s="23"/>
      <c r="H167" s="23"/>
      <c r="I167" s="23"/>
      <c r="J167" s="23"/>
      <c r="K167" s="23"/>
      <c r="L167" s="23"/>
      <c r="M167" s="23"/>
      <c r="N167" s="23"/>
      <c r="O167" s="23"/>
      <c r="P167" s="23"/>
      <c r="Q167" s="23"/>
      <c r="R167" s="23"/>
      <c r="S167" s="23"/>
    </row>
    <row r="168" spans="1:19" ht="15" customHeight="1" x14ac:dyDescent="0.45">
      <c r="B168" s="2"/>
      <c r="D168" s="31" t="s">
        <v>540</v>
      </c>
      <c r="E168" s="25">
        <f t="shared" ref="E168:N168" si="19">SUM(E142,E154,E164)</f>
        <v>2062</v>
      </c>
      <c r="F168" s="25">
        <f t="shared" si="19"/>
        <v>1226</v>
      </c>
      <c r="G168" s="25">
        <f t="shared" si="19"/>
        <v>116</v>
      </c>
      <c r="H168" s="25">
        <f t="shared" si="19"/>
        <v>-3391</v>
      </c>
      <c r="I168" s="25">
        <f t="shared" si="19"/>
        <v>2493</v>
      </c>
      <c r="J168" s="25">
        <f t="shared" si="19"/>
        <v>4552</v>
      </c>
      <c r="K168" s="25">
        <f t="shared" si="19"/>
        <v>-3832</v>
      </c>
      <c r="L168" s="25">
        <f t="shared" si="19"/>
        <v>2630</v>
      </c>
      <c r="M168" s="25">
        <f t="shared" si="19"/>
        <v>-3994</v>
      </c>
      <c r="N168" s="25">
        <f t="shared" si="19"/>
        <v>-1089</v>
      </c>
      <c r="O168" s="25"/>
      <c r="P168" s="25"/>
      <c r="Q168" s="25"/>
      <c r="R168" s="25"/>
      <c r="S168" s="25"/>
    </row>
    <row r="169" spans="1:19" ht="15" customHeight="1" x14ac:dyDescent="0.45">
      <c r="B169" s="31" t="s">
        <v>541</v>
      </c>
      <c r="D169" s="31" t="s">
        <v>541</v>
      </c>
      <c r="E169" s="25">
        <f>IFERROR(Sanofi!B172/$D$5,0)</f>
        <v>-232</v>
      </c>
      <c r="F169" s="25">
        <f>IFERROR(Sanofi!C172/$D$5,0)</f>
        <v>-101</v>
      </c>
      <c r="G169" s="25">
        <f>IFERROR(Sanofi!D172/$D$5,0)</f>
        <v>-74</v>
      </c>
      <c r="H169" s="25">
        <f>IFERROR(Sanofi!E172/$D$5,0)</f>
        <v>1</v>
      </c>
      <c r="I169" s="25">
        <f>IFERROR(Sanofi!F172/$D$5,0)</f>
        <v>9</v>
      </c>
      <c r="J169" s="25">
        <f>IFERROR(Sanofi!G172/$D$5,0)</f>
        <v>-64</v>
      </c>
      <c r="K169" s="25">
        <f>IFERROR(Sanofi!H172/$D$5,0)</f>
        <v>15</v>
      </c>
      <c r="L169" s="25">
        <f>IFERROR(Sanofi!I172/$D$5,0)</f>
        <v>8</v>
      </c>
      <c r="M169" s="25">
        <f>IFERROR(Sanofi!J172/$D$5,0)</f>
        <v>-32</v>
      </c>
      <c r="N169" s="25">
        <f>IFERROR(Sanofi!K172/$D$5,0)</f>
        <v>-13</v>
      </c>
      <c r="O169" s="25"/>
      <c r="P169" s="25"/>
      <c r="Q169" s="25"/>
      <c r="R169" s="25"/>
      <c r="S169" s="25"/>
    </row>
    <row r="170" spans="1:19" ht="15" customHeight="1" x14ac:dyDescent="0.45">
      <c r="B170" s="31" t="s">
        <v>542</v>
      </c>
      <c r="D170" s="31" t="s">
        <v>542</v>
      </c>
      <c r="E170" s="25">
        <f>IFERROR(Sanofi!B173/$D$5,0)</f>
        <v>-23</v>
      </c>
      <c r="F170" s="25">
        <f>IFERROR(Sanofi!C173/$D$5,0)</f>
        <v>0</v>
      </c>
      <c r="G170" s="25">
        <f>IFERROR(Sanofi!D173/$D$5,0)</f>
        <v>0</v>
      </c>
      <c r="H170" s="25">
        <f>IFERROR(Sanofi!E173/$D$5,0)</f>
        <v>0</v>
      </c>
      <c r="I170" s="25">
        <f>IFERROR(Sanofi!F173/$D$5,0)</f>
        <v>0</v>
      </c>
      <c r="J170" s="25">
        <f>IFERROR(Sanofi!G173/$D$5,0)</f>
        <v>0</v>
      </c>
      <c r="K170" s="25">
        <f>IFERROR(Sanofi!H173/$D$5,0)</f>
        <v>0</v>
      </c>
      <c r="L170" s="25">
        <f>IFERROR(Sanofi!I173/$D$5,0)</f>
        <v>0</v>
      </c>
      <c r="M170" s="25">
        <f>IFERROR(Sanofi!J173/$D$5,0)</f>
        <v>0</v>
      </c>
      <c r="N170" s="25">
        <f>IFERROR(Sanofi!K173/$D$5,0)</f>
        <v>-167</v>
      </c>
      <c r="O170" s="25"/>
      <c r="P170" s="25"/>
      <c r="Q170" s="25"/>
      <c r="R170" s="25"/>
      <c r="S170" s="25"/>
    </row>
    <row r="171" spans="1:19" s="29" customFormat="1" ht="15" customHeight="1" x14ac:dyDescent="0.45">
      <c r="A171" s="1"/>
      <c r="B171" s="2"/>
      <c r="C171" s="1"/>
      <c r="D171" s="478" t="s">
        <v>543</v>
      </c>
      <c r="E171" s="477"/>
      <c r="F171" s="477"/>
      <c r="G171" s="477"/>
      <c r="H171" s="477"/>
      <c r="I171" s="477"/>
      <c r="J171" s="477"/>
      <c r="K171" s="477"/>
      <c r="L171" s="477"/>
      <c r="M171" s="477"/>
      <c r="N171" s="477"/>
      <c r="O171" s="477"/>
      <c r="P171" s="477"/>
      <c r="Q171" s="477"/>
      <c r="R171" s="477"/>
      <c r="S171" s="477"/>
    </row>
    <row r="172" spans="1:19" s="472" customFormat="1" ht="15" customHeight="1" x14ac:dyDescent="0.45">
      <c r="A172" s="475"/>
      <c r="B172" s="476"/>
      <c r="C172" s="475"/>
      <c r="D172" s="474" t="s">
        <v>301</v>
      </c>
      <c r="E172" s="473"/>
      <c r="F172" s="473"/>
      <c r="G172" s="473"/>
      <c r="H172" s="473"/>
      <c r="I172" s="473"/>
      <c r="J172" s="473"/>
      <c r="K172" s="473"/>
      <c r="L172" s="473"/>
      <c r="M172" s="473"/>
      <c r="N172" s="473"/>
      <c r="O172" s="473"/>
      <c r="P172" s="473"/>
      <c r="Q172" s="473"/>
      <c r="R172" s="473"/>
      <c r="S172" s="473"/>
    </row>
    <row r="173" spans="1:19" ht="15" customHeight="1" x14ac:dyDescent="0.45">
      <c r="B173" s="2"/>
      <c r="D173" s="31"/>
      <c r="E173" s="25"/>
      <c r="F173" s="25"/>
      <c r="G173" s="25"/>
      <c r="H173" s="25"/>
      <c r="I173" s="25"/>
      <c r="J173" s="25"/>
      <c r="K173" s="25"/>
      <c r="L173" s="25"/>
      <c r="M173" s="25"/>
      <c r="N173" s="25"/>
      <c r="O173" s="25"/>
      <c r="P173" s="25"/>
      <c r="Q173" s="25"/>
      <c r="R173" s="25"/>
      <c r="S173" s="25"/>
    </row>
    <row r="174" spans="1:19" ht="15" customHeight="1" x14ac:dyDescent="0.45">
      <c r="B174" s="2"/>
      <c r="D174" s="31"/>
      <c r="E174" s="25"/>
      <c r="F174" s="25"/>
      <c r="G174" s="25"/>
      <c r="H174" s="25"/>
      <c r="I174" s="25"/>
      <c r="J174" s="25"/>
      <c r="K174" s="25"/>
      <c r="L174" s="25"/>
      <c r="M174" s="25"/>
      <c r="N174" s="25"/>
      <c r="O174" s="25"/>
      <c r="P174" s="25"/>
      <c r="Q174" s="25"/>
      <c r="R174" s="25"/>
      <c r="S174" s="25"/>
    </row>
    <row r="175" spans="1:19" ht="15" customHeight="1" x14ac:dyDescent="0.45">
      <c r="B175" s="2"/>
      <c r="D175" s="31"/>
      <c r="E175" s="25"/>
      <c r="F175" s="25"/>
      <c r="G175" s="25"/>
      <c r="H175" s="25"/>
      <c r="I175" s="25"/>
      <c r="J175" s="25"/>
      <c r="K175" s="25"/>
      <c r="L175" s="25"/>
      <c r="M175" s="25"/>
      <c r="N175" s="25"/>
      <c r="O175" s="25"/>
      <c r="P175" s="25"/>
      <c r="Q175" s="25"/>
      <c r="R175" s="25"/>
      <c r="S175" s="25"/>
    </row>
    <row r="176" spans="1:19" ht="15" customHeight="1" x14ac:dyDescent="0.45">
      <c r="B176" s="2"/>
      <c r="D176" s="31"/>
      <c r="E176" s="25"/>
      <c r="F176" s="25"/>
      <c r="G176" s="25"/>
      <c r="H176" s="25"/>
      <c r="I176" s="25"/>
      <c r="J176" s="25"/>
      <c r="K176" s="25"/>
      <c r="L176" s="25"/>
      <c r="M176" s="25"/>
      <c r="N176" s="25"/>
      <c r="O176" s="25"/>
      <c r="P176" s="25"/>
      <c r="Q176" s="25"/>
      <c r="R176" s="25"/>
      <c r="S176" s="25"/>
    </row>
    <row r="177" spans="2:19" ht="15" customHeight="1" x14ac:dyDescent="0.45">
      <c r="B177" s="2"/>
      <c r="D177" s="31"/>
      <c r="E177" s="25"/>
      <c r="F177" s="25"/>
      <c r="G177" s="25"/>
      <c r="H177" s="25"/>
      <c r="I177" s="25"/>
      <c r="J177" s="25"/>
      <c r="K177" s="25"/>
      <c r="L177" s="25"/>
      <c r="M177" s="25"/>
      <c r="N177" s="25"/>
      <c r="O177" s="25"/>
      <c r="P177" s="25"/>
      <c r="Q177" s="25"/>
      <c r="R177" s="25"/>
      <c r="S177" s="25"/>
    </row>
    <row r="178" spans="2:19" ht="15" customHeight="1" x14ac:dyDescent="0.45">
      <c r="B178" s="2"/>
      <c r="D178" s="31"/>
      <c r="E178" s="25"/>
      <c r="F178" s="25"/>
      <c r="G178" s="25"/>
      <c r="H178" s="25"/>
      <c r="I178" s="25"/>
      <c r="J178" s="25"/>
      <c r="K178" s="25"/>
      <c r="L178" s="25"/>
      <c r="M178" s="25"/>
      <c r="N178" s="25"/>
      <c r="O178" s="25"/>
      <c r="P178" s="25"/>
      <c r="Q178" s="25"/>
      <c r="R178" s="25"/>
      <c r="S178" s="25"/>
    </row>
    <row r="179" spans="2:19" ht="15" customHeight="1" x14ac:dyDescent="0.45">
      <c r="B179" s="2"/>
      <c r="D179" s="31"/>
      <c r="E179" s="25"/>
      <c r="F179" s="25"/>
      <c r="G179" s="25"/>
      <c r="H179" s="25"/>
      <c r="I179" s="25"/>
      <c r="J179" s="25"/>
      <c r="K179" s="25"/>
      <c r="L179" s="25"/>
      <c r="M179" s="25"/>
      <c r="N179" s="25"/>
      <c r="O179" s="25"/>
      <c r="P179" s="25"/>
      <c r="Q179" s="25"/>
      <c r="R179" s="25"/>
      <c r="S179" s="25"/>
    </row>
    <row r="180" spans="2:19" ht="15" customHeight="1" x14ac:dyDescent="0.45">
      <c r="B180" s="2"/>
      <c r="D180" s="31"/>
      <c r="E180" s="25"/>
      <c r="F180" s="25"/>
      <c r="G180" s="25"/>
      <c r="H180" s="25"/>
      <c r="I180" s="25"/>
      <c r="J180" s="25"/>
      <c r="K180" s="25"/>
      <c r="L180" s="25"/>
      <c r="M180" s="25"/>
      <c r="N180" s="25"/>
      <c r="O180" s="25"/>
      <c r="P180" s="25"/>
      <c r="Q180" s="25"/>
      <c r="R180" s="25"/>
      <c r="S180" s="25"/>
    </row>
    <row r="181" spans="2:19" ht="15" customHeight="1" x14ac:dyDescent="0.45">
      <c r="B181" s="2"/>
      <c r="D181" s="471"/>
      <c r="E181" s="470"/>
      <c r="F181" s="470"/>
      <c r="G181" s="470"/>
      <c r="H181" s="470"/>
      <c r="I181" s="470"/>
      <c r="J181" s="470"/>
      <c r="K181" s="470"/>
      <c r="L181" s="25"/>
      <c r="M181" s="25"/>
      <c r="N181" s="25"/>
      <c r="O181" s="25"/>
      <c r="P181" s="25"/>
      <c r="Q181" s="25"/>
      <c r="R181" s="25"/>
      <c r="S181" s="25"/>
    </row>
    <row r="182" spans="2:19" ht="15" customHeight="1" x14ac:dyDescent="0.45">
      <c r="B182" s="2"/>
      <c r="D182" s="468"/>
      <c r="G182" s="469"/>
      <c r="H182" s="469"/>
      <c r="I182" s="470"/>
      <c r="J182" s="469"/>
      <c r="K182" s="469"/>
      <c r="L182" s="469"/>
      <c r="M182" s="469"/>
      <c r="N182" s="25"/>
      <c r="O182" s="25"/>
      <c r="P182" s="25"/>
      <c r="Q182" s="25"/>
      <c r="R182" s="25"/>
      <c r="S182" s="25"/>
    </row>
    <row r="183" spans="2:19" ht="15" customHeight="1" x14ac:dyDescent="0.45">
      <c r="B183" s="2"/>
      <c r="D183" s="468"/>
      <c r="G183" s="469"/>
      <c r="H183" s="470"/>
      <c r="I183" s="470"/>
      <c r="J183" s="470"/>
      <c r="K183" s="470"/>
      <c r="L183" s="469"/>
      <c r="M183" s="469"/>
      <c r="N183" s="25"/>
      <c r="O183" s="25"/>
      <c r="P183" s="25"/>
      <c r="Q183" s="25"/>
      <c r="R183" s="25"/>
      <c r="S183" s="25"/>
    </row>
    <row r="184" spans="2:19" ht="15" customHeight="1" x14ac:dyDescent="0.45">
      <c r="B184" s="2"/>
      <c r="D184" s="31"/>
      <c r="E184" s="25"/>
      <c r="F184" s="25"/>
      <c r="G184" s="25"/>
      <c r="H184" s="25"/>
      <c r="I184" s="25"/>
      <c r="J184" s="25"/>
      <c r="K184" s="25"/>
      <c r="L184" s="25"/>
      <c r="M184" s="25"/>
      <c r="N184" s="25"/>
      <c r="O184" s="25"/>
      <c r="P184" s="25"/>
      <c r="Q184" s="25"/>
      <c r="R184" s="25"/>
      <c r="S184" s="25"/>
    </row>
    <row r="185" spans="2:19" ht="15" customHeight="1" x14ac:dyDescent="0.45">
      <c r="B185" s="2"/>
      <c r="D185" s="468"/>
      <c r="E185" s="25"/>
      <c r="F185" s="25"/>
      <c r="G185" s="25"/>
      <c r="H185" s="25"/>
      <c r="I185" s="25"/>
      <c r="J185" s="25"/>
      <c r="K185" s="25"/>
      <c r="L185" s="25"/>
      <c r="M185" s="25"/>
      <c r="N185" s="25"/>
      <c r="O185" s="25"/>
      <c r="P185" s="25"/>
      <c r="Q185" s="25"/>
      <c r="R185" s="25"/>
      <c r="S185" s="25"/>
    </row>
    <row r="186" spans="2:19" ht="15" customHeight="1" x14ac:dyDescent="0.45">
      <c r="B186" s="2"/>
      <c r="D186" s="468"/>
      <c r="E186" s="25"/>
      <c r="F186" s="25"/>
      <c r="G186" s="25"/>
      <c r="H186" s="25"/>
      <c r="I186" s="25"/>
      <c r="J186" s="25"/>
      <c r="K186" s="25"/>
      <c r="L186" s="25"/>
      <c r="M186" s="25"/>
      <c r="N186" s="25"/>
      <c r="O186" s="25"/>
      <c r="P186" s="25"/>
      <c r="Q186" s="25"/>
      <c r="R186" s="25"/>
      <c r="S186" s="25"/>
    </row>
    <row r="187" spans="2:19" ht="15" customHeight="1" x14ac:dyDescent="0.45">
      <c r="B187" s="2"/>
      <c r="D187" s="31"/>
      <c r="E187" s="25"/>
      <c r="F187" s="25"/>
      <c r="G187" s="25"/>
      <c r="H187" s="25"/>
      <c r="I187" s="25"/>
      <c r="J187" s="25"/>
      <c r="K187" s="25"/>
      <c r="L187" s="25"/>
      <c r="M187" s="25"/>
      <c r="N187" s="25"/>
      <c r="O187" s="25"/>
      <c r="P187" s="25"/>
      <c r="Q187" s="25"/>
      <c r="R187" s="25"/>
      <c r="S187" s="25"/>
    </row>
    <row r="188" spans="2:19" ht="15" customHeight="1" x14ac:dyDescent="0.45">
      <c r="B188" s="2"/>
      <c r="D188" s="31"/>
      <c r="E188" s="25"/>
      <c r="F188" s="25"/>
      <c r="G188" s="25"/>
      <c r="H188" s="25"/>
      <c r="I188" s="25"/>
      <c r="J188" s="25"/>
      <c r="K188" s="25"/>
      <c r="L188" s="25"/>
      <c r="M188" s="25"/>
      <c r="N188" s="25"/>
      <c r="O188" s="25"/>
      <c r="P188" s="25"/>
      <c r="Q188" s="25"/>
      <c r="R188" s="25"/>
      <c r="S188" s="25"/>
    </row>
    <row r="189" spans="2:19" ht="15" customHeight="1" x14ac:dyDescent="0.45">
      <c r="B189" s="2"/>
      <c r="E189" s="25"/>
      <c r="F189" s="25"/>
      <c r="G189" s="25"/>
      <c r="H189" s="25"/>
      <c r="I189" s="25"/>
      <c r="J189" s="25"/>
      <c r="K189" s="25"/>
      <c r="L189" s="25"/>
      <c r="M189" s="25"/>
      <c r="N189" s="25"/>
      <c r="O189" s="25"/>
      <c r="P189" s="25"/>
      <c r="Q189" s="25"/>
      <c r="R189" s="25"/>
      <c r="S189" s="25"/>
    </row>
    <row r="190" spans="2:19" ht="15" customHeight="1" x14ac:dyDescent="0.45">
      <c r="B190" s="2"/>
      <c r="D190" s="31"/>
      <c r="E190" s="25"/>
      <c r="F190" s="25"/>
      <c r="G190" s="25"/>
      <c r="H190" s="25"/>
      <c r="I190" s="25"/>
      <c r="J190" s="25"/>
      <c r="K190" s="25"/>
      <c r="L190" s="25"/>
      <c r="M190" s="25"/>
      <c r="N190" s="25"/>
      <c r="O190" s="25"/>
      <c r="P190" s="25"/>
      <c r="Q190" s="25"/>
      <c r="R190" s="25"/>
      <c r="S190" s="25"/>
    </row>
    <row r="191" spans="2:19" ht="15" customHeight="1" x14ac:dyDescent="0.45">
      <c r="B191" s="2"/>
      <c r="D191" s="31"/>
      <c r="E191" s="25"/>
      <c r="F191" s="25"/>
      <c r="G191" s="25"/>
      <c r="H191" s="25"/>
      <c r="I191" s="25"/>
      <c r="J191" s="25"/>
      <c r="K191" s="25"/>
      <c r="L191" s="25"/>
      <c r="M191" s="25"/>
      <c r="N191" s="25"/>
      <c r="O191" s="25"/>
      <c r="P191" s="25"/>
      <c r="Q191" s="25"/>
      <c r="R191" s="25"/>
      <c r="S191" s="25"/>
    </row>
    <row r="192" spans="2:19" ht="15" customHeight="1" x14ac:dyDescent="0.45">
      <c r="B192" s="2"/>
      <c r="D192" s="31"/>
      <c r="E192" s="25"/>
      <c r="F192" s="25"/>
      <c r="G192" s="25"/>
      <c r="H192" s="25"/>
      <c r="I192" s="25"/>
      <c r="J192" s="25"/>
      <c r="K192" s="25"/>
      <c r="L192" s="25"/>
      <c r="M192" s="25"/>
      <c r="N192" s="25"/>
      <c r="O192" s="25"/>
      <c r="P192" s="25"/>
      <c r="Q192" s="25"/>
      <c r="R192" s="25"/>
      <c r="S192" s="25"/>
    </row>
    <row r="193" spans="2:19" ht="15" customHeight="1" x14ac:dyDescent="0.45">
      <c r="B193" s="2"/>
      <c r="D193" s="31"/>
      <c r="E193" s="25"/>
      <c r="F193" s="25"/>
      <c r="G193" s="25"/>
      <c r="H193" s="25"/>
      <c r="I193" s="25"/>
      <c r="J193" s="25"/>
      <c r="K193" s="25"/>
      <c r="L193" s="25"/>
      <c r="M193" s="25"/>
      <c r="N193" s="25"/>
      <c r="O193" s="25"/>
      <c r="P193" s="25"/>
      <c r="Q193" s="25"/>
      <c r="R193" s="25"/>
      <c r="S193" s="25"/>
    </row>
    <row r="194" spans="2:19" ht="15" customHeight="1" x14ac:dyDescent="0.45">
      <c r="B194" s="2"/>
    </row>
    <row r="195" spans="2:19" ht="15" customHeight="1" x14ac:dyDescent="0.45">
      <c r="B195" s="2"/>
      <c r="D195" s="31"/>
      <c r="E195" s="25"/>
      <c r="F195" s="25"/>
      <c r="G195" s="25"/>
      <c r="H195" s="25"/>
      <c r="I195" s="25"/>
      <c r="J195" s="25"/>
      <c r="K195" s="25"/>
      <c r="L195" s="25"/>
      <c r="M195" s="25"/>
      <c r="N195" s="25"/>
      <c r="O195" s="25"/>
      <c r="P195" s="25"/>
      <c r="Q195" s="25"/>
      <c r="R195" s="25"/>
      <c r="S195" s="25"/>
    </row>
    <row r="196" spans="2:19" ht="15" customHeight="1" x14ac:dyDescent="0.45">
      <c r="B196" s="2"/>
      <c r="D196" s="31"/>
      <c r="E196" s="25"/>
      <c r="F196" s="25"/>
      <c r="G196" s="25"/>
      <c r="H196" s="25"/>
      <c r="I196" s="25"/>
      <c r="J196" s="25"/>
      <c r="K196" s="25"/>
      <c r="L196" s="25"/>
      <c r="M196" s="25"/>
      <c r="N196" s="25"/>
      <c r="O196" s="25"/>
      <c r="P196" s="25"/>
      <c r="Q196" s="25"/>
      <c r="R196" s="25"/>
      <c r="S196" s="25"/>
    </row>
    <row r="197" spans="2:19" ht="15" customHeight="1" x14ac:dyDescent="0.45">
      <c r="B197" s="2"/>
      <c r="D197" s="31"/>
      <c r="E197" s="25"/>
      <c r="F197" s="25"/>
      <c r="G197" s="25"/>
      <c r="H197" s="25"/>
      <c r="I197" s="25"/>
      <c r="J197" s="25"/>
      <c r="K197" s="25"/>
      <c r="L197" s="25"/>
      <c r="M197" s="25"/>
      <c r="N197" s="25"/>
      <c r="O197" s="25"/>
      <c r="P197" s="25"/>
      <c r="Q197" s="25"/>
      <c r="R197" s="25"/>
      <c r="S197" s="25"/>
    </row>
    <row r="198" spans="2:19" ht="15" customHeight="1" x14ac:dyDescent="0.45">
      <c r="B198" s="2"/>
      <c r="D198" s="31"/>
      <c r="E198" s="25"/>
      <c r="F198" s="25"/>
      <c r="G198" s="25"/>
      <c r="H198" s="25"/>
      <c r="I198" s="25"/>
      <c r="J198" s="25"/>
      <c r="K198" s="25"/>
      <c r="L198" s="25"/>
      <c r="M198" s="25"/>
      <c r="N198" s="25"/>
      <c r="O198" s="25"/>
      <c r="P198" s="25"/>
      <c r="Q198" s="25"/>
      <c r="R198" s="25"/>
      <c r="S198" s="25"/>
    </row>
    <row r="199" spans="2:19" ht="15" customHeight="1" x14ac:dyDescent="0.45">
      <c r="B199" s="2"/>
      <c r="D199" s="31"/>
      <c r="E199" s="25"/>
      <c r="F199" s="25"/>
      <c r="G199" s="25"/>
      <c r="H199" s="25"/>
      <c r="I199" s="25"/>
      <c r="J199" s="25"/>
      <c r="K199" s="25"/>
      <c r="L199" s="25"/>
      <c r="M199" s="25"/>
      <c r="N199" s="25"/>
      <c r="O199" s="25"/>
      <c r="P199" s="25"/>
      <c r="Q199" s="25"/>
      <c r="R199" s="25"/>
      <c r="S199" s="25"/>
    </row>
    <row r="200" spans="2:19" ht="15" customHeight="1" x14ac:dyDescent="0.45">
      <c r="B200" s="2"/>
      <c r="D200" s="31"/>
      <c r="E200" s="25"/>
      <c r="F200" s="25"/>
      <c r="G200" s="25"/>
      <c r="H200" s="25"/>
      <c r="I200" s="25"/>
      <c r="J200" s="25"/>
      <c r="K200" s="25"/>
      <c r="L200" s="25"/>
      <c r="M200" s="25"/>
      <c r="N200" s="25"/>
      <c r="O200" s="25"/>
      <c r="P200" s="25"/>
      <c r="Q200" s="25"/>
      <c r="R200" s="25"/>
      <c r="S200" s="25"/>
    </row>
    <row r="201" spans="2:19" ht="15" customHeight="1" x14ac:dyDescent="0.45">
      <c r="B201" s="2"/>
      <c r="D201" s="31"/>
      <c r="E201" s="25"/>
      <c r="F201" s="25"/>
      <c r="G201" s="25"/>
      <c r="H201" s="25"/>
      <c r="I201" s="25"/>
      <c r="J201" s="25"/>
      <c r="K201" s="25"/>
      <c r="L201" s="25"/>
      <c r="M201" s="25"/>
      <c r="N201" s="25"/>
      <c r="O201" s="25"/>
      <c r="P201" s="25"/>
      <c r="Q201" s="25"/>
      <c r="R201" s="25"/>
      <c r="S201" s="25"/>
    </row>
    <row r="202" spans="2:19" ht="15" customHeight="1" x14ac:dyDescent="0.45">
      <c r="B202" s="2"/>
      <c r="D202" s="31"/>
      <c r="E202" s="25"/>
      <c r="F202" s="25"/>
      <c r="G202" s="25"/>
      <c r="H202" s="25"/>
      <c r="I202" s="25"/>
      <c r="J202" s="25"/>
      <c r="K202" s="25"/>
      <c r="L202" s="25"/>
      <c r="M202" s="25"/>
      <c r="N202" s="25"/>
      <c r="O202" s="25"/>
      <c r="P202" s="25"/>
      <c r="Q202" s="25"/>
      <c r="R202" s="25"/>
      <c r="S202" s="25"/>
    </row>
    <row r="203" spans="2:19" ht="15" customHeight="1" x14ac:dyDescent="0.45">
      <c r="B203" s="2"/>
      <c r="D203" s="31"/>
      <c r="E203" s="25"/>
      <c r="F203" s="25"/>
      <c r="G203" s="25"/>
      <c r="H203" s="25"/>
      <c r="I203" s="25"/>
      <c r="J203" s="25"/>
      <c r="K203" s="25"/>
      <c r="L203" s="25"/>
      <c r="M203" s="25"/>
      <c r="N203" s="25"/>
      <c r="O203" s="25"/>
      <c r="P203" s="25"/>
      <c r="Q203" s="25"/>
      <c r="R203" s="25"/>
      <c r="S203" s="25"/>
    </row>
    <row r="204" spans="2:19" ht="15" customHeight="1" x14ac:dyDescent="0.45">
      <c r="B204" s="2"/>
      <c r="D204" s="31"/>
      <c r="E204" s="25"/>
      <c r="F204" s="25"/>
      <c r="G204" s="25"/>
      <c r="H204" s="25"/>
      <c r="I204" s="25"/>
      <c r="J204" s="25"/>
      <c r="K204" s="25"/>
      <c r="L204" s="25"/>
      <c r="M204" s="25"/>
      <c r="N204" s="25"/>
      <c r="O204" s="25"/>
      <c r="P204" s="25"/>
      <c r="Q204" s="25"/>
      <c r="R204" s="25"/>
      <c r="S204" s="25"/>
    </row>
    <row r="205" spans="2:19" ht="15" customHeight="1" x14ac:dyDescent="0.45">
      <c r="B205" s="2"/>
      <c r="D205" s="31"/>
      <c r="E205" s="25"/>
      <c r="F205" s="25"/>
      <c r="G205" s="25"/>
      <c r="H205" s="25"/>
      <c r="I205" s="25"/>
      <c r="J205" s="25"/>
      <c r="K205" s="25"/>
      <c r="L205" s="25"/>
      <c r="M205" s="25"/>
      <c r="N205" s="25"/>
      <c r="O205" s="25"/>
      <c r="P205" s="25"/>
      <c r="Q205" s="25"/>
      <c r="R205" s="25"/>
      <c r="S205" s="25"/>
    </row>
    <row r="206" spans="2:19" ht="15" customHeight="1" x14ac:dyDescent="0.45">
      <c r="B206" s="2"/>
      <c r="D206" s="31"/>
      <c r="E206" s="25"/>
      <c r="F206" s="25"/>
      <c r="G206" s="25"/>
      <c r="H206" s="25"/>
      <c r="I206" s="25"/>
      <c r="J206" s="25"/>
      <c r="K206" s="25"/>
      <c r="L206" s="25"/>
      <c r="M206" s="25"/>
      <c r="N206" s="25"/>
      <c r="O206" s="25"/>
      <c r="P206" s="25"/>
      <c r="Q206" s="25"/>
      <c r="R206" s="25"/>
      <c r="S206" s="25"/>
    </row>
    <row r="207" spans="2:19" ht="15" customHeight="1" x14ac:dyDescent="0.45">
      <c r="B207" s="2"/>
      <c r="D207" s="31"/>
      <c r="E207" s="25"/>
      <c r="F207" s="25"/>
      <c r="G207" s="25"/>
      <c r="H207" s="25"/>
      <c r="I207" s="25"/>
      <c r="J207" s="25"/>
      <c r="K207" s="25"/>
      <c r="L207" s="25"/>
      <c r="M207" s="25"/>
      <c r="N207" s="25"/>
      <c r="O207" s="25"/>
      <c r="P207" s="25"/>
      <c r="Q207" s="25"/>
      <c r="R207" s="25"/>
      <c r="S207" s="25"/>
    </row>
    <row r="208" spans="2:19" ht="15" customHeight="1" x14ac:dyDescent="0.45">
      <c r="B208" s="2"/>
      <c r="D208" s="31"/>
      <c r="E208" s="25"/>
      <c r="F208" s="25"/>
      <c r="G208" s="25"/>
      <c r="H208" s="25"/>
      <c r="I208" s="25"/>
      <c r="J208" s="25"/>
      <c r="K208" s="25"/>
      <c r="L208" s="25"/>
      <c r="M208" s="25"/>
      <c r="N208" s="25"/>
      <c r="O208" s="25"/>
      <c r="P208" s="25"/>
      <c r="Q208" s="25"/>
      <c r="R208" s="25"/>
      <c r="S208" s="25"/>
    </row>
    <row r="209" spans="2:19" ht="15" customHeight="1" x14ac:dyDescent="0.45">
      <c r="B209" s="2"/>
      <c r="D209" s="31"/>
      <c r="E209" s="25"/>
      <c r="F209" s="25"/>
      <c r="G209" s="25"/>
      <c r="H209" s="25"/>
      <c r="I209" s="25"/>
      <c r="J209" s="25"/>
      <c r="K209" s="25"/>
      <c r="L209" s="25"/>
      <c r="M209" s="25"/>
      <c r="N209" s="25"/>
      <c r="O209" s="25"/>
      <c r="P209" s="25"/>
      <c r="Q209" s="25"/>
      <c r="R209" s="25"/>
      <c r="S209" s="25"/>
    </row>
    <row r="210" spans="2:19" ht="15" customHeight="1" x14ac:dyDescent="0.45">
      <c r="B210" s="2"/>
      <c r="D210" s="31"/>
      <c r="E210" s="25"/>
      <c r="F210" s="25"/>
      <c r="G210" s="25"/>
      <c r="H210" s="25"/>
      <c r="I210" s="25"/>
      <c r="J210" s="25"/>
      <c r="K210" s="25"/>
      <c r="L210" s="25"/>
      <c r="M210" s="25"/>
      <c r="N210" s="25"/>
      <c r="O210" s="25"/>
      <c r="P210" s="25"/>
      <c r="Q210" s="25"/>
      <c r="R210" s="25"/>
      <c r="S210" s="25"/>
    </row>
    <row r="211" spans="2:19" ht="15" customHeight="1" x14ac:dyDescent="0.45">
      <c r="B211" s="2"/>
      <c r="D211" s="31"/>
      <c r="E211" s="25"/>
      <c r="F211" s="25"/>
      <c r="G211" s="25"/>
      <c r="H211" s="25"/>
      <c r="I211" s="25"/>
      <c r="J211" s="25"/>
      <c r="K211" s="25"/>
      <c r="L211" s="25"/>
      <c r="M211" s="25"/>
      <c r="N211" s="25"/>
      <c r="O211" s="25"/>
      <c r="P211" s="25"/>
      <c r="Q211" s="25"/>
      <c r="R211" s="25"/>
      <c r="S211" s="25"/>
    </row>
    <row r="212" spans="2:19" ht="15" customHeight="1" x14ac:dyDescent="0.45">
      <c r="B212" s="2"/>
      <c r="D212" s="31"/>
      <c r="E212" s="25"/>
      <c r="F212" s="25"/>
      <c r="G212" s="25"/>
      <c r="H212" s="25"/>
      <c r="I212" s="25"/>
      <c r="J212" s="25"/>
      <c r="K212" s="25"/>
      <c r="L212" s="25"/>
      <c r="M212" s="25"/>
      <c r="N212" s="25"/>
      <c r="O212" s="25"/>
      <c r="P212" s="25"/>
      <c r="Q212" s="25"/>
      <c r="R212" s="25"/>
      <c r="S212" s="25"/>
    </row>
    <row r="213" spans="2:19" ht="15" customHeight="1" x14ac:dyDescent="0.45">
      <c r="B213" s="2"/>
      <c r="D213" s="31"/>
      <c r="E213" s="25"/>
      <c r="F213" s="25"/>
      <c r="G213" s="25"/>
      <c r="H213" s="25"/>
      <c r="I213" s="25"/>
      <c r="J213" s="25"/>
      <c r="K213" s="25"/>
      <c r="L213" s="25"/>
      <c r="M213" s="25"/>
      <c r="N213" s="25"/>
      <c r="O213" s="25"/>
      <c r="P213" s="25"/>
      <c r="Q213" s="25"/>
      <c r="R213" s="25"/>
      <c r="S213" s="25"/>
    </row>
    <row r="214" spans="2:19" ht="15" customHeight="1" x14ac:dyDescent="0.45">
      <c r="B214" s="2"/>
      <c r="D214" s="31"/>
      <c r="E214" s="25"/>
      <c r="F214" s="25"/>
      <c r="G214" s="25"/>
      <c r="H214" s="25"/>
      <c r="I214" s="25"/>
      <c r="J214" s="25"/>
      <c r="K214" s="25"/>
      <c r="L214" s="25"/>
      <c r="M214" s="25"/>
      <c r="N214" s="25"/>
      <c r="O214" s="25"/>
      <c r="P214" s="25"/>
      <c r="Q214" s="25"/>
      <c r="R214" s="25"/>
      <c r="S214" s="25"/>
    </row>
    <row r="215" spans="2:19" ht="15" customHeight="1" x14ac:dyDescent="0.45">
      <c r="B215" s="2"/>
      <c r="D215" s="31"/>
      <c r="E215" s="25"/>
      <c r="F215" s="25"/>
      <c r="G215" s="25"/>
      <c r="H215" s="25"/>
      <c r="I215" s="25"/>
      <c r="J215" s="25"/>
      <c r="K215" s="25"/>
      <c r="L215" s="25"/>
      <c r="M215" s="25"/>
      <c r="N215" s="25"/>
      <c r="O215" s="25"/>
      <c r="P215" s="25"/>
      <c r="Q215" s="25"/>
      <c r="R215" s="25"/>
      <c r="S215" s="25"/>
    </row>
    <row r="216" spans="2:19" ht="15" customHeight="1" x14ac:dyDescent="0.45">
      <c r="B216" s="2"/>
      <c r="D216" s="31"/>
      <c r="E216" s="25"/>
      <c r="F216" s="25"/>
      <c r="G216" s="25"/>
      <c r="H216" s="25"/>
      <c r="I216" s="25"/>
      <c r="J216" s="25"/>
      <c r="K216" s="25"/>
      <c r="L216" s="25"/>
      <c r="M216" s="25"/>
      <c r="N216" s="25"/>
      <c r="O216" s="25"/>
      <c r="P216" s="25"/>
      <c r="Q216" s="25"/>
      <c r="R216" s="25"/>
      <c r="S216" s="25"/>
    </row>
    <row r="217" spans="2:19" ht="15" customHeight="1" x14ac:dyDescent="0.45">
      <c r="B217" s="2"/>
      <c r="D217" s="31"/>
      <c r="E217" s="25"/>
      <c r="F217" s="25"/>
      <c r="G217" s="25"/>
      <c r="H217" s="25"/>
      <c r="I217" s="25"/>
      <c r="J217" s="25"/>
      <c r="K217" s="25"/>
      <c r="L217" s="25"/>
      <c r="M217" s="25"/>
      <c r="N217" s="25"/>
      <c r="O217" s="25"/>
      <c r="P217" s="25"/>
      <c r="Q217" s="25"/>
      <c r="R217" s="25"/>
      <c r="S217" s="25"/>
    </row>
    <row r="218" spans="2:19" ht="15" customHeight="1" x14ac:dyDescent="0.45">
      <c r="B218" s="2"/>
      <c r="D218" s="31"/>
      <c r="E218" s="25"/>
      <c r="F218" s="25"/>
      <c r="G218" s="25"/>
      <c r="H218" s="25"/>
      <c r="I218" s="25"/>
      <c r="J218" s="25"/>
      <c r="K218" s="25"/>
      <c r="L218" s="25"/>
      <c r="M218" s="25"/>
      <c r="N218" s="25"/>
      <c r="O218" s="25"/>
      <c r="P218" s="25"/>
      <c r="Q218" s="25"/>
      <c r="R218" s="25"/>
      <c r="S218" s="25"/>
    </row>
    <row r="219" spans="2:19" ht="15" customHeight="1" x14ac:dyDescent="0.45">
      <c r="B219" s="2"/>
      <c r="D219" s="31"/>
      <c r="E219" s="25"/>
      <c r="F219" s="25"/>
      <c r="G219" s="25"/>
      <c r="H219" s="25"/>
      <c r="I219" s="25"/>
      <c r="J219" s="25"/>
      <c r="K219" s="25"/>
      <c r="L219" s="25"/>
      <c r="M219" s="25"/>
      <c r="N219" s="25"/>
      <c r="O219" s="25"/>
      <c r="P219" s="25"/>
      <c r="Q219" s="25"/>
      <c r="R219" s="25"/>
      <c r="S219" s="25"/>
    </row>
    <row r="220" spans="2:19" ht="15" customHeight="1" x14ac:dyDescent="0.45">
      <c r="B220" s="2"/>
      <c r="D220" s="31"/>
      <c r="E220" s="25"/>
      <c r="F220" s="25"/>
      <c r="G220" s="25"/>
      <c r="H220" s="25"/>
      <c r="I220" s="25"/>
      <c r="J220" s="25"/>
      <c r="K220" s="25"/>
      <c r="L220" s="25"/>
      <c r="M220" s="25"/>
      <c r="N220" s="25"/>
      <c r="O220" s="25"/>
      <c r="P220" s="25"/>
      <c r="Q220" s="25"/>
      <c r="R220" s="25"/>
      <c r="S220" s="25"/>
    </row>
    <row r="221" spans="2:19" ht="15" customHeight="1" x14ac:dyDescent="0.45">
      <c r="B221" s="2"/>
      <c r="D221" s="31"/>
      <c r="E221" s="25"/>
      <c r="F221" s="25"/>
      <c r="G221" s="25"/>
      <c r="H221" s="25"/>
      <c r="I221" s="25"/>
      <c r="J221" s="25"/>
      <c r="K221" s="25"/>
      <c r="L221" s="25"/>
      <c r="M221" s="25"/>
      <c r="N221" s="25"/>
      <c r="O221" s="25"/>
      <c r="P221" s="25"/>
      <c r="Q221" s="25"/>
      <c r="R221" s="25"/>
      <c r="S221" s="25"/>
    </row>
    <row r="222" spans="2:19" ht="15" customHeight="1" x14ac:dyDescent="0.45">
      <c r="B222" s="2"/>
      <c r="D222" s="31"/>
      <c r="E222" s="25"/>
      <c r="F222" s="25"/>
      <c r="G222" s="25"/>
      <c r="H222" s="25"/>
      <c r="I222" s="25"/>
      <c r="J222" s="25"/>
      <c r="K222" s="25"/>
      <c r="L222" s="25"/>
      <c r="M222" s="25"/>
      <c r="N222" s="25"/>
      <c r="O222" s="25"/>
      <c r="P222" s="25"/>
      <c r="Q222" s="25"/>
      <c r="R222" s="25"/>
      <c r="S222" s="25"/>
    </row>
    <row r="223" spans="2:19" ht="15" customHeight="1" x14ac:dyDescent="0.45">
      <c r="B223" s="2"/>
      <c r="D223" s="31"/>
      <c r="E223" s="25"/>
      <c r="F223" s="25"/>
      <c r="G223" s="25"/>
      <c r="H223" s="25"/>
      <c r="I223" s="25"/>
      <c r="J223" s="25"/>
      <c r="K223" s="25"/>
      <c r="L223" s="25"/>
      <c r="M223" s="25"/>
      <c r="N223" s="25"/>
      <c r="O223" s="25"/>
      <c r="P223" s="25"/>
      <c r="Q223" s="25"/>
      <c r="R223" s="25"/>
      <c r="S223" s="25"/>
    </row>
    <row r="224" spans="2:19" ht="15" customHeight="1" x14ac:dyDescent="0.45">
      <c r="B224" s="2"/>
      <c r="D224" s="31"/>
      <c r="E224" s="25"/>
      <c r="F224" s="25"/>
      <c r="G224" s="25"/>
      <c r="H224" s="25"/>
      <c r="I224" s="25"/>
      <c r="J224" s="25"/>
      <c r="K224" s="25"/>
      <c r="L224" s="25"/>
      <c r="M224" s="25"/>
      <c r="N224" s="25"/>
      <c r="O224" s="25"/>
      <c r="P224" s="25"/>
      <c r="Q224" s="25"/>
      <c r="R224" s="25"/>
      <c r="S224" s="25"/>
    </row>
    <row r="238" spans="1:19" s="467" customFormat="1" ht="15" customHeight="1" x14ac:dyDescent="0.45">
      <c r="A238" s="1"/>
      <c r="B238" s="2" t="s">
        <v>406</v>
      </c>
      <c r="C238" s="2"/>
      <c r="E238" s="24"/>
      <c r="F238" s="24"/>
      <c r="G238" s="24"/>
      <c r="H238" s="24"/>
      <c r="I238" s="24"/>
      <c r="J238" s="24"/>
      <c r="K238" s="24"/>
      <c r="L238" s="24"/>
      <c r="M238" s="24"/>
      <c r="N238" s="24"/>
      <c r="O238" s="24"/>
      <c r="P238" s="24"/>
      <c r="Q238" s="24"/>
      <c r="R238" s="24"/>
      <c r="S238" s="24"/>
    </row>
    <row r="239" spans="1:19" s="467" customFormat="1" ht="15" customHeight="1" x14ac:dyDescent="0.45">
      <c r="A239" s="1"/>
      <c r="B239" s="2" t="s">
        <v>267</v>
      </c>
      <c r="C239" s="2"/>
      <c r="E239" s="24"/>
      <c r="F239" s="24"/>
      <c r="G239" s="24"/>
      <c r="H239" s="24"/>
      <c r="I239" s="24"/>
      <c r="J239" s="24"/>
      <c r="K239" s="24"/>
      <c r="L239" s="24"/>
      <c r="M239" s="24"/>
      <c r="N239" s="24"/>
      <c r="O239" s="24"/>
      <c r="P239" s="24"/>
      <c r="Q239" s="24"/>
      <c r="R239" s="24"/>
      <c r="S239" s="24"/>
    </row>
    <row r="240" spans="1:19" s="467" customFormat="1" ht="15" customHeight="1" x14ac:dyDescent="0.45">
      <c r="A240" s="1"/>
      <c r="B240" s="2" t="s">
        <v>268</v>
      </c>
      <c r="C240" s="2"/>
      <c r="E240" s="24"/>
      <c r="F240" s="24"/>
      <c r="G240" s="24"/>
      <c r="H240" s="24"/>
      <c r="I240" s="24"/>
      <c r="J240" s="24"/>
      <c r="K240" s="24"/>
      <c r="L240" s="24"/>
      <c r="M240" s="24"/>
      <c r="N240" s="24"/>
      <c r="O240" s="24"/>
      <c r="P240" s="24"/>
      <c r="Q240" s="24"/>
      <c r="R240" s="24"/>
      <c r="S240" s="24"/>
    </row>
    <row r="241" spans="1:19" s="467" customFormat="1" ht="15" customHeight="1" x14ac:dyDescent="0.45">
      <c r="A241" s="1"/>
      <c r="B241" s="2" t="s">
        <v>269</v>
      </c>
      <c r="C241" s="2"/>
      <c r="E241" s="24"/>
      <c r="F241" s="24"/>
      <c r="G241" s="24"/>
      <c r="H241" s="24"/>
      <c r="I241" s="24"/>
      <c r="J241" s="24"/>
      <c r="K241" s="24"/>
      <c r="L241" s="24"/>
      <c r="M241" s="24"/>
      <c r="N241" s="24"/>
      <c r="O241" s="24"/>
      <c r="P241" s="24"/>
      <c r="Q241" s="24"/>
      <c r="R241" s="24"/>
      <c r="S241" s="24"/>
    </row>
    <row r="242" spans="1:19" s="467" customFormat="1" ht="15" customHeight="1" x14ac:dyDescent="0.45">
      <c r="A242" s="1"/>
      <c r="B242" s="2" t="s">
        <v>272</v>
      </c>
      <c r="C242" s="2"/>
      <c r="E242" s="24"/>
      <c r="F242" s="24"/>
      <c r="G242" s="24"/>
      <c r="H242" s="24"/>
      <c r="I242" s="24"/>
      <c r="J242" s="24"/>
      <c r="K242" s="24"/>
      <c r="L242" s="24"/>
      <c r="M242" s="24"/>
      <c r="N242" s="24"/>
      <c r="O242" s="24"/>
      <c r="P242" s="24"/>
      <c r="Q242" s="24"/>
      <c r="R242" s="24"/>
      <c r="S242" s="24"/>
    </row>
    <row r="243" spans="1:19" s="467" customFormat="1" ht="15" customHeight="1" x14ac:dyDescent="0.45">
      <c r="A243" s="1"/>
      <c r="B243" s="2" t="s">
        <v>273</v>
      </c>
      <c r="C243" s="2"/>
      <c r="E243" s="24"/>
      <c r="F243" s="24"/>
      <c r="G243" s="24"/>
      <c r="H243" s="24"/>
      <c r="I243" s="24"/>
      <c r="J243" s="24"/>
      <c r="K243" s="24"/>
      <c r="L243" s="24"/>
      <c r="M243" s="24"/>
      <c r="N243" s="24"/>
      <c r="O243" s="24"/>
      <c r="P243" s="24"/>
      <c r="Q243" s="24"/>
      <c r="R243" s="24"/>
      <c r="S243" s="24"/>
    </row>
    <row r="244" spans="1:19" s="467" customFormat="1" ht="15" customHeight="1" x14ac:dyDescent="0.45">
      <c r="A244" s="1"/>
      <c r="B244" s="2" t="s">
        <v>274</v>
      </c>
      <c r="C244" s="2"/>
      <c r="E244" s="24"/>
      <c r="F244" s="24"/>
      <c r="G244" s="24"/>
      <c r="H244" s="24"/>
      <c r="I244" s="24"/>
      <c r="J244" s="24"/>
      <c r="K244" s="24"/>
      <c r="L244" s="24"/>
      <c r="M244" s="24"/>
      <c r="N244" s="24"/>
      <c r="O244" s="24"/>
      <c r="P244" s="24"/>
      <c r="Q244" s="24"/>
      <c r="R244" s="24"/>
      <c r="S244" s="24"/>
    </row>
    <row r="245" spans="1:19" s="467" customFormat="1" ht="15" customHeight="1" x14ac:dyDescent="0.45">
      <c r="A245" s="1"/>
      <c r="B245" s="2" t="s">
        <v>270</v>
      </c>
      <c r="C245" s="2"/>
      <c r="E245" s="24"/>
      <c r="F245" s="24"/>
      <c r="G245" s="24"/>
      <c r="H245" s="24"/>
      <c r="I245" s="24"/>
      <c r="J245" s="24"/>
      <c r="K245" s="24"/>
      <c r="L245" s="24"/>
      <c r="M245" s="24"/>
      <c r="N245" s="24"/>
      <c r="O245" s="24"/>
      <c r="P245" s="24"/>
      <c r="Q245" s="24"/>
      <c r="R245" s="24"/>
      <c r="S245" s="24"/>
    </row>
    <row r="246" spans="1:19" s="467" customFormat="1" ht="15" customHeight="1" x14ac:dyDescent="0.45">
      <c r="A246" s="1"/>
      <c r="B246" s="2" t="s">
        <v>275</v>
      </c>
      <c r="C246" s="2"/>
      <c r="E246" s="24"/>
      <c r="F246" s="24"/>
      <c r="G246" s="24"/>
      <c r="H246" s="24"/>
      <c r="I246" s="24"/>
      <c r="J246" s="24"/>
      <c r="K246" s="24"/>
      <c r="L246" s="24"/>
      <c r="M246" s="24"/>
      <c r="N246" s="24"/>
      <c r="O246" s="24"/>
      <c r="P246" s="24"/>
      <c r="Q246" s="24"/>
      <c r="R246" s="24"/>
      <c r="S246" s="24"/>
    </row>
    <row r="247" spans="1:19" s="467" customFormat="1" ht="15" customHeight="1" x14ac:dyDescent="0.45">
      <c r="A247" s="1"/>
      <c r="B247" s="2" t="s">
        <v>255</v>
      </c>
      <c r="C247" s="2"/>
      <c r="E247" s="24"/>
      <c r="F247" s="24"/>
      <c r="G247" s="24"/>
      <c r="H247" s="24"/>
      <c r="I247" s="24"/>
      <c r="J247" s="24"/>
      <c r="K247" s="24"/>
      <c r="L247" s="24"/>
      <c r="M247" s="24"/>
      <c r="N247" s="24"/>
      <c r="O247" s="24"/>
      <c r="P247" s="24"/>
      <c r="Q247" s="24"/>
      <c r="R247" s="24"/>
      <c r="S247" s="24"/>
    </row>
    <row r="248" spans="1:19" s="467" customFormat="1" ht="15" customHeight="1" x14ac:dyDescent="0.45">
      <c r="A248" s="1"/>
      <c r="B248" s="2" t="s">
        <v>407</v>
      </c>
      <c r="C248" s="2"/>
      <c r="E248" s="24"/>
      <c r="F248" s="24"/>
      <c r="G248" s="24"/>
      <c r="H248" s="24"/>
      <c r="I248" s="24"/>
      <c r="J248" s="24"/>
      <c r="K248" s="24"/>
      <c r="L248" s="24"/>
      <c r="M248" s="24"/>
      <c r="N248" s="24"/>
      <c r="O248" s="24"/>
      <c r="P248" s="24"/>
      <c r="Q248" s="24"/>
      <c r="R248" s="24"/>
      <c r="S248" s="24"/>
    </row>
    <row r="249" spans="1:19" s="467" customFormat="1" ht="15" customHeight="1" x14ac:dyDescent="0.45">
      <c r="A249" s="1"/>
      <c r="B249" s="2" t="s">
        <v>408</v>
      </c>
      <c r="C249" s="2"/>
      <c r="E249" s="24"/>
      <c r="F249" s="24"/>
      <c r="G249" s="24"/>
      <c r="H249" s="24"/>
      <c r="I249" s="24"/>
      <c r="J249" s="24"/>
      <c r="K249" s="24"/>
      <c r="L249" s="24"/>
      <c r="M249" s="24"/>
      <c r="N249" s="24"/>
      <c r="O249" s="24"/>
      <c r="P249" s="24"/>
      <c r="Q249" s="24"/>
      <c r="R249" s="24"/>
      <c r="S249" s="24"/>
    </row>
    <row r="250" spans="1:19" s="467" customFormat="1" ht="15" customHeight="1" x14ac:dyDescent="0.45">
      <c r="A250" s="1"/>
      <c r="B250" s="2" t="s">
        <v>409</v>
      </c>
      <c r="C250" s="2"/>
      <c r="E250" s="24"/>
      <c r="F250" s="24"/>
      <c r="G250" s="24"/>
      <c r="H250" s="24"/>
      <c r="I250" s="24"/>
      <c r="J250" s="24"/>
      <c r="K250" s="24"/>
      <c r="L250" s="24"/>
      <c r="M250" s="24"/>
      <c r="N250" s="24"/>
      <c r="O250" s="24"/>
      <c r="P250" s="24"/>
      <c r="Q250" s="24"/>
      <c r="R250" s="24"/>
      <c r="S250" s="24"/>
    </row>
    <row r="251" spans="1:19" s="467" customFormat="1" ht="15" customHeight="1" x14ac:dyDescent="0.45">
      <c r="A251" s="1"/>
      <c r="B251" s="2" t="s">
        <v>410</v>
      </c>
      <c r="C251" s="2"/>
      <c r="E251" s="24"/>
      <c r="F251" s="24"/>
      <c r="G251" s="24"/>
      <c r="H251" s="24"/>
      <c r="I251" s="24"/>
      <c r="J251" s="24"/>
      <c r="K251" s="24"/>
      <c r="L251" s="24"/>
      <c r="M251" s="24"/>
      <c r="N251" s="24"/>
      <c r="O251" s="24"/>
      <c r="P251" s="24"/>
      <c r="Q251" s="24"/>
      <c r="R251" s="24"/>
      <c r="S251" s="24"/>
    </row>
    <row r="252" spans="1:19" s="467" customFormat="1" ht="15" customHeight="1" x14ac:dyDescent="0.45">
      <c r="A252" s="1"/>
      <c r="B252" s="2" t="s">
        <v>411</v>
      </c>
      <c r="C252" s="2"/>
      <c r="E252" s="24"/>
      <c r="F252" s="24"/>
      <c r="G252" s="24"/>
      <c r="H252" s="24"/>
      <c r="I252" s="24"/>
      <c r="J252" s="24"/>
      <c r="K252" s="24"/>
      <c r="L252" s="24"/>
      <c r="M252" s="24"/>
      <c r="N252" s="24"/>
      <c r="O252" s="24"/>
      <c r="P252" s="24"/>
      <c r="Q252" s="24"/>
      <c r="R252" s="24"/>
      <c r="S252" s="24"/>
    </row>
    <row r="253" spans="1:19" s="467" customFormat="1" ht="15" customHeight="1" x14ac:dyDescent="0.45">
      <c r="A253" s="1"/>
      <c r="B253" s="2" t="s">
        <v>263</v>
      </c>
      <c r="C253" s="2"/>
      <c r="E253" s="24"/>
      <c r="F253" s="24"/>
      <c r="G253" s="24"/>
      <c r="H253" s="24"/>
      <c r="I253" s="24"/>
      <c r="J253" s="24"/>
      <c r="K253" s="24"/>
      <c r="L253" s="24"/>
      <c r="M253" s="24"/>
      <c r="N253" s="24"/>
      <c r="O253" s="24"/>
      <c r="P253" s="24"/>
      <c r="Q253" s="24"/>
      <c r="R253" s="24"/>
      <c r="S253" s="24"/>
    </row>
    <row r="254" spans="1:19" s="467" customFormat="1" ht="15" customHeight="1" x14ac:dyDescent="0.45">
      <c r="A254" s="1"/>
      <c r="B254" s="2" t="s">
        <v>412</v>
      </c>
      <c r="C254" s="2"/>
      <c r="E254" s="24"/>
      <c r="F254" s="24"/>
      <c r="G254" s="24"/>
      <c r="H254" s="24"/>
      <c r="I254" s="24"/>
      <c r="J254" s="24"/>
      <c r="K254" s="24"/>
      <c r="L254" s="24"/>
      <c r="M254" s="24"/>
      <c r="N254" s="24"/>
      <c r="O254" s="24"/>
      <c r="P254" s="24"/>
      <c r="Q254" s="24"/>
      <c r="R254" s="24"/>
      <c r="S254" s="24"/>
    </row>
    <row r="256" spans="1:19" s="467" customFormat="1" ht="15" customHeight="1" x14ac:dyDescent="0.45">
      <c r="A256" s="1"/>
      <c r="B256" s="2" t="s">
        <v>285</v>
      </c>
      <c r="C256" s="1"/>
      <c r="E256" s="24"/>
      <c r="F256" s="24"/>
      <c r="G256" s="24"/>
      <c r="H256" s="24"/>
      <c r="I256" s="24"/>
      <c r="J256" s="24"/>
      <c r="K256" s="24"/>
      <c r="L256" s="24"/>
      <c r="M256" s="24"/>
      <c r="N256" s="24"/>
      <c r="O256" s="24"/>
      <c r="P256" s="24"/>
      <c r="Q256" s="24"/>
      <c r="R256" s="24"/>
      <c r="S256" s="24"/>
    </row>
    <row r="257" spans="1:19" s="467" customFormat="1" ht="15" customHeight="1" x14ac:dyDescent="0.45">
      <c r="A257" s="1"/>
      <c r="B257" s="2" t="s">
        <v>283</v>
      </c>
      <c r="C257" s="1"/>
      <c r="E257" s="24"/>
      <c r="F257" s="24"/>
      <c r="G257" s="24"/>
      <c r="H257" s="24"/>
      <c r="I257" s="24"/>
      <c r="J257" s="24"/>
      <c r="K257" s="24"/>
      <c r="L257" s="24"/>
      <c r="M257" s="24"/>
      <c r="N257" s="24"/>
      <c r="O257" s="24"/>
      <c r="P257" s="24"/>
      <c r="Q257" s="24"/>
      <c r="R257" s="24"/>
      <c r="S257" s="24"/>
    </row>
    <row r="258" spans="1:19" s="467" customFormat="1" ht="15" customHeight="1" x14ac:dyDescent="0.45">
      <c r="A258" s="1"/>
      <c r="B258" s="2" t="s">
        <v>136</v>
      </c>
      <c r="C258" s="1"/>
      <c r="E258" s="24"/>
      <c r="F258" s="24"/>
      <c r="G258" s="24"/>
      <c r="H258" s="24"/>
      <c r="I258" s="24"/>
      <c r="J258" s="24"/>
      <c r="K258" s="24"/>
      <c r="L258" s="24"/>
      <c r="M258" s="24"/>
      <c r="N258" s="24"/>
      <c r="O258" s="24"/>
      <c r="P258" s="24"/>
      <c r="Q258" s="24"/>
      <c r="R258" s="24"/>
      <c r="S258" s="24"/>
    </row>
    <row r="259" spans="1:19" s="467" customFormat="1" ht="15" customHeight="1" x14ac:dyDescent="0.45">
      <c r="A259" s="1"/>
      <c r="B259" s="2" t="s">
        <v>284</v>
      </c>
      <c r="C259" s="1"/>
      <c r="E259" s="24"/>
      <c r="F259" s="24"/>
      <c r="G259" s="24"/>
      <c r="H259" s="24"/>
      <c r="I259" s="24"/>
      <c r="J259" s="24"/>
      <c r="K259" s="24"/>
      <c r="L259" s="24"/>
      <c r="M259" s="24"/>
      <c r="N259" s="24"/>
      <c r="O259" s="24"/>
      <c r="P259" s="24"/>
      <c r="Q259" s="24"/>
      <c r="R259" s="24"/>
      <c r="S259" s="24"/>
    </row>
    <row r="260" spans="1:19" s="467" customFormat="1" ht="15" customHeight="1" x14ac:dyDescent="0.45">
      <c r="A260" s="1"/>
      <c r="B260" s="2" t="s">
        <v>278</v>
      </c>
      <c r="C260" s="1"/>
      <c r="E260" s="24"/>
      <c r="F260" s="24"/>
      <c r="G260" s="24"/>
      <c r="H260" s="24"/>
      <c r="I260" s="24"/>
      <c r="J260" s="24"/>
      <c r="K260" s="24"/>
      <c r="L260" s="24"/>
      <c r="M260" s="24"/>
      <c r="N260" s="24"/>
      <c r="O260" s="24"/>
      <c r="P260" s="24"/>
      <c r="Q260" s="24"/>
      <c r="R260" s="24"/>
      <c r="S260" s="24"/>
    </row>
    <row r="261" spans="1:19" s="467" customFormat="1" ht="15" customHeight="1" x14ac:dyDescent="0.45">
      <c r="A261" s="1"/>
      <c r="B261" s="2" t="s">
        <v>279</v>
      </c>
      <c r="C261" s="1"/>
      <c r="E261" s="24"/>
      <c r="F261" s="24"/>
      <c r="G261" s="24"/>
      <c r="H261" s="24"/>
      <c r="I261" s="24"/>
      <c r="J261" s="24"/>
      <c r="K261" s="24"/>
      <c r="L261" s="24"/>
      <c r="M261" s="24"/>
      <c r="N261" s="24"/>
      <c r="O261" s="24"/>
      <c r="P261" s="24"/>
      <c r="Q261" s="24"/>
      <c r="R261" s="24"/>
      <c r="S261" s="24"/>
    </row>
    <row r="262" spans="1:19" s="467" customFormat="1" ht="15" customHeight="1" x14ac:dyDescent="0.45">
      <c r="A262" s="1"/>
      <c r="B262" s="2" t="s">
        <v>544</v>
      </c>
      <c r="C262" s="1"/>
      <c r="E262" s="24"/>
      <c r="F262" s="24"/>
      <c r="G262" s="24"/>
      <c r="H262" s="24"/>
      <c r="I262" s="24"/>
      <c r="J262" s="24"/>
      <c r="K262" s="24"/>
      <c r="L262" s="24"/>
      <c r="M262" s="24"/>
      <c r="N262" s="24"/>
      <c r="O262" s="24"/>
      <c r="P262" s="24"/>
      <c r="Q262" s="24"/>
      <c r="R262" s="24"/>
      <c r="S262" s="24"/>
    </row>
    <row r="263" spans="1:19" s="467" customFormat="1" ht="15" customHeight="1" x14ac:dyDescent="0.45">
      <c r="A263" s="1"/>
      <c r="B263" s="2" t="s">
        <v>280</v>
      </c>
      <c r="C263" s="1"/>
      <c r="E263" s="24"/>
      <c r="F263" s="24"/>
      <c r="G263" s="24"/>
      <c r="H263" s="24"/>
      <c r="I263" s="24"/>
      <c r="J263" s="24"/>
      <c r="K263" s="24"/>
      <c r="L263" s="24"/>
      <c r="M263" s="24"/>
      <c r="N263" s="24"/>
      <c r="O263" s="24"/>
      <c r="P263" s="24"/>
      <c r="Q263" s="24"/>
      <c r="R263" s="24"/>
      <c r="S263" s="24"/>
    </row>
    <row r="264" spans="1:19" s="467" customFormat="1" ht="15" customHeight="1" x14ac:dyDescent="0.45">
      <c r="A264" s="1"/>
      <c r="B264" s="2" t="s">
        <v>281</v>
      </c>
      <c r="C264" s="1"/>
      <c r="E264" s="24"/>
      <c r="F264" s="24"/>
      <c r="G264" s="24"/>
      <c r="H264" s="24"/>
      <c r="I264" s="24"/>
      <c r="J264" s="24"/>
      <c r="K264" s="24"/>
      <c r="L264" s="24"/>
      <c r="M264" s="24"/>
      <c r="N264" s="24"/>
      <c r="O264" s="24"/>
      <c r="P264" s="24"/>
      <c r="Q264" s="24"/>
      <c r="R264" s="24"/>
      <c r="S264" s="24"/>
    </row>
    <row r="265" spans="1:19" s="1" customFormat="1" ht="15" customHeight="1" x14ac:dyDescent="0.45">
      <c r="B265" s="2" t="s">
        <v>545</v>
      </c>
      <c r="D265" s="467"/>
      <c r="E265" s="24"/>
      <c r="F265" s="24"/>
      <c r="G265" s="24"/>
      <c r="H265" s="24"/>
      <c r="I265" s="24"/>
      <c r="J265" s="24"/>
      <c r="K265" s="24"/>
      <c r="L265" s="24"/>
      <c r="M265" s="24"/>
      <c r="N265" s="24"/>
      <c r="O265" s="24"/>
      <c r="P265" s="24"/>
      <c r="Q265" s="24"/>
      <c r="R265" s="24"/>
      <c r="S265" s="24"/>
    </row>
    <row r="266" spans="1:19" s="1" customFormat="1" ht="15" customHeight="1" x14ac:dyDescent="0.45">
      <c r="B266" s="2" t="s">
        <v>546</v>
      </c>
      <c r="D266" s="467"/>
      <c r="E266" s="24"/>
      <c r="F266" s="24"/>
      <c r="G266" s="24"/>
      <c r="H266" s="24"/>
      <c r="I266" s="24"/>
      <c r="J266" s="24"/>
      <c r="K266" s="24"/>
      <c r="L266" s="24"/>
      <c r="M266" s="24"/>
      <c r="N266" s="24"/>
      <c r="O266" s="24"/>
      <c r="P266" s="24"/>
      <c r="Q266" s="24"/>
      <c r="R266" s="24"/>
      <c r="S266" s="24"/>
    </row>
    <row r="267" spans="1:19" s="1" customFormat="1" ht="15" customHeight="1" x14ac:dyDescent="0.45">
      <c r="B267" s="2" t="s">
        <v>287</v>
      </c>
      <c r="D267" s="467"/>
      <c r="E267" s="24"/>
      <c r="F267" s="24"/>
      <c r="G267" s="24"/>
      <c r="H267" s="24"/>
      <c r="I267" s="24"/>
      <c r="J267" s="24"/>
      <c r="K267" s="24"/>
      <c r="L267" s="24"/>
      <c r="M267" s="24"/>
      <c r="N267" s="24"/>
      <c r="O267" s="24"/>
      <c r="P267" s="24"/>
      <c r="Q267" s="24"/>
      <c r="R267" s="24"/>
      <c r="S267" s="24"/>
    </row>
    <row r="268" spans="1:19" s="1" customFormat="1" ht="15" customHeight="1" x14ac:dyDescent="0.45">
      <c r="B268" s="2" t="s">
        <v>298</v>
      </c>
      <c r="D268" s="467"/>
      <c r="E268" s="24"/>
      <c r="F268" s="24"/>
      <c r="G268" s="24"/>
      <c r="H268" s="24"/>
      <c r="I268" s="24"/>
      <c r="J268" s="24"/>
      <c r="K268" s="24"/>
      <c r="L268" s="24"/>
      <c r="M268" s="24"/>
      <c r="N268" s="24"/>
      <c r="O268" s="24"/>
      <c r="P268" s="24"/>
      <c r="Q268" s="24"/>
      <c r="R268" s="24"/>
      <c r="S268" s="24"/>
    </row>
    <row r="269" spans="1:19" s="1" customFormat="1" ht="15" customHeight="1" x14ac:dyDescent="0.45">
      <c r="B269" s="2" t="s">
        <v>296</v>
      </c>
      <c r="D269" s="467"/>
      <c r="E269" s="24"/>
      <c r="F269" s="24"/>
      <c r="G269" s="24"/>
      <c r="H269" s="24"/>
      <c r="I269" s="24"/>
      <c r="J269" s="24"/>
      <c r="K269" s="24"/>
      <c r="L269" s="24"/>
      <c r="M269" s="24"/>
      <c r="N269" s="24"/>
      <c r="O269" s="24"/>
      <c r="P269" s="24"/>
      <c r="Q269" s="24"/>
      <c r="R269" s="24"/>
      <c r="S269" s="24"/>
    </row>
    <row r="270" spans="1:19" s="1" customFormat="1" ht="15" customHeight="1" x14ac:dyDescent="0.45">
      <c r="B270" s="2" t="s">
        <v>297</v>
      </c>
      <c r="D270" s="467"/>
      <c r="E270" s="24"/>
      <c r="F270" s="24"/>
      <c r="G270" s="24"/>
      <c r="H270" s="24"/>
      <c r="I270" s="24"/>
      <c r="J270" s="24"/>
      <c r="K270" s="24"/>
      <c r="L270" s="24"/>
      <c r="M270" s="24"/>
      <c r="N270" s="24"/>
      <c r="O270" s="24"/>
      <c r="P270" s="24"/>
      <c r="Q270" s="24"/>
      <c r="R270" s="24"/>
      <c r="S270" s="24"/>
    </row>
    <row r="271" spans="1:19" s="1" customFormat="1" ht="15" customHeight="1" x14ac:dyDescent="0.45">
      <c r="B271" s="2" t="s">
        <v>292</v>
      </c>
      <c r="D271" s="467"/>
      <c r="E271" s="24"/>
      <c r="F271" s="24"/>
      <c r="G271" s="24"/>
      <c r="H271" s="24"/>
      <c r="I271" s="24"/>
      <c r="J271" s="24"/>
      <c r="K271" s="24"/>
      <c r="L271" s="24"/>
      <c r="M271" s="24"/>
      <c r="N271" s="24"/>
      <c r="O271" s="24"/>
      <c r="P271" s="24"/>
      <c r="Q271" s="24"/>
      <c r="R271" s="24"/>
      <c r="S271" s="24"/>
    </row>
    <row r="272" spans="1:19" s="1" customFormat="1" ht="15" customHeight="1" x14ac:dyDescent="0.45">
      <c r="B272" s="2" t="s">
        <v>293</v>
      </c>
      <c r="D272" s="467"/>
      <c r="E272" s="24"/>
      <c r="F272" s="24"/>
      <c r="G272" s="24"/>
      <c r="H272" s="24"/>
      <c r="I272" s="24"/>
      <c r="J272" s="24"/>
      <c r="K272" s="24"/>
      <c r="L272" s="24"/>
      <c r="M272" s="24"/>
      <c r="N272" s="24"/>
      <c r="O272" s="24"/>
      <c r="P272" s="24"/>
      <c r="Q272" s="24"/>
      <c r="R272" s="24"/>
      <c r="S272" s="24"/>
    </row>
    <row r="273" spans="2:19" s="1" customFormat="1" ht="15" customHeight="1" x14ac:dyDescent="0.45">
      <c r="B273" s="2" t="s">
        <v>547</v>
      </c>
      <c r="D273" s="467"/>
      <c r="E273" s="24"/>
      <c r="F273" s="24"/>
      <c r="G273" s="24"/>
      <c r="H273" s="24"/>
      <c r="I273" s="24"/>
      <c r="J273" s="24"/>
      <c r="K273" s="24"/>
      <c r="L273" s="24"/>
      <c r="M273" s="24"/>
      <c r="N273" s="24"/>
      <c r="O273" s="24"/>
      <c r="P273" s="24"/>
      <c r="Q273" s="24"/>
      <c r="R273" s="24"/>
      <c r="S273" s="24"/>
    </row>
    <row r="274" spans="2:19" s="1" customFormat="1" ht="15" customHeight="1" x14ac:dyDescent="0.45">
      <c r="B274" s="2" t="s">
        <v>294</v>
      </c>
      <c r="D274" s="467"/>
      <c r="E274" s="24"/>
      <c r="F274" s="24"/>
      <c r="G274" s="24"/>
      <c r="H274" s="24"/>
      <c r="I274" s="24"/>
      <c r="J274" s="24"/>
      <c r="K274" s="24"/>
      <c r="L274" s="24"/>
      <c r="M274" s="24"/>
      <c r="N274" s="24"/>
      <c r="O274" s="24"/>
      <c r="P274" s="24"/>
      <c r="Q274" s="24"/>
      <c r="R274" s="24"/>
      <c r="S274" s="24"/>
    </row>
    <row r="275" spans="2:19" s="1" customFormat="1" ht="15" customHeight="1" x14ac:dyDescent="0.45">
      <c r="B275" s="2" t="s">
        <v>291</v>
      </c>
      <c r="D275" s="467"/>
      <c r="E275" s="24"/>
      <c r="F275" s="24"/>
      <c r="G275" s="24"/>
      <c r="H275" s="24"/>
      <c r="I275" s="24"/>
      <c r="J275" s="24"/>
      <c r="K275" s="24"/>
      <c r="L275" s="24"/>
      <c r="M275" s="24"/>
      <c r="N275" s="24"/>
      <c r="O275" s="24"/>
      <c r="P275" s="24"/>
      <c r="Q275" s="24"/>
      <c r="R275" s="24"/>
      <c r="S275" s="24"/>
    </row>
    <row r="276" spans="2:19" s="1" customFormat="1" ht="15" customHeight="1" x14ac:dyDescent="0.45">
      <c r="B276" s="2" t="s">
        <v>290</v>
      </c>
      <c r="D276" s="467"/>
      <c r="E276" s="24"/>
      <c r="F276" s="24"/>
      <c r="G276" s="24"/>
      <c r="H276" s="24"/>
      <c r="I276" s="24"/>
      <c r="J276" s="24"/>
      <c r="K276" s="24"/>
      <c r="L276" s="24"/>
      <c r="M276" s="24"/>
      <c r="N276" s="24"/>
      <c r="O276" s="24"/>
      <c r="P276" s="24"/>
      <c r="Q276" s="24"/>
      <c r="R276" s="24"/>
      <c r="S276" s="24"/>
    </row>
    <row r="277" spans="2:19" s="1" customFormat="1" ht="15" customHeight="1" x14ac:dyDescent="0.45">
      <c r="B277" s="2" t="s">
        <v>289</v>
      </c>
      <c r="D277" s="467"/>
      <c r="E277" s="24"/>
      <c r="F277" s="24"/>
      <c r="G277" s="24"/>
      <c r="H277" s="24"/>
      <c r="I277" s="24"/>
      <c r="J277" s="24"/>
      <c r="K277" s="24"/>
      <c r="L277" s="24"/>
      <c r="M277" s="24"/>
      <c r="N277" s="24"/>
      <c r="O277" s="24"/>
      <c r="P277" s="24"/>
      <c r="Q277" s="24"/>
      <c r="R277" s="24"/>
      <c r="S277" s="24"/>
    </row>
    <row r="278" spans="2:19" s="1" customFormat="1" ht="15" customHeight="1" x14ac:dyDescent="0.45">
      <c r="B278" s="2" t="s">
        <v>548</v>
      </c>
      <c r="D278" s="467"/>
      <c r="E278" s="24"/>
      <c r="F278" s="24"/>
      <c r="G278" s="24"/>
      <c r="H278" s="24"/>
      <c r="I278" s="24"/>
      <c r="J278" s="24"/>
      <c r="K278" s="24"/>
      <c r="L278" s="24"/>
      <c r="M278" s="24"/>
      <c r="N278" s="24"/>
      <c r="O278" s="24"/>
      <c r="P278" s="24"/>
      <c r="Q278" s="24"/>
      <c r="R278" s="24"/>
      <c r="S278" s="24"/>
    </row>
    <row r="279" spans="2:19" s="1" customFormat="1" ht="15" customHeight="1" x14ac:dyDescent="0.45">
      <c r="B279" s="2" t="s">
        <v>300</v>
      </c>
      <c r="D279" s="467"/>
      <c r="E279" s="24"/>
      <c r="F279" s="24"/>
      <c r="G279" s="24"/>
      <c r="H279" s="24"/>
      <c r="I279" s="24"/>
      <c r="J279" s="24"/>
      <c r="K279" s="24"/>
      <c r="L279" s="24"/>
      <c r="M279" s="24"/>
      <c r="N279" s="24"/>
      <c r="O279" s="24"/>
      <c r="P279" s="24"/>
      <c r="Q279" s="24"/>
      <c r="R279" s="24"/>
      <c r="S279" s="24"/>
    </row>
    <row r="281" spans="2:19" s="1" customFormat="1" ht="15" customHeight="1" x14ac:dyDescent="0.45">
      <c r="B281" s="2" t="s">
        <v>303</v>
      </c>
      <c r="D281" s="467"/>
      <c r="E281" s="24"/>
      <c r="F281" s="24"/>
      <c r="G281" s="24"/>
      <c r="H281" s="24"/>
      <c r="I281" s="24"/>
      <c r="J281" s="24"/>
      <c r="K281" s="24"/>
      <c r="L281" s="24"/>
      <c r="M281" s="24"/>
      <c r="N281" s="24"/>
      <c r="O281" s="24"/>
      <c r="P281" s="24"/>
      <c r="Q281" s="24"/>
      <c r="R281" s="24"/>
      <c r="S281" s="24"/>
    </row>
    <row r="282" spans="2:19" s="1" customFormat="1" ht="15" customHeight="1" x14ac:dyDescent="0.45">
      <c r="B282" s="2" t="s">
        <v>304</v>
      </c>
      <c r="D282" s="467"/>
      <c r="E282" s="24"/>
      <c r="F282" s="24"/>
      <c r="G282" s="24"/>
      <c r="H282" s="24"/>
      <c r="I282" s="24"/>
      <c r="J282" s="24"/>
      <c r="K282" s="24"/>
      <c r="L282" s="24"/>
      <c r="M282" s="24"/>
      <c r="N282" s="24"/>
      <c r="O282" s="24"/>
      <c r="P282" s="24"/>
      <c r="Q282" s="24"/>
      <c r="R282" s="24"/>
      <c r="S282" s="24"/>
    </row>
    <row r="283" spans="2:19" s="1" customFormat="1" ht="15" customHeight="1" x14ac:dyDescent="0.45">
      <c r="B283" s="2" t="s">
        <v>314</v>
      </c>
      <c r="D283" s="467"/>
      <c r="E283" s="24"/>
      <c r="F283" s="24"/>
      <c r="G283" s="24"/>
      <c r="H283" s="24"/>
      <c r="I283" s="24"/>
      <c r="J283" s="24"/>
      <c r="K283" s="24"/>
      <c r="L283" s="24"/>
      <c r="M283" s="24"/>
      <c r="N283" s="24"/>
      <c r="O283" s="24"/>
      <c r="P283" s="24"/>
      <c r="Q283" s="24"/>
      <c r="R283" s="24"/>
      <c r="S283" s="24"/>
    </row>
    <row r="284" spans="2:19" s="1" customFormat="1" ht="15" customHeight="1" x14ac:dyDescent="0.45">
      <c r="B284" s="2" t="s">
        <v>310</v>
      </c>
      <c r="D284" s="467"/>
      <c r="E284" s="24"/>
      <c r="F284" s="24"/>
      <c r="G284" s="24"/>
      <c r="H284" s="24"/>
      <c r="I284" s="24"/>
      <c r="J284" s="24"/>
      <c r="K284" s="24"/>
      <c r="L284" s="24"/>
      <c r="M284" s="24"/>
      <c r="N284" s="24"/>
      <c r="O284" s="24"/>
      <c r="P284" s="24"/>
      <c r="Q284" s="24"/>
      <c r="R284" s="24"/>
      <c r="S284" s="24"/>
    </row>
    <row r="285" spans="2:19" s="1" customFormat="1" ht="15" customHeight="1" x14ac:dyDescent="0.45">
      <c r="B285" s="2" t="s">
        <v>311</v>
      </c>
      <c r="D285" s="467"/>
      <c r="E285" s="24"/>
      <c r="F285" s="24"/>
      <c r="G285" s="24"/>
      <c r="H285" s="24"/>
      <c r="I285" s="24"/>
      <c r="J285" s="24"/>
      <c r="K285" s="24"/>
      <c r="L285" s="24"/>
      <c r="M285" s="24"/>
      <c r="N285" s="24"/>
      <c r="O285" s="24"/>
      <c r="P285" s="24"/>
      <c r="Q285" s="24"/>
      <c r="R285" s="24"/>
      <c r="S285" s="24"/>
    </row>
    <row r="286" spans="2:19" s="1" customFormat="1" ht="15" customHeight="1" x14ac:dyDescent="0.45">
      <c r="B286" s="2" t="s">
        <v>305</v>
      </c>
      <c r="D286" s="467"/>
      <c r="E286" s="24"/>
      <c r="F286" s="24"/>
      <c r="G286" s="24"/>
      <c r="H286" s="24"/>
      <c r="I286" s="24"/>
      <c r="J286" s="24"/>
      <c r="K286" s="24"/>
      <c r="L286" s="24"/>
      <c r="M286" s="24"/>
      <c r="N286" s="24"/>
      <c r="O286" s="24"/>
      <c r="P286" s="24"/>
      <c r="Q286" s="24"/>
      <c r="R286" s="24"/>
      <c r="S286" s="24"/>
    </row>
    <row r="287" spans="2:19" s="1" customFormat="1" ht="15" customHeight="1" x14ac:dyDescent="0.45">
      <c r="B287" s="2" t="s">
        <v>306</v>
      </c>
      <c r="D287" s="467"/>
      <c r="E287" s="24"/>
      <c r="F287" s="24"/>
      <c r="G287" s="24"/>
      <c r="H287" s="24"/>
      <c r="I287" s="24"/>
      <c r="J287" s="24"/>
      <c r="K287" s="24"/>
      <c r="L287" s="24"/>
      <c r="M287" s="24"/>
      <c r="N287" s="24"/>
      <c r="O287" s="24"/>
      <c r="P287" s="24"/>
      <c r="Q287" s="24"/>
      <c r="R287" s="24"/>
      <c r="S287" s="24"/>
    </row>
    <row r="288" spans="2:19" s="1" customFormat="1" ht="15" customHeight="1" x14ac:dyDescent="0.45">
      <c r="B288" s="2" t="s">
        <v>308</v>
      </c>
      <c r="D288" s="467"/>
      <c r="E288" s="24"/>
      <c r="F288" s="24"/>
      <c r="G288" s="24"/>
      <c r="H288" s="24"/>
      <c r="I288" s="24"/>
      <c r="J288" s="24"/>
      <c r="K288" s="24"/>
      <c r="L288" s="24"/>
      <c r="M288" s="24"/>
      <c r="N288" s="24"/>
      <c r="O288" s="24"/>
      <c r="P288" s="24"/>
      <c r="Q288" s="24"/>
      <c r="R288" s="24"/>
      <c r="S288" s="24"/>
    </row>
    <row r="289" spans="2:19" s="1" customFormat="1" ht="15" customHeight="1" x14ac:dyDescent="0.45">
      <c r="B289" s="2" t="s">
        <v>312</v>
      </c>
      <c r="D289" s="467"/>
      <c r="E289" s="24"/>
      <c r="F289" s="24"/>
      <c r="G289" s="24"/>
      <c r="H289" s="24"/>
      <c r="I289" s="24"/>
      <c r="J289" s="24"/>
      <c r="K289" s="24"/>
      <c r="L289" s="24"/>
      <c r="M289" s="24"/>
      <c r="N289" s="24"/>
      <c r="O289" s="24"/>
      <c r="P289" s="24"/>
      <c r="Q289" s="24"/>
      <c r="R289" s="24"/>
      <c r="S289" s="24"/>
    </row>
    <row r="290" spans="2:19" s="1" customFormat="1" ht="15" customHeight="1" x14ac:dyDescent="0.45">
      <c r="B290" s="2" t="s">
        <v>315</v>
      </c>
      <c r="D290" s="467"/>
      <c r="E290" s="24"/>
      <c r="F290" s="24"/>
      <c r="G290" s="24"/>
      <c r="H290" s="24"/>
      <c r="I290" s="24"/>
      <c r="J290" s="24"/>
      <c r="K290" s="24"/>
      <c r="L290" s="24"/>
      <c r="M290" s="24"/>
      <c r="N290" s="24"/>
      <c r="O290" s="24"/>
      <c r="P290" s="24"/>
      <c r="Q290" s="24"/>
      <c r="R290" s="24"/>
      <c r="S290" s="24"/>
    </row>
    <row r="291" spans="2:19" s="1" customFormat="1" ht="15" customHeight="1" x14ac:dyDescent="0.45">
      <c r="B291" s="2" t="s">
        <v>317</v>
      </c>
      <c r="D291" s="467"/>
      <c r="E291" s="24"/>
      <c r="F291" s="24"/>
      <c r="G291" s="24"/>
      <c r="H291" s="24"/>
      <c r="I291" s="24"/>
      <c r="J291" s="24"/>
      <c r="K291" s="24"/>
      <c r="L291" s="24"/>
      <c r="M291" s="24"/>
      <c r="N291" s="24"/>
      <c r="O291" s="24"/>
      <c r="P291" s="24"/>
      <c r="Q291" s="24"/>
      <c r="R291" s="24"/>
      <c r="S291" s="24"/>
    </row>
    <row r="292" spans="2:19" s="1" customFormat="1" ht="15" customHeight="1" x14ac:dyDescent="0.45">
      <c r="B292" s="2" t="s">
        <v>418</v>
      </c>
      <c r="D292" s="467"/>
      <c r="E292" s="24"/>
      <c r="F292" s="24"/>
      <c r="G292" s="24"/>
      <c r="H292" s="24"/>
      <c r="I292" s="24"/>
      <c r="J292" s="24"/>
      <c r="K292" s="24"/>
      <c r="L292" s="24"/>
      <c r="M292" s="24"/>
      <c r="N292" s="24"/>
      <c r="O292" s="24"/>
      <c r="P292" s="24"/>
      <c r="Q292" s="24"/>
      <c r="R292" s="24"/>
      <c r="S292" s="24"/>
    </row>
    <row r="293" spans="2:19" s="1" customFormat="1" ht="15" customHeight="1" x14ac:dyDescent="0.45">
      <c r="B293" s="2"/>
      <c r="D293" s="467"/>
      <c r="E293" s="24"/>
      <c r="F293" s="24"/>
      <c r="G293" s="24"/>
      <c r="H293" s="24"/>
      <c r="I293" s="24"/>
      <c r="J293" s="24"/>
      <c r="K293" s="24"/>
      <c r="L293" s="24"/>
      <c r="M293" s="24"/>
      <c r="N293" s="24"/>
      <c r="O293" s="24"/>
      <c r="P293" s="24"/>
      <c r="Q293" s="24"/>
      <c r="R293" s="24"/>
      <c r="S293" s="24"/>
    </row>
    <row r="294" spans="2:19" s="1" customFormat="1" ht="15" customHeight="1" x14ac:dyDescent="0.45">
      <c r="B294" s="2"/>
      <c r="D294" s="467"/>
      <c r="E294" s="24"/>
      <c r="F294" s="24"/>
      <c r="G294" s="24"/>
      <c r="H294" s="24"/>
      <c r="I294" s="24"/>
      <c r="J294" s="24"/>
      <c r="K294" s="24"/>
      <c r="L294" s="24"/>
      <c r="M294" s="24"/>
      <c r="N294" s="24"/>
      <c r="O294" s="24"/>
      <c r="P294" s="24"/>
      <c r="Q294" s="24"/>
      <c r="R294" s="24"/>
      <c r="S294" s="24"/>
    </row>
  </sheetData>
  <dataValidations count="4">
    <dataValidation type="list" allowBlank="1" showInputMessage="1" showErrorMessage="1" sqref="B114:B132" xr:uid="{FD0BBE34-04FF-C148-9F6C-7B7B304B3F14}">
      <formula1>$B$279:$B$293</formula1>
    </dataValidation>
    <dataValidation type="list" allowBlank="1" showInputMessage="1" showErrorMessage="1" sqref="B62:B109" xr:uid="{F337D9B0-6284-4C9D-9154-37C4AACBC0F2}">
      <formula1>$B$256:$B$279</formula1>
    </dataValidation>
    <dataValidation type="list" allowBlank="1" showInputMessage="1" showErrorMessage="1" sqref="B113 B171:B224 B133:B168" xr:uid="{DD8C1D66-BD45-4D22-9971-7D1C19A34B46}">
      <formula1>$B$281:$B$295</formula1>
    </dataValidation>
    <dataValidation type="list" allowBlank="1" showInputMessage="1" showErrorMessage="1" sqref="B37:B42 B45:B58 B8:B19 B21 B23:B35" xr:uid="{BDC33ED4-AB95-4839-97A8-D2CECB414E93}">
      <formula1>B$238:B$255</formula1>
    </dataValidation>
  </dataValidations>
  <pageMargins left="0.75" right="0.75" top="1" bottom="1" header="0.5" footer="0.5"/>
  <pageSetup orientation="portrait" horizontalDpi="4294967293" verticalDpi="0"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2F93E-71E1-4221-89F8-6F1D9DDF4487}">
  <dimension ref="A2:S292"/>
  <sheetViews>
    <sheetView showGridLines="0" topLeftCell="A12" workbookViewId="0">
      <selection activeCell="D59" sqref="B59:D59"/>
    </sheetView>
  </sheetViews>
  <sheetFormatPr defaultColWidth="9.1328125" defaultRowHeight="15" customHeight="1" x14ac:dyDescent="0.45"/>
  <cols>
    <col min="1" max="1" width="3.46484375" style="1" customWidth="1"/>
    <col min="2" max="2" width="29.6640625" style="1" customWidth="1"/>
    <col min="3" max="3" width="3.46484375" style="1" customWidth="1"/>
    <col min="4" max="4" width="43.1328125" style="467" bestFit="1" customWidth="1"/>
    <col min="5" max="11" width="10.6640625" style="24" bestFit="1" customWidth="1"/>
    <col min="12" max="13" width="10.6640625" style="24" customWidth="1"/>
    <col min="14" max="17" width="10.6640625" style="24" bestFit="1" customWidth="1"/>
    <col min="18" max="19" width="10.1328125" style="24" bestFit="1" customWidth="1"/>
    <col min="20" max="16384" width="9.1328125" style="24"/>
  </cols>
  <sheetData>
    <row r="2" spans="1:19" ht="15" customHeight="1" x14ac:dyDescent="0.45">
      <c r="B2" s="495" t="s">
        <v>420</v>
      </c>
      <c r="C2" s="494"/>
      <c r="D2" s="493">
        <f>SUM(F105:M105)</f>
        <v>-9.9999997473787516E-4</v>
      </c>
    </row>
    <row r="3" spans="1:19" s="1" customFormat="1" ht="15" customHeight="1" x14ac:dyDescent="0.45">
      <c r="D3" s="467"/>
    </row>
    <row r="4" spans="1:19" s="1" customFormat="1" ht="15" customHeight="1" x14ac:dyDescent="0.45">
      <c r="B4" s="1" t="s">
        <v>421</v>
      </c>
      <c r="D4" s="467" t="s">
        <v>422</v>
      </c>
    </row>
    <row r="5" spans="1:19" s="1" customFormat="1" ht="15" customHeight="1" x14ac:dyDescent="0.45">
      <c r="B5" s="1" t="s">
        <v>423</v>
      </c>
      <c r="D5" s="492">
        <v>1000</v>
      </c>
    </row>
    <row r="6" spans="1:19" s="1" customFormat="1" ht="15" customHeight="1" x14ac:dyDescent="0.45">
      <c r="D6" s="467"/>
      <c r="E6" s="21">
        <v>2015</v>
      </c>
      <c r="F6" s="21">
        <f t="shared" ref="F6:S6" si="0">E6+1</f>
        <v>2016</v>
      </c>
      <c r="G6" s="21">
        <f t="shared" si="0"/>
        <v>2017</v>
      </c>
      <c r="H6" s="21">
        <f t="shared" si="0"/>
        <v>2018</v>
      </c>
      <c r="I6" s="21">
        <f t="shared" si="0"/>
        <v>2019</v>
      </c>
      <c r="J6" s="21">
        <f t="shared" si="0"/>
        <v>2020</v>
      </c>
      <c r="K6" s="21">
        <f t="shared" si="0"/>
        <v>2021</v>
      </c>
      <c r="L6" s="21">
        <f t="shared" si="0"/>
        <v>2022</v>
      </c>
      <c r="M6" s="21">
        <f t="shared" si="0"/>
        <v>2023</v>
      </c>
      <c r="N6" s="21">
        <f t="shared" si="0"/>
        <v>2024</v>
      </c>
      <c r="O6" s="22">
        <f t="shared" si="0"/>
        <v>2025</v>
      </c>
      <c r="P6" s="22">
        <f t="shared" si="0"/>
        <v>2026</v>
      </c>
      <c r="Q6" s="22">
        <f t="shared" si="0"/>
        <v>2027</v>
      </c>
      <c r="R6" s="22">
        <f t="shared" si="0"/>
        <v>2028</v>
      </c>
      <c r="S6" s="22">
        <f t="shared" si="0"/>
        <v>2029</v>
      </c>
    </row>
    <row r="7" spans="1:19" s="1" customFormat="1" ht="15" customHeight="1" x14ac:dyDescent="0.45">
      <c r="B7" s="3" t="s">
        <v>405</v>
      </c>
      <c r="C7" s="3"/>
      <c r="D7" s="485" t="s">
        <v>424</v>
      </c>
    </row>
    <row r="8" spans="1:19" ht="15" customHeight="1" x14ac:dyDescent="0.45">
      <c r="B8" s="2"/>
      <c r="D8" s="485"/>
      <c r="E8" s="23"/>
      <c r="F8" s="23"/>
      <c r="G8" s="23"/>
      <c r="H8" s="23"/>
      <c r="I8" s="23"/>
      <c r="J8" s="23"/>
      <c r="K8" s="23"/>
      <c r="L8" s="23"/>
      <c r="M8" s="23"/>
      <c r="N8" s="23"/>
      <c r="O8" s="23"/>
      <c r="P8" s="23"/>
      <c r="Q8" s="23"/>
      <c r="R8" s="23"/>
      <c r="S8" s="23"/>
    </row>
    <row r="9" spans="1:19" ht="15" customHeight="1" x14ac:dyDescent="0.45">
      <c r="B9" s="2" t="s">
        <v>406</v>
      </c>
      <c r="D9" s="492" t="s">
        <v>655</v>
      </c>
      <c r="E9" s="25">
        <f>+GSK!B21/$D$5</f>
        <v>32954.658000000003</v>
      </c>
      <c r="F9" s="25">
        <f>+GSK!C21/$D$5</f>
        <v>34142.589999999997</v>
      </c>
      <c r="G9" s="25">
        <f>+GSK!D21/$D$5</f>
        <v>34457.760999999999</v>
      </c>
      <c r="H9" s="25">
        <f>+GSK!E21/$D$5</f>
        <v>34841.553</v>
      </c>
      <c r="I9" s="25">
        <f>+GSK!F21/$D$5</f>
        <v>38488.834000000003</v>
      </c>
      <c r="J9" s="25">
        <f>+GSK!G21/$D$5</f>
        <v>27403.152999999998</v>
      </c>
      <c r="K9" s="25">
        <f>+GSK!H21/$D$5</f>
        <v>28731.919999999998</v>
      </c>
      <c r="L9" s="25">
        <f>+GSK!I21/$D$5</f>
        <v>34399.976999999999</v>
      </c>
      <c r="M9" s="25">
        <f>+GSK!J21/$D$5</f>
        <v>34874.021000000001</v>
      </c>
      <c r="N9" s="25">
        <f>+GSK!K21/$D$5</f>
        <v>37066.156000000003</v>
      </c>
      <c r="O9" s="25">
        <f>+GSK!L21/$D$5</f>
        <v>0</v>
      </c>
      <c r="P9" s="25">
        <f>+GSK!M21/$D$5</f>
        <v>0</v>
      </c>
      <c r="Q9" s="25">
        <f>+GSK!N21/$D$5</f>
        <v>0</v>
      </c>
      <c r="R9" s="25">
        <f>+GSK!O21/$D$5</f>
        <v>0</v>
      </c>
      <c r="S9" s="25">
        <f>+GSK!P21/$D$5</f>
        <v>0</v>
      </c>
    </row>
    <row r="10" spans="1:19" s="30" customFormat="1" ht="15" customHeight="1" x14ac:dyDescent="0.45">
      <c r="A10" s="4"/>
      <c r="B10" s="2"/>
      <c r="C10" s="4"/>
      <c r="D10" s="478" t="s">
        <v>428</v>
      </c>
      <c r="E10" s="477">
        <f t="shared" ref="E10:N10" si="1">SUM(E9:E9)</f>
        <v>32954.658000000003</v>
      </c>
      <c r="F10" s="477">
        <f t="shared" si="1"/>
        <v>34142.589999999997</v>
      </c>
      <c r="G10" s="477">
        <f t="shared" si="1"/>
        <v>34457.760999999999</v>
      </c>
      <c r="H10" s="477">
        <f t="shared" si="1"/>
        <v>34841.553</v>
      </c>
      <c r="I10" s="477">
        <f t="shared" si="1"/>
        <v>38488.834000000003</v>
      </c>
      <c r="J10" s="477">
        <f t="shared" si="1"/>
        <v>27403.152999999998</v>
      </c>
      <c r="K10" s="477">
        <f t="shared" si="1"/>
        <v>28731.919999999998</v>
      </c>
      <c r="L10" s="477">
        <f t="shared" si="1"/>
        <v>34399.976999999999</v>
      </c>
      <c r="M10" s="477">
        <f t="shared" si="1"/>
        <v>34874.021000000001</v>
      </c>
      <c r="N10" s="477">
        <f t="shared" si="1"/>
        <v>37066.156000000003</v>
      </c>
      <c r="O10" s="477"/>
      <c r="P10" s="477"/>
      <c r="Q10" s="477"/>
      <c r="R10" s="477"/>
      <c r="S10" s="477"/>
    </row>
    <row r="11" spans="1:19" s="26" customFormat="1" ht="15" customHeight="1" x14ac:dyDescent="0.45">
      <c r="A11" s="4"/>
      <c r="B11" s="2"/>
      <c r="C11" s="4"/>
      <c r="D11" s="479"/>
      <c r="E11" s="23"/>
      <c r="F11" s="23"/>
      <c r="G11" s="23"/>
      <c r="H11" s="23"/>
      <c r="I11" s="23"/>
      <c r="J11" s="23"/>
      <c r="K11" s="23"/>
      <c r="L11" s="23"/>
      <c r="M11" s="23"/>
      <c r="N11" s="23"/>
      <c r="O11" s="23"/>
      <c r="P11" s="23"/>
      <c r="Q11" s="23"/>
      <c r="R11" s="23"/>
      <c r="S11" s="23"/>
    </row>
    <row r="12" spans="1:19" s="26" customFormat="1" ht="15" customHeight="1" x14ac:dyDescent="0.45">
      <c r="A12" s="4"/>
      <c r="B12" s="2" t="s">
        <v>267</v>
      </c>
      <c r="C12" s="4"/>
      <c r="D12" s="510" t="s">
        <v>656</v>
      </c>
      <c r="E12" s="25">
        <f>-GSK!B23/$D$5</f>
        <v>-12195.276</v>
      </c>
      <c r="F12" s="25">
        <f>-GSK!C23/$D$5</f>
        <v>-10904.228999999999</v>
      </c>
      <c r="G12" s="25">
        <f>-GSK!D23/$D$5</f>
        <v>-10635.492</v>
      </c>
      <c r="H12" s="25">
        <f>-GSK!E23/$D$5</f>
        <v>-10981.177</v>
      </c>
      <c r="I12" s="25">
        <f>-GSK!F23/$D$5</f>
        <v>-12305.844999999999</v>
      </c>
      <c r="J12" s="25">
        <f>-GSK!G23/$D$5</f>
        <v>-8237.5990000000002</v>
      </c>
      <c r="K12" s="25">
        <f>-GSK!H23/$D$5</f>
        <v>-9345.7849999999999</v>
      </c>
      <c r="L12" s="25">
        <f>-GSK!I23/$D$5</f>
        <v>-11035.349</v>
      </c>
      <c r="M12" s="25">
        <f>-GSK!J23/$D$5</f>
        <v>-9645.3209999999999</v>
      </c>
      <c r="N12" s="25">
        <f>-GSK!K23/$D$5</f>
        <v>-10449.074000000001</v>
      </c>
      <c r="O12" s="23"/>
      <c r="P12" s="23"/>
      <c r="Q12" s="23"/>
      <c r="R12" s="23"/>
      <c r="S12" s="23"/>
    </row>
    <row r="13" spans="1:19" s="29" customFormat="1" ht="15" customHeight="1" x14ac:dyDescent="0.45">
      <c r="A13" s="1"/>
      <c r="B13" s="2"/>
      <c r="C13" s="1"/>
      <c r="D13" s="478" t="s">
        <v>430</v>
      </c>
      <c r="E13" s="477">
        <f t="shared" ref="E13:N13" si="2">SUM(E10,E12)</f>
        <v>20759.382000000005</v>
      </c>
      <c r="F13" s="477">
        <f t="shared" si="2"/>
        <v>23238.360999999997</v>
      </c>
      <c r="G13" s="477">
        <f t="shared" si="2"/>
        <v>23822.269</v>
      </c>
      <c r="H13" s="477">
        <f t="shared" si="2"/>
        <v>23860.376</v>
      </c>
      <c r="I13" s="477">
        <f t="shared" si="2"/>
        <v>26182.989000000001</v>
      </c>
      <c r="J13" s="477">
        <f t="shared" si="2"/>
        <v>19165.553999999996</v>
      </c>
      <c r="K13" s="477">
        <f t="shared" si="2"/>
        <v>19386.134999999998</v>
      </c>
      <c r="L13" s="477">
        <f t="shared" si="2"/>
        <v>23364.627999999997</v>
      </c>
      <c r="M13" s="477">
        <f t="shared" si="2"/>
        <v>25228.7</v>
      </c>
      <c r="N13" s="477">
        <f t="shared" si="2"/>
        <v>26617.082000000002</v>
      </c>
      <c r="O13" s="477"/>
      <c r="P13" s="477"/>
      <c r="Q13" s="477"/>
      <c r="R13" s="477"/>
      <c r="S13" s="477"/>
    </row>
    <row r="14" spans="1:19" ht="15" customHeight="1" x14ac:dyDescent="0.45">
      <c r="B14" s="2"/>
      <c r="D14" s="479"/>
      <c r="E14" s="23"/>
      <c r="F14" s="23"/>
      <c r="G14" s="23"/>
      <c r="H14" s="23"/>
      <c r="I14" s="23"/>
      <c r="J14" s="23"/>
      <c r="K14" s="23"/>
      <c r="L14" s="23"/>
      <c r="M14" s="23"/>
      <c r="N14" s="23"/>
      <c r="O14" s="23"/>
      <c r="P14" s="23"/>
      <c r="Q14" s="23"/>
      <c r="R14" s="23"/>
      <c r="S14" s="23"/>
    </row>
    <row r="15" spans="1:19" s="26" customFormat="1" ht="15" customHeight="1" x14ac:dyDescent="0.45">
      <c r="A15" s="4"/>
      <c r="B15" s="2" t="s">
        <v>268</v>
      </c>
      <c r="C15" s="4"/>
      <c r="D15" s="510" t="s">
        <v>586</v>
      </c>
      <c r="E15" s="25">
        <f>-GSK!B26/$D$5</f>
        <v>-12717.36</v>
      </c>
      <c r="F15" s="25">
        <f>-GSK!C26/$D$5</f>
        <v>-10836.897000000001</v>
      </c>
      <c r="G15" s="25">
        <f>-GSK!D26/$D$5</f>
        <v>-10757.634</v>
      </c>
      <c r="H15" s="25">
        <f>-GSK!E26/$D$5</f>
        <v>-10739.261</v>
      </c>
      <c r="I15" s="25">
        <f>-GSK!F26/$D$5</f>
        <v>-12499.691999999999</v>
      </c>
      <c r="J15" s="25">
        <f>-GSK!G26/$D$5</f>
        <v>-7922.5429999999997</v>
      </c>
      <c r="K15" s="25">
        <f>-GSK!H26/$D$5</f>
        <v>-7892.6689999999999</v>
      </c>
      <c r="L15" s="25">
        <f>-GSK!I26/$D$5</f>
        <v>-9594.7829999999994</v>
      </c>
      <c r="M15" s="25">
        <f>-GSK!J26/$D$5</f>
        <v>-10528.44</v>
      </c>
      <c r="N15" s="25">
        <f>-GSK!K26/$D$5</f>
        <v>-12821.233</v>
      </c>
      <c r="O15" s="23"/>
      <c r="P15" s="23"/>
      <c r="Q15" s="23"/>
      <c r="R15" s="23"/>
      <c r="S15" s="23"/>
    </row>
    <row r="16" spans="1:19" s="26" customFormat="1" ht="15" customHeight="1" x14ac:dyDescent="0.45">
      <c r="A16" s="4"/>
      <c r="B16" s="2" t="s">
        <v>269</v>
      </c>
      <c r="C16" s="4"/>
      <c r="D16" s="510" t="s">
        <v>630</v>
      </c>
      <c r="E16" s="25">
        <f>-GSK!B27/$D$5</f>
        <v>-4904.0079999999998</v>
      </c>
      <c r="F16" s="25">
        <f>-GSK!C27/$D$5</f>
        <v>-4346.0219999999999</v>
      </c>
      <c r="G16" s="25">
        <f>-GSK!D27/$D$5</f>
        <v>-4480.4449999999997</v>
      </c>
      <c r="H16" s="25">
        <f>-GSK!E27/$D$5</f>
        <v>-4294.5739999999996</v>
      </c>
      <c r="I16" s="25">
        <f>-GSK!F27/$D$5</f>
        <v>-5022.91</v>
      </c>
      <c r="J16" s="25">
        <f>-GSK!G27/$D$5</f>
        <v>-4947.51</v>
      </c>
      <c r="K16" s="25">
        <f>-GSK!H27/$D$5</f>
        <v>-5383.1629999999996</v>
      </c>
      <c r="L16" s="25">
        <f>-GSK!I27/$D$5</f>
        <v>-6044.9830000000002</v>
      </c>
      <c r="M16" s="25">
        <f>-GSK!J27/$D$5</f>
        <v>-6695.84</v>
      </c>
      <c r="N16" s="25">
        <f>-GSK!K27/$D$5</f>
        <v>-7180.268</v>
      </c>
      <c r="O16" s="23"/>
      <c r="P16" s="23"/>
      <c r="Q16" s="23"/>
      <c r="R16" s="23"/>
      <c r="S16" s="23"/>
    </row>
    <row r="17" spans="1:19" s="26" customFormat="1" ht="15" customHeight="1" x14ac:dyDescent="0.45">
      <c r="A17" s="4"/>
      <c r="B17" s="2" t="s">
        <v>270</v>
      </c>
      <c r="C17" s="4"/>
      <c r="D17" s="510" t="s">
        <v>631</v>
      </c>
      <c r="E17" s="25">
        <f>-GSK!B28/$D$5</f>
        <v>370.55599999999998</v>
      </c>
      <c r="F17" s="25">
        <f>-GSK!C28/$D$5</f>
        <v>-1581.7070000000001</v>
      </c>
      <c r="G17" s="25">
        <f>-GSK!D28/$D$5</f>
        <v>-912.07</v>
      </c>
      <c r="H17" s="25">
        <f>-GSK!E28/$D$5</f>
        <v>-353.83</v>
      </c>
      <c r="I17" s="25">
        <f>-GSK!F28/$D$5</f>
        <v>691.00599999999997</v>
      </c>
      <c r="J17" s="25">
        <f>-GSK!G28/$D$5</f>
        <v>511.96699999999998</v>
      </c>
      <c r="K17" s="25">
        <f>-GSK!H28/$D$5</f>
        <v>444.428</v>
      </c>
      <c r="L17" s="25">
        <f>-GSK!I28/$D$5</f>
        <v>864.57500000000005</v>
      </c>
      <c r="M17" s="25">
        <f>-GSK!J28/$D$5</f>
        <v>1658.1489999999999</v>
      </c>
      <c r="N17" s="25">
        <f>-GSK!K28/$D$5</f>
        <v>1144.732</v>
      </c>
      <c r="O17" s="23"/>
      <c r="P17" s="23"/>
      <c r="Q17" s="23"/>
      <c r="R17" s="23"/>
      <c r="S17" s="23"/>
    </row>
    <row r="18" spans="1:19" s="30" customFormat="1" ht="15" customHeight="1" x14ac:dyDescent="0.45">
      <c r="A18" s="4"/>
      <c r="B18" s="4"/>
      <c r="C18" s="4"/>
      <c r="D18" s="478" t="s">
        <v>254</v>
      </c>
      <c r="E18" s="30">
        <f t="shared" ref="E18:N18" si="3">SUM(E13,E15:E17)</f>
        <v>3508.5700000000047</v>
      </c>
      <c r="F18" s="30">
        <f t="shared" si="3"/>
        <v>6473.734999999996</v>
      </c>
      <c r="G18" s="30">
        <f t="shared" si="3"/>
        <v>7672.1200000000008</v>
      </c>
      <c r="H18" s="30">
        <f t="shared" si="3"/>
        <v>8472.7110000000011</v>
      </c>
      <c r="I18" s="30">
        <f t="shared" si="3"/>
        <v>9351.3930000000018</v>
      </c>
      <c r="J18" s="30">
        <f t="shared" si="3"/>
        <v>6807.4679999999962</v>
      </c>
      <c r="K18" s="30">
        <f t="shared" si="3"/>
        <v>6554.7309999999989</v>
      </c>
      <c r="L18" s="30">
        <f t="shared" si="3"/>
        <v>8589.4369999999981</v>
      </c>
      <c r="M18" s="30">
        <f t="shared" si="3"/>
        <v>9662.5689999999995</v>
      </c>
      <c r="N18" s="30">
        <f t="shared" si="3"/>
        <v>7760.3130000000019</v>
      </c>
    </row>
    <row r="19" spans="1:19" ht="15" customHeight="1" x14ac:dyDescent="0.45">
      <c r="B19" s="2"/>
      <c r="D19" s="479"/>
      <c r="E19" s="23"/>
      <c r="F19" s="23"/>
      <c r="G19" s="23"/>
      <c r="H19" s="23"/>
      <c r="I19" s="23"/>
      <c r="J19" s="23"/>
      <c r="K19" s="23"/>
      <c r="L19" s="23"/>
      <c r="M19" s="23"/>
      <c r="N19" s="23"/>
      <c r="O19" s="23"/>
      <c r="P19" s="23"/>
      <c r="Q19" s="23"/>
      <c r="R19" s="23"/>
      <c r="S19" s="23"/>
    </row>
    <row r="20" spans="1:19" ht="15" customHeight="1" x14ac:dyDescent="0.45">
      <c r="B20" s="24"/>
      <c r="C20" s="24"/>
      <c r="D20" s="490"/>
      <c r="E20" s="23"/>
      <c r="F20" s="23"/>
      <c r="I20" s="23"/>
      <c r="J20" s="23"/>
      <c r="K20" s="23"/>
      <c r="L20" s="23"/>
      <c r="M20" s="23"/>
      <c r="N20" s="23"/>
      <c r="O20" s="23"/>
      <c r="P20" s="23"/>
      <c r="Q20" s="23"/>
      <c r="R20" s="23"/>
      <c r="S20" s="23"/>
    </row>
    <row r="21" spans="1:19" ht="15" customHeight="1" x14ac:dyDescent="0.45">
      <c r="B21" s="2" t="s">
        <v>408</v>
      </c>
      <c r="D21" s="510" t="s">
        <v>408</v>
      </c>
      <c r="E21" s="25">
        <f>GSK!B32/$D$5</f>
        <v>-990.44399999999996</v>
      </c>
      <c r="F21" s="25">
        <f>GSK!C32/$D$5</f>
        <v>-858.18600000000004</v>
      </c>
      <c r="G21" s="25">
        <f>GSK!D32/$D$5</f>
        <v>-823.03200000000004</v>
      </c>
      <c r="H21" s="25">
        <f>GSK!E32/$D$5</f>
        <v>-854.61900000000003</v>
      </c>
      <c r="I21" s="25">
        <f>GSK!F32/$D$5</f>
        <v>-1000.021</v>
      </c>
      <c r="J21" s="25">
        <f>GSK!G32/$D$5</f>
        <v>-949.67</v>
      </c>
      <c r="K21" s="25">
        <f>GSK!H32/$D$5</f>
        <v>-886.529</v>
      </c>
      <c r="L21" s="25">
        <f>GSK!I32/$D$5</f>
        <v>-960.76900000000001</v>
      </c>
      <c r="M21" s="25">
        <f>GSK!J32/$D$5</f>
        <v>-816.42600000000004</v>
      </c>
      <c r="N21" s="25">
        <f>GSK!K32/$D$5</f>
        <v>-790.32600000000002</v>
      </c>
      <c r="O21" s="25"/>
      <c r="P21" s="25"/>
      <c r="Q21" s="25"/>
      <c r="R21" s="25"/>
      <c r="S21" s="25"/>
    </row>
    <row r="22" spans="1:19" ht="15" customHeight="1" x14ac:dyDescent="0.45">
      <c r="B22" s="2" t="s">
        <v>407</v>
      </c>
      <c r="D22" s="510" t="s">
        <v>558</v>
      </c>
      <c r="E22" s="25">
        <f>GSK!B33/$D$5</f>
        <v>136.376</v>
      </c>
      <c r="F22" s="25">
        <f>GSK!C33/$D$5</f>
        <v>85.695999999999998</v>
      </c>
      <c r="G22" s="25">
        <f>GSK!D33/$D$5</f>
        <v>71.915000000000006</v>
      </c>
      <c r="H22" s="25">
        <f>GSK!E33/$D$5</f>
        <v>83.653000000000006</v>
      </c>
      <c r="I22" s="25">
        <f>GSK!F33/$D$5</f>
        <v>90.081999999999994</v>
      </c>
      <c r="J22" s="25">
        <f>GSK!G33/$D$5</f>
        <v>29.254999999999999</v>
      </c>
      <c r="K22" s="25">
        <f>GSK!H33/$D$5</f>
        <v>15.125</v>
      </c>
      <c r="L22" s="25">
        <f>GSK!I33/$D$5</f>
        <v>72.731999999999999</v>
      </c>
      <c r="M22" s="25">
        <f>GSK!J33/$D$5</f>
        <v>124.18899999999999</v>
      </c>
      <c r="N22" s="25">
        <f>GSK!K33/$D$5</f>
        <v>144.125</v>
      </c>
      <c r="O22" s="25"/>
      <c r="P22" s="25"/>
      <c r="Q22" s="25"/>
      <c r="R22" s="25"/>
      <c r="S22" s="25"/>
    </row>
    <row r="23" spans="1:19" ht="15" customHeight="1" x14ac:dyDescent="0.45">
      <c r="B23" s="2" t="s">
        <v>255</v>
      </c>
      <c r="D23" s="510" t="s">
        <v>632</v>
      </c>
      <c r="E23" s="25">
        <f>GSK!B35/$D$5</f>
        <v>19.285</v>
      </c>
      <c r="F23" s="25">
        <f>GSK!C35/$D$5</f>
        <v>6.1210000000000004</v>
      </c>
      <c r="G23" s="25">
        <f>GSK!D35/$D$5</f>
        <v>14.84</v>
      </c>
      <c r="H23" s="25">
        <f>GSK!E35/$D$5</f>
        <v>35.043999999999997</v>
      </c>
      <c r="I23" s="25">
        <f>GSK!F35/$D$5</f>
        <v>84.38</v>
      </c>
      <c r="J23" s="25">
        <f>GSK!G35/$D$5</f>
        <v>37.131999999999998</v>
      </c>
      <c r="K23" s="25">
        <f>GSK!H35/$D$5</f>
        <v>38.393000000000001</v>
      </c>
      <c r="L23" s="25">
        <f>GSK!I35/$D$5</f>
        <v>-2.3460000000000001</v>
      </c>
      <c r="M23" s="25">
        <f>GSK!J35/$D$5</f>
        <v>-5.7489999999999997</v>
      </c>
      <c r="N23" s="25">
        <f>GSK!K35/$D$5</f>
        <v>-3.544</v>
      </c>
      <c r="O23" s="25"/>
      <c r="P23" s="25"/>
      <c r="Q23" s="25"/>
      <c r="R23" s="25"/>
      <c r="S23" s="25"/>
    </row>
    <row r="24" spans="1:19" ht="15" customHeight="1" x14ac:dyDescent="0.45">
      <c r="B24" s="2" t="s">
        <v>409</v>
      </c>
      <c r="D24" s="510" t="s">
        <v>634</v>
      </c>
      <c r="E24" s="25">
        <f>GSK!B36/$D$5</f>
        <v>-45.459000000000003</v>
      </c>
      <c r="F24" s="25">
        <f>GSK!C36/$D$5</f>
        <v>-25.709</v>
      </c>
      <c r="G24" s="25">
        <f>GSK!D36/$D$5</f>
        <v>1.1419999999999999</v>
      </c>
      <c r="H24" s="25">
        <f>GSK!E36/$D$5</f>
        <v>-18.087</v>
      </c>
      <c r="I24" s="25">
        <f>GSK!F36/$D$5</f>
        <v>-13.683</v>
      </c>
      <c r="J24" s="25">
        <f>GSK!G36/$D$5</f>
        <v>-27.004999999999999</v>
      </c>
      <c r="K24" s="25">
        <f>GSK!H36/$D$5</f>
        <v>-6.9809999999999999</v>
      </c>
      <c r="L24" s="25">
        <f>GSK!I36/$D$5</f>
        <v>-53.963000000000001</v>
      </c>
      <c r="M24" s="25">
        <f>GSK!J36/$D$5</f>
        <v>-86.242000000000004</v>
      </c>
      <c r="N24" s="25">
        <f>IFERROR(GSK!K36/$D$5,0)</f>
        <v>0</v>
      </c>
      <c r="O24" s="25"/>
      <c r="P24" s="25"/>
      <c r="Q24" s="25"/>
      <c r="R24" s="25"/>
      <c r="S24" s="25"/>
    </row>
    <row r="25" spans="1:19" ht="15" customHeight="1" x14ac:dyDescent="0.45">
      <c r="B25" s="2" t="s">
        <v>409</v>
      </c>
      <c r="D25" s="510" t="s">
        <v>635</v>
      </c>
      <c r="E25" s="25">
        <f>IFERROR(-GSK!B38/$D$5,0)</f>
        <v>0</v>
      </c>
      <c r="F25" s="25">
        <f>IFERROR(GSK!C38/$D$5,0)</f>
        <v>-1192.4010000000001</v>
      </c>
      <c r="G25" s="25">
        <f>IFERROR(GSK!D38/$D$5,0)</f>
        <v>-1210.0060000000001</v>
      </c>
      <c r="H25" s="25">
        <f>IFERROR(GSK!E38/$D$5,0)</f>
        <v>-919.05499999999995</v>
      </c>
      <c r="I25" s="25">
        <f>IFERROR(GSK!F38/$D$5,0)</f>
        <v>-1265.7049999999999</v>
      </c>
      <c r="J25" s="25">
        <f>IFERROR(GSK!G38/$D$5,0)</f>
        <v>-1325.4870000000001</v>
      </c>
      <c r="K25" s="25">
        <f>IFERROR(GSK!H38/$D$5,0)</f>
        <v>-493.29199999999997</v>
      </c>
      <c r="L25" s="25">
        <f>IFERROR(GSK!I38/$D$5,0)</f>
        <v>-376.565</v>
      </c>
      <c r="M25" s="25">
        <f>IFERROR(GSK!J38/$D$5,0)</f>
        <v>-439.26</v>
      </c>
      <c r="N25" s="25">
        <f>IFERROR(GSK!K38/$D$5,0)</f>
        <v>-417.01799999999997</v>
      </c>
      <c r="O25" s="25"/>
      <c r="P25" s="25"/>
      <c r="Q25" s="25"/>
      <c r="R25" s="25"/>
      <c r="S25" s="25"/>
    </row>
    <row r="26" spans="1:19" ht="15" customHeight="1" x14ac:dyDescent="0.45">
      <c r="B26" s="2" t="s">
        <v>255</v>
      </c>
      <c r="D26" s="510" t="s">
        <v>637</v>
      </c>
      <c r="E26" s="25">
        <f>IFERROR(GSK!B39/$D$5,0)</f>
        <v>1270.0830000000001</v>
      </c>
      <c r="F26" s="25">
        <f>IFERROR(GSK!C39/$D$5,0)</f>
        <v>253.416</v>
      </c>
      <c r="G26" s="25">
        <f>IFERROR(GSK!D39/$D$5,0)</f>
        <v>115.29300000000001</v>
      </c>
      <c r="H26" s="25">
        <f>IFERROR(GSK!E39/$D$5,0)</f>
        <v>26</v>
      </c>
      <c r="I26" s="25">
        <f>IFERROR(GSK!F39/$D$5,0)</f>
        <v>-15.964</v>
      </c>
      <c r="J26" s="25">
        <f>IFERROR(GSK!G39/$D$5,0)</f>
        <v>-272.29899999999998</v>
      </c>
      <c r="K26" s="25">
        <f>IFERROR(GSK!H39/$D$5,0)</f>
        <v>1.163</v>
      </c>
      <c r="L26" s="25">
        <f>IFERROR(GSK!I39/$D$5,0)</f>
        <v>300.31400000000002</v>
      </c>
      <c r="M26" s="25">
        <f>IFERROR(GSK!J39/$D$5,0)</f>
        <v>-139.137</v>
      </c>
      <c r="N26" s="25">
        <f>IFERROR(GSK!K39/$D$5,0)</f>
        <v>7.0880000000000001</v>
      </c>
      <c r="O26" s="25"/>
      <c r="P26" s="25"/>
      <c r="Q26" s="25"/>
      <c r="R26" s="25"/>
      <c r="S26" s="25"/>
    </row>
    <row r="27" spans="1:19" ht="15" customHeight="1" x14ac:dyDescent="0.45">
      <c r="B27" s="2" t="s">
        <v>409</v>
      </c>
      <c r="D27" s="510" t="s">
        <v>638</v>
      </c>
      <c r="E27" s="25">
        <f>IFERROR(GSK!B40/$D$5,0)</f>
        <v>13308.32</v>
      </c>
      <c r="F27" s="25">
        <f>IFERROR(GSK!C40/$D$5,0)</f>
        <v>336.66399999999999</v>
      </c>
      <c r="G27" s="25">
        <f>IFERROR(GSK!D40/$D$5,0)</f>
        <v>213.46299999999999</v>
      </c>
      <c r="H27" s="25">
        <f>IFERROR(GSK!E40/$D$5,0)</f>
        <v>271.30799999999999</v>
      </c>
      <c r="I27" s="25">
        <f>IFERROR(GSK!F40/$D$5,0)</f>
        <v>616.88900000000001</v>
      </c>
      <c r="J27" s="25">
        <f>IFERROR(GSK!G40/$D$5,0)</f>
        <v>3214.7</v>
      </c>
      <c r="K27" s="25">
        <f>IFERROR(GSK!H40/$D$5,0)</f>
        <v>642.21</v>
      </c>
      <c r="L27" s="25">
        <f>IFERROR(GSK!I40/$D$5,0)</f>
        <v>252.21600000000001</v>
      </c>
      <c r="M27" s="25">
        <f>IFERROR(GSK!J40/$D$5,0)</f>
        <v>70.144000000000005</v>
      </c>
      <c r="N27" s="25">
        <f>IFERROR(GSK!K40/$D$5,0)</f>
        <v>0</v>
      </c>
      <c r="O27" s="25"/>
      <c r="P27" s="25"/>
      <c r="Q27" s="25"/>
      <c r="R27" s="25"/>
      <c r="S27" s="25"/>
    </row>
    <row r="28" spans="1:19" ht="15" customHeight="1" x14ac:dyDescent="0.45">
      <c r="B28" s="2" t="s">
        <v>255</v>
      </c>
      <c r="D28" s="510" t="s">
        <v>639</v>
      </c>
      <c r="E28" s="25">
        <f>IFERROR(GSK!B41/$D$5,0)</f>
        <v>0</v>
      </c>
      <c r="F28" s="25">
        <f>IFERROR(GSK!C41/$D$5,0)</f>
        <v>0</v>
      </c>
      <c r="G28" s="25">
        <f>IFERROR(GSK!D41/$D$5,0)</f>
        <v>-785.36199999999997</v>
      </c>
      <c r="H28" s="25">
        <f>IFERROR(GSK!E41/$D$5,0)</f>
        <v>-131.13200000000001</v>
      </c>
      <c r="I28" s="25">
        <f>IFERROR(GSK!F41/$D$5,0)</f>
        <v>-94.643000000000001</v>
      </c>
      <c r="J28" s="25">
        <f>IFERROR(GSK!G41/$D$5,0)</f>
        <v>-225.04</v>
      </c>
      <c r="K28" s="25">
        <f>IFERROR(GSK!H41/$D$5,0)</f>
        <v>-403.70800000000003</v>
      </c>
      <c r="L28" s="25">
        <f>IFERROR(GSK!I41/$D$5,0)</f>
        <v>-347.238</v>
      </c>
      <c r="M28" s="25">
        <f>IFERROR(GSK!J41/$D$5,0)</f>
        <v>-457.65800000000002</v>
      </c>
      <c r="N28" s="25">
        <f>IFERROR(GSK!K41/$D$5,0)</f>
        <v>-370.94499999999999</v>
      </c>
      <c r="O28" s="25"/>
      <c r="P28" s="25"/>
      <c r="Q28" s="25"/>
      <c r="R28" s="25"/>
      <c r="S28" s="25"/>
    </row>
    <row r="29" spans="1:19" ht="15" customHeight="1" x14ac:dyDescent="0.45">
      <c r="B29" s="2" t="s">
        <v>409</v>
      </c>
      <c r="D29" s="510" t="s">
        <v>640</v>
      </c>
      <c r="E29" s="25">
        <f>IFERROR(GSK!B42/$D$5,0)</f>
        <v>0</v>
      </c>
      <c r="F29" s="25">
        <f>IFERROR(GSK!C42/$D$5,0)</f>
        <v>0</v>
      </c>
      <c r="G29" s="25">
        <f>IFERROR(GSK!D42/$D$5,0)</f>
        <v>0</v>
      </c>
      <c r="H29" s="25">
        <f>IFERROR(GSK!E42/$D$5,0)</f>
        <v>0</v>
      </c>
      <c r="I29" s="25">
        <f>IFERROR(GSK!F42/$D$5,0)</f>
        <v>0</v>
      </c>
      <c r="J29" s="25">
        <f>IFERROR(GSK!G42/$D$5,0)</f>
        <v>0</v>
      </c>
      <c r="K29" s="25">
        <f>IFERROR(GSK!H42/$D$5,0)</f>
        <v>0</v>
      </c>
      <c r="L29" s="25">
        <f>IFERROR(GSK!I42/$D$5,0)</f>
        <v>1081.598</v>
      </c>
      <c r="M29" s="25">
        <f>IFERROR(GSK!J42/$D$5,0)</f>
        <v>0</v>
      </c>
      <c r="N29" s="25">
        <f>IFERROR(GSK!K42/$D$5,0)</f>
        <v>0</v>
      </c>
      <c r="O29" s="25"/>
      <c r="P29" s="25"/>
      <c r="Q29" s="25"/>
      <c r="R29" s="25"/>
      <c r="S29" s="25"/>
    </row>
    <row r="30" spans="1:19" ht="15" customHeight="1" x14ac:dyDescent="0.45">
      <c r="B30" s="2" t="s">
        <v>409</v>
      </c>
      <c r="D30" s="510" t="s">
        <v>641</v>
      </c>
      <c r="E30" s="25">
        <f>IFERROR(GSK!B43/$D$5,0)</f>
        <v>-2706.8470000000002</v>
      </c>
      <c r="F30" s="25">
        <f>IFERROR(GSK!C43/$D$5,0)</f>
        <v>-2705.5509999999999</v>
      </c>
      <c r="G30" s="25">
        <f>IFERROR(GSK!D43/$D$5,0)</f>
        <v>-1246.5340000000001</v>
      </c>
      <c r="H30" s="25">
        <f>IFERROR(GSK!E43/$D$5,0)</f>
        <v>-1539.671</v>
      </c>
      <c r="I30" s="25">
        <f>IFERROR(GSK!F43/$D$5,0)</f>
        <v>-659.07899999999995</v>
      </c>
      <c r="J30" s="25">
        <f>IFERROR(GSK!G43/$D$5,0)</f>
        <v>-1471.7629999999999</v>
      </c>
      <c r="K30" s="25">
        <f>IFERROR(GSK!H43/$D$5,0)</f>
        <v>-1273.9490000000001</v>
      </c>
      <c r="L30" s="25">
        <f>IFERROR(GSK!I43/$D$5,0)</f>
        <v>-1953.211</v>
      </c>
      <c r="M30" s="25">
        <f>IFERROR(GSK!J43/$D$5,0)</f>
        <v>-939.46400000000006</v>
      </c>
      <c r="N30" s="25">
        <f>IFERROR(GSK!K43/$D$5,0)</f>
        <v>-2222.1260000000002</v>
      </c>
      <c r="O30" s="25"/>
      <c r="P30" s="25"/>
      <c r="Q30" s="25"/>
      <c r="R30" s="25"/>
      <c r="S30" s="25"/>
    </row>
    <row r="31" spans="1:19" s="30" customFormat="1" ht="15" customHeight="1" x14ac:dyDescent="0.45">
      <c r="A31" s="4"/>
      <c r="B31" s="5"/>
      <c r="C31" s="4"/>
      <c r="D31" s="478" t="s">
        <v>438</v>
      </c>
      <c r="E31" s="477">
        <f t="shared" ref="E31:N31" si="4">SUM(E18,E21:E30)</f>
        <v>14499.884000000004</v>
      </c>
      <c r="F31" s="477">
        <f t="shared" si="4"/>
        <v>2373.7849999999967</v>
      </c>
      <c r="G31" s="477">
        <f t="shared" si="4"/>
        <v>4023.8389999999995</v>
      </c>
      <c r="H31" s="477">
        <f t="shared" si="4"/>
        <v>5426.152000000001</v>
      </c>
      <c r="I31" s="477">
        <f t="shared" si="4"/>
        <v>7093.6490000000003</v>
      </c>
      <c r="J31" s="477">
        <f t="shared" si="4"/>
        <v>5817.2909999999956</v>
      </c>
      <c r="K31" s="477">
        <f t="shared" si="4"/>
        <v>4187.1629999999986</v>
      </c>
      <c r="L31" s="477">
        <f t="shared" si="4"/>
        <v>6602.204999999999</v>
      </c>
      <c r="M31" s="477">
        <f t="shared" si="4"/>
        <v>6972.9659999999994</v>
      </c>
      <c r="N31" s="477">
        <f t="shared" si="4"/>
        <v>4107.5670000000018</v>
      </c>
      <c r="O31" s="477"/>
      <c r="P31" s="477"/>
      <c r="Q31" s="477"/>
      <c r="R31" s="477"/>
      <c r="S31" s="477"/>
    </row>
    <row r="32" spans="1:19" ht="15" customHeight="1" x14ac:dyDescent="0.45">
      <c r="B32" s="24"/>
      <c r="D32" s="31"/>
      <c r="E32" s="25"/>
      <c r="F32" s="25"/>
      <c r="G32" s="25"/>
      <c r="H32" s="25"/>
      <c r="I32" s="25"/>
      <c r="J32" s="25"/>
      <c r="K32" s="25"/>
      <c r="L32" s="25"/>
      <c r="M32" s="25"/>
      <c r="N32" s="25"/>
      <c r="O32" s="25"/>
      <c r="P32" s="25"/>
      <c r="Q32" s="25"/>
      <c r="R32" s="25"/>
      <c r="S32" s="25"/>
    </row>
    <row r="33" spans="1:19" ht="15" customHeight="1" x14ac:dyDescent="0.45">
      <c r="B33" s="2" t="s">
        <v>410</v>
      </c>
      <c r="D33" s="487" t="s">
        <v>559</v>
      </c>
      <c r="E33" s="25">
        <f>-GSK!B46/1000</f>
        <v>-2967.2</v>
      </c>
      <c r="F33" s="25">
        <f>-GSK!C46/1000</f>
        <v>-1073.6510000000001</v>
      </c>
      <c r="G33" s="25">
        <f>-GSK!D46/1000</f>
        <v>-1547.894</v>
      </c>
      <c r="H33" s="25">
        <f>-GSK!E46/1000</f>
        <v>-852.35799999999995</v>
      </c>
      <c r="I33" s="25">
        <f>-GSK!F46/1000</f>
        <v>-1086.682</v>
      </c>
      <c r="J33" s="25">
        <f>-GSK!G46/1000</f>
        <v>-75.388000000000005</v>
      </c>
      <c r="K33" s="25">
        <f>-GSK!H46/1000</f>
        <v>-96.563999999999993</v>
      </c>
      <c r="L33" s="25">
        <f>-GSK!I46/1000</f>
        <v>-829.38199999999995</v>
      </c>
      <c r="M33" s="25">
        <f>-GSK!J46/1000</f>
        <v>-869.32100000000003</v>
      </c>
      <c r="N33" s="25">
        <f>-GSK!K46/1000</f>
        <v>-621.39200000000005</v>
      </c>
      <c r="O33" s="25"/>
      <c r="P33" s="25"/>
      <c r="Q33" s="25"/>
      <c r="R33" s="25"/>
      <c r="S33" s="25"/>
    </row>
    <row r="34" spans="1:19" ht="15" customHeight="1" x14ac:dyDescent="0.45">
      <c r="B34" s="2" t="s">
        <v>411</v>
      </c>
      <c r="D34" s="487" t="s">
        <v>642</v>
      </c>
      <c r="E34" s="25">
        <f>+GSK!B50/$D$5</f>
        <v>68.876999999999995</v>
      </c>
      <c r="F34" s="25">
        <f>+GSK!C50/$D$5</f>
        <v>-183.63499999999999</v>
      </c>
      <c r="G34" s="25">
        <f>+GSK!D50/$D$5</f>
        <v>-727.14499999999998</v>
      </c>
      <c r="H34" s="25">
        <f>+GSK!E50/$D$5</f>
        <v>-478.18</v>
      </c>
      <c r="I34" s="25">
        <f>+GSK!F50/$D$5</f>
        <v>-710.39099999999996</v>
      </c>
      <c r="J34" s="25">
        <f>+GSK!G50/$D$5</f>
        <v>-258.79599999999999</v>
      </c>
      <c r="K34" s="25">
        <f>+GSK!H50/$D$5</f>
        <v>-232.685</v>
      </c>
      <c r="L34" s="25">
        <f>+GSK!I50/$D$5</f>
        <v>-539.62599999999998</v>
      </c>
      <c r="M34" s="25">
        <f>+GSK!J50/$D$5</f>
        <v>-436.96</v>
      </c>
      <c r="N34" s="25">
        <f>+GSK!K50/$D$5</f>
        <v>-444.18900000000002</v>
      </c>
      <c r="O34" s="25"/>
      <c r="P34" s="25"/>
      <c r="Q34" s="25"/>
      <c r="R34" s="25"/>
      <c r="S34" s="25"/>
    </row>
    <row r="35" spans="1:19" ht="15" customHeight="1" x14ac:dyDescent="0.45">
      <c r="B35" s="2" t="s">
        <v>263</v>
      </c>
      <c r="D35" s="487" t="s">
        <v>643</v>
      </c>
      <c r="E35" s="25">
        <f>+IFERROR(GSK!B48/$D$5,0)</f>
        <v>0</v>
      </c>
      <c r="F35" s="25">
        <f>+IFERROR(GSK!C48/$D$5,0)</f>
        <v>0</v>
      </c>
      <c r="G35" s="25">
        <f>+IFERROR(GSK!D48/$D$5,0)</f>
        <v>0</v>
      </c>
      <c r="H35" s="25">
        <f>+IFERROR(GSK!E48/$D$5,0)</f>
        <v>0</v>
      </c>
      <c r="I35" s="25">
        <f>+IFERROR(GSK!F48/$D$5,0)</f>
        <v>0</v>
      </c>
      <c r="J35" s="25">
        <f>+IFERROR(GSK!G48/$D$5,0)</f>
        <v>985.67600000000004</v>
      </c>
      <c r="K35" s="25">
        <f>+IFERROR(GSK!H48/$D$5,0)</f>
        <v>1243.7</v>
      </c>
      <c r="L35" s="25">
        <f>+IFERROR(GSK!I48/$D$5,0)</f>
        <v>12311.682000000001</v>
      </c>
      <c r="M35" s="25">
        <f>+IFERROR(GSK!J48/$D$5,0)</f>
        <v>0</v>
      </c>
      <c r="N35" s="25">
        <f>+IFERROR(GSK!K48/$D$5,0)</f>
        <v>0</v>
      </c>
      <c r="O35" s="25"/>
      <c r="P35" s="25"/>
      <c r="Q35" s="25"/>
      <c r="R35" s="25"/>
      <c r="S35" s="25"/>
    </row>
    <row r="36" spans="1:19" s="29" customFormat="1" ht="15" customHeight="1" x14ac:dyDescent="0.45">
      <c r="A36" s="1"/>
      <c r="B36" s="2" t="s">
        <v>412</v>
      </c>
      <c r="C36" s="1"/>
      <c r="D36" s="478" t="s">
        <v>441</v>
      </c>
      <c r="E36" s="477">
        <f t="shared" ref="E36:N36" si="5">SUM(E31,E33:E35)</f>
        <v>11601.561000000005</v>
      </c>
      <c r="F36" s="477">
        <f t="shared" si="5"/>
        <v>1116.4989999999966</v>
      </c>
      <c r="G36" s="477">
        <f t="shared" si="5"/>
        <v>1748.7999999999997</v>
      </c>
      <c r="H36" s="477">
        <f t="shared" si="5"/>
        <v>4095.6140000000009</v>
      </c>
      <c r="I36" s="477">
        <f t="shared" si="5"/>
        <v>5296.5760000000009</v>
      </c>
      <c r="J36" s="477">
        <f t="shared" si="5"/>
        <v>6468.7829999999958</v>
      </c>
      <c r="K36" s="477">
        <f t="shared" si="5"/>
        <v>5101.6139999999987</v>
      </c>
      <c r="L36" s="477">
        <f t="shared" si="5"/>
        <v>17544.879000000001</v>
      </c>
      <c r="M36" s="477">
        <f t="shared" si="5"/>
        <v>5666.6849999999995</v>
      </c>
      <c r="N36" s="477">
        <f t="shared" si="5"/>
        <v>3041.9860000000022</v>
      </c>
      <c r="O36" s="477"/>
      <c r="P36" s="477"/>
      <c r="Q36" s="477"/>
      <c r="R36" s="477"/>
      <c r="S36" s="477"/>
    </row>
    <row r="37" spans="1:19" ht="15" customHeight="1" x14ac:dyDescent="0.45">
      <c r="B37" s="2"/>
    </row>
    <row r="38" spans="1:19" ht="15" customHeight="1" x14ac:dyDescent="0.45">
      <c r="B38" s="2"/>
      <c r="D38" s="31"/>
      <c r="E38" s="25"/>
      <c r="F38" s="25"/>
      <c r="G38" s="25"/>
      <c r="H38" s="25"/>
      <c r="I38" s="25"/>
      <c r="J38" s="25"/>
      <c r="K38" s="25"/>
      <c r="L38" s="25"/>
      <c r="M38" s="25"/>
      <c r="N38" s="25"/>
      <c r="O38" s="25"/>
      <c r="P38" s="25"/>
      <c r="Q38" s="25"/>
      <c r="R38" s="25"/>
      <c r="S38" s="25"/>
    </row>
    <row r="40" spans="1:19" ht="15" customHeight="1" x14ac:dyDescent="0.45">
      <c r="B40" s="5"/>
      <c r="D40" s="485" t="s">
        <v>442</v>
      </c>
      <c r="E40" s="23"/>
      <c r="F40" s="23"/>
      <c r="G40" s="23"/>
      <c r="H40" s="23"/>
      <c r="I40" s="23"/>
      <c r="J40" s="23"/>
      <c r="K40" s="23"/>
      <c r="L40" s="23"/>
      <c r="M40" s="23"/>
      <c r="N40" s="23"/>
      <c r="O40" s="23"/>
      <c r="P40" s="23"/>
      <c r="Q40" s="23"/>
      <c r="R40" s="23"/>
      <c r="S40" s="23"/>
    </row>
    <row r="41" spans="1:19" ht="15" customHeight="1" x14ac:dyDescent="0.45">
      <c r="B41" s="2"/>
      <c r="D41" s="31" t="s">
        <v>589</v>
      </c>
      <c r="E41" s="25">
        <f>+IFERROR(GSK!B78/$D$5,0)</f>
        <v>1458.8050000000001</v>
      </c>
      <c r="F41" s="25">
        <f>+IFERROR(GSK!C78/$D$5,0)</f>
        <v>1548.653</v>
      </c>
      <c r="G41" s="25">
        <f>+IFERROR(GSK!D78/$D$5,0)</f>
        <v>1542.1859999999999</v>
      </c>
      <c r="H41" s="25">
        <f>+IFERROR(GSK!E78/$D$5,0)</f>
        <v>1555.4970000000001</v>
      </c>
      <c r="I41" s="25">
        <f>+IFERROR(GSK!F78/$D$5,0)</f>
        <v>1786.8109999999999</v>
      </c>
      <c r="J41" s="25">
        <f>+IFERROR(GSK!G78/$D$5,0)</f>
        <v>406.19799999999998</v>
      </c>
      <c r="K41" s="25">
        <f>+IFERROR(GSK!H78/$D$5,0)</f>
        <v>503.76299999999998</v>
      </c>
      <c r="L41" s="25">
        <f>+IFERROR(GSK!I78/$D$5,0)</f>
        <v>862.22799999999995</v>
      </c>
      <c r="M41" s="25">
        <f>+IFERROR(GSK!J78/$D$5,0)</f>
        <v>960.16200000000003</v>
      </c>
      <c r="N41" s="25">
        <f>+IFERROR(GSK!K78/$D$5,0)</f>
        <v>0</v>
      </c>
      <c r="O41" s="25"/>
      <c r="P41" s="25"/>
      <c r="Q41" s="25"/>
      <c r="R41" s="25"/>
      <c r="S41" s="25"/>
    </row>
    <row r="42" spans="1:19" ht="15" customHeight="1" x14ac:dyDescent="0.45">
      <c r="B42" s="2"/>
      <c r="D42" s="31" t="s">
        <v>549</v>
      </c>
      <c r="E42" s="25">
        <f>+IFERROR(GSK!B79/$D$5,0)</f>
        <v>1458.8050000000001</v>
      </c>
      <c r="F42" s="25">
        <f>+IFERROR(GSK!C79/$D$5,0)</f>
        <v>1548.653</v>
      </c>
      <c r="G42" s="25">
        <f>+IFERROR(GSK!D79/$D$5,0)</f>
        <v>1542.1859999999999</v>
      </c>
      <c r="H42" s="25">
        <f>+IFERROR(GSK!E79/$D$5,0)</f>
        <v>1555.4970000000001</v>
      </c>
      <c r="I42" s="25">
        <f>+IFERROR(GSK!F79/$D$5,0)</f>
        <v>0</v>
      </c>
      <c r="J42" s="25">
        <f>+IFERROR(GSK!G79/$D$5,0)</f>
        <v>0</v>
      </c>
      <c r="K42" s="25">
        <f>+IFERROR(GSK!H79/$D$5,0)</f>
        <v>0</v>
      </c>
      <c r="L42" s="25">
        <f>+IFERROR(GSK!I79/$D$5,0)</f>
        <v>0</v>
      </c>
      <c r="M42" s="25">
        <f>+IFERROR(GSK!J79/$D$5,0)</f>
        <v>0</v>
      </c>
      <c r="N42" s="25">
        <f>+IFERROR(GSK!K79/$D$5,0)</f>
        <v>0</v>
      </c>
      <c r="O42" s="25"/>
      <c r="P42" s="25"/>
      <c r="Q42" s="25"/>
      <c r="R42" s="25"/>
      <c r="S42" s="25"/>
    </row>
    <row r="43" spans="1:19" ht="15" customHeight="1" x14ac:dyDescent="0.45">
      <c r="B43" s="2"/>
      <c r="D43" s="31" t="s">
        <v>550</v>
      </c>
      <c r="E43" s="25">
        <f>+IFERROR(GSK!B80/$D$5,0)</f>
        <v>4904.0079999999998</v>
      </c>
      <c r="F43" s="25">
        <f>+IFERROR(GSK!C80/$D$5,0)</f>
        <v>4441.5119999999997</v>
      </c>
      <c r="G43" s="25">
        <f>+IFERROR(GSK!D80/$D$5,0)</f>
        <v>5109.4189999999999</v>
      </c>
      <c r="H43" s="25">
        <f>+IFERROR(GSK!E80/$D$5,0)</f>
        <v>4400.8360000000002</v>
      </c>
      <c r="I43" s="25">
        <f>+IFERROR(GSK!F80/$D$5,0)</f>
        <v>5208.7749999999996</v>
      </c>
      <c r="J43" s="25">
        <f>+IFERROR(GSK!G80/$D$5,0)</f>
        <v>5393.09</v>
      </c>
      <c r="K43" s="25">
        <f>+IFERROR(GSK!H80/$D$5,0)</f>
        <v>5839.2250000000004</v>
      </c>
      <c r="L43" s="25">
        <f>+IFERROR(GSK!I80/$D$5,0)</f>
        <v>6437.9709999999995</v>
      </c>
      <c r="M43" s="25">
        <f>+IFERROR(GSK!J80/$D$5,0)</f>
        <v>7155.7979999999998</v>
      </c>
      <c r="N43" s="25">
        <f>+IFERROR(GSK!K80/$D$5,0)</f>
        <v>7561.8459999999995</v>
      </c>
      <c r="O43" s="25"/>
      <c r="P43" s="25"/>
      <c r="Q43" s="25"/>
      <c r="R43" s="25"/>
      <c r="S43" s="25"/>
    </row>
    <row r="44" spans="1:19" ht="15" customHeight="1" x14ac:dyDescent="0.45">
      <c r="B44" s="2"/>
      <c r="D44" s="31" t="s">
        <v>551</v>
      </c>
      <c r="E44" s="25">
        <f>+IFERROR(GSK!B81/$D$5,0)</f>
        <v>159.79400000000001</v>
      </c>
      <c r="F44" s="25">
        <f>+IFERROR(GSK!C81/$D$5,0)</f>
        <v>121.199</v>
      </c>
      <c r="G44" s="25">
        <f>+IFERROR(GSK!D81/$D$5,0)</f>
        <v>135.84</v>
      </c>
      <c r="H44" s="25">
        <f>+IFERROR(GSK!E81/$D$5,0)</f>
        <v>231.74199999999999</v>
      </c>
      <c r="I44" s="25">
        <f>+IFERROR(GSK!F81/$D$5,0)</f>
        <v>33.067999999999998</v>
      </c>
      <c r="J44" s="25">
        <f>+IFERROR(GSK!G81/$D$5,0)</f>
        <v>30.38</v>
      </c>
      <c r="K44" s="25">
        <f>+IFERROR(GSK!H81/$D$5,0)</f>
        <v>23.268000000000001</v>
      </c>
      <c r="L44" s="25">
        <f>+IFERROR(GSK!I81/$D$5,0)</f>
        <v>19.943000000000001</v>
      </c>
      <c r="M44" s="25">
        <f>+IFERROR(GSK!J81/$D$5,0)</f>
        <v>31.047000000000001</v>
      </c>
      <c r="N44" s="25">
        <f>+IFERROR(GSK!K81/$D$5,0)</f>
        <v>0</v>
      </c>
      <c r="O44" s="25"/>
      <c r="P44" s="25"/>
      <c r="Q44" s="25"/>
      <c r="R44" s="25"/>
      <c r="S44" s="25"/>
    </row>
    <row r="45" spans="1:19" ht="15" customHeight="1" x14ac:dyDescent="0.45">
      <c r="B45" s="2"/>
      <c r="D45" s="31" t="s">
        <v>552</v>
      </c>
      <c r="E45" s="25">
        <f>+IFERROR(GSK!B82/$D$5,0)</f>
        <v>51.905000000000001</v>
      </c>
      <c r="F45" s="25">
        <f>+IFERROR(GSK!C82/$D$5,0)</f>
        <v>38.375</v>
      </c>
      <c r="G45" s="25">
        <f>+IFERROR(GSK!D82/$D$5,0)</f>
        <v>43.674999999999997</v>
      </c>
      <c r="H45" s="25">
        <f>+IFERROR(GSK!E82/$D$5,0)</f>
        <v>64.957999999999998</v>
      </c>
      <c r="I45" s="25">
        <f>+IFERROR(GSK!F82/$D$5,0)</f>
        <v>8.202</v>
      </c>
      <c r="J45" s="25">
        <f>+IFERROR(GSK!G82/$D$5,0)</f>
        <v>7.1150000000000002</v>
      </c>
      <c r="K45" s="25">
        <f>+IFERROR(GSK!H82/$D$5,0)</f>
        <v>5.5270000000000001</v>
      </c>
      <c r="L45" s="25">
        <f>+IFERROR(GSK!I82/$D$5,0)</f>
        <v>5.9349999999999996</v>
      </c>
      <c r="M45" s="25">
        <f>+IFERROR(GSK!J82/$D$5,0)</f>
        <v>9.5009999999999994</v>
      </c>
      <c r="N45" s="25">
        <f>+IFERROR(GSK!K82/$D$5,0)</f>
        <v>0</v>
      </c>
      <c r="O45" s="25"/>
      <c r="P45" s="25"/>
      <c r="Q45" s="25"/>
      <c r="R45" s="25"/>
      <c r="S45" s="25"/>
    </row>
    <row r="46" spans="1:19" ht="15" customHeight="1" x14ac:dyDescent="0.45">
      <c r="B46" s="2"/>
      <c r="D46" s="31" t="s">
        <v>553</v>
      </c>
      <c r="E46" s="25">
        <f>+IFERROR(GSK!B83/$D$5,0)</f>
        <v>107.889</v>
      </c>
      <c r="F46" s="25">
        <f>+IFERROR(GSK!C83/$D$5,0)</f>
        <v>82.822999999999993</v>
      </c>
      <c r="G46" s="25">
        <f>+IFERROR(GSK!D83/$D$5,0)</f>
        <v>92.165000000000006</v>
      </c>
      <c r="H46" s="25">
        <f>+IFERROR(GSK!E83/$D$5,0)</f>
        <v>166.78399999999999</v>
      </c>
      <c r="I46" s="25">
        <f>+IFERROR(GSK!F83/$D$5,0)</f>
        <v>24.866</v>
      </c>
      <c r="J46" s="25">
        <f>+IFERROR(GSK!G83/$D$5,0)</f>
        <v>23.265000000000001</v>
      </c>
      <c r="K46" s="25">
        <f>+IFERROR(GSK!H83/$D$5,0)</f>
        <v>17.741</v>
      </c>
      <c r="L46" s="25">
        <f>+IFERROR(GSK!I83/$D$5,0)</f>
        <v>14.007999999999999</v>
      </c>
      <c r="M46" s="25">
        <f>+IFERROR(GSK!J83/$D$5,0)</f>
        <v>21.545999999999999</v>
      </c>
      <c r="N46" s="25">
        <f>+IFERROR(GSK!K83/$D$5,0)</f>
        <v>0</v>
      </c>
      <c r="O46" s="25"/>
      <c r="P46" s="25"/>
      <c r="Q46" s="25"/>
      <c r="R46" s="25"/>
      <c r="S46" s="25"/>
    </row>
    <row r="47" spans="1:19" ht="15" customHeight="1" x14ac:dyDescent="0.45">
      <c r="B47" s="2"/>
      <c r="D47" s="31" t="s">
        <v>554</v>
      </c>
      <c r="E47" s="25">
        <f>+IFERROR(GSK!B84/$D$5,0)</f>
        <v>506.93099999999998</v>
      </c>
      <c r="F47" s="25">
        <f>+IFERROR(GSK!C84/$D$5,0)</f>
        <v>413.79</v>
      </c>
      <c r="G47" s="25">
        <f>+IFERROR(GSK!D84/$D$5,0)</f>
        <v>396.10599999999999</v>
      </c>
      <c r="H47" s="25">
        <f>+IFERROR(GSK!E84/$D$5,0)</f>
        <v>444.26600000000002</v>
      </c>
      <c r="I47" s="25">
        <f>+IFERROR(GSK!F84/$D$5,0)</f>
        <v>492.59899999999999</v>
      </c>
      <c r="J47" s="25">
        <f>+IFERROR(GSK!G84/$D$5,0)</f>
        <v>379.19299999999998</v>
      </c>
      <c r="K47" s="25">
        <f>+IFERROR(GSK!H84/$D$5,0)</f>
        <v>399.05399999999997</v>
      </c>
      <c r="L47" s="25">
        <f>+IFERROR(GSK!I84/$D$5,0)</f>
        <v>405.89299999999997</v>
      </c>
      <c r="M47" s="25">
        <f>+IFERROR(GSK!J84/$D$5,0)</f>
        <v>353.01799999999997</v>
      </c>
      <c r="N47" s="25">
        <f>+IFERROR(GSK!K84/$D$5,0)</f>
        <v>0</v>
      </c>
      <c r="O47" s="25"/>
      <c r="P47" s="25"/>
      <c r="Q47" s="25"/>
      <c r="R47" s="25"/>
      <c r="S47" s="25"/>
    </row>
    <row r="48" spans="1:19" ht="15" customHeight="1" x14ac:dyDescent="0.45">
      <c r="B48" s="2"/>
      <c r="D48" s="31" t="s">
        <v>556</v>
      </c>
      <c r="E48" s="25">
        <f>+GSK!B124/$D$5</f>
        <v>1228.7570000000001</v>
      </c>
      <c r="F48" s="25">
        <f>+GSK!C124/$D$5</f>
        <v>1197.298</v>
      </c>
      <c r="G48" s="25">
        <f>+GSK!D124/$D$5</f>
        <v>1127.816</v>
      </c>
      <c r="H48" s="25">
        <f>+GSK!E124/$D$5</f>
        <v>1078.4480000000001</v>
      </c>
      <c r="I48" s="25">
        <f>+GSK!F124/$D$5</f>
        <v>1403.6780000000001</v>
      </c>
      <c r="J48" s="25">
        <f>+GSK!G124/$D$5</f>
        <v>1129.702</v>
      </c>
      <c r="K48" s="25">
        <f>+GSK!H124/$D$5</f>
        <v>1202.98</v>
      </c>
      <c r="L48" s="25">
        <f>+GSK!I124/$D$5</f>
        <v>1244.6590000000001</v>
      </c>
      <c r="M48" s="25">
        <f>+GSK!J124/$D$5</f>
        <v>1244.1869999999999</v>
      </c>
      <c r="N48" s="25">
        <f>+GSK!K124/$D$5</f>
        <v>1971.6790000000001</v>
      </c>
      <c r="O48" s="25"/>
      <c r="P48" s="25"/>
      <c r="Q48" s="25"/>
      <c r="R48" s="25"/>
      <c r="S48" s="25"/>
    </row>
    <row r="49" spans="1:19" ht="15" customHeight="1" x14ac:dyDescent="0.45">
      <c r="B49" s="2"/>
      <c r="D49" s="31" t="s">
        <v>555</v>
      </c>
      <c r="E49" s="25">
        <f>+GSK!B139/$D$5</f>
        <v>3538.875</v>
      </c>
      <c r="F49" s="25">
        <f>+GSK!C139/$D$5</f>
        <v>7953.8320000000003</v>
      </c>
      <c r="G49" s="25">
        <f>+GSK!D139/$D$5</f>
        <v>7896.9979999999996</v>
      </c>
      <c r="H49" s="25">
        <f>+GSK!E139/$D$5</f>
        <v>9519.5069999999996</v>
      </c>
      <c r="I49" s="25">
        <f>+GSK!F139/$D$5</f>
        <v>9145.0040000000008</v>
      </c>
      <c r="J49" s="25">
        <f>+GSK!G139/$D$5</f>
        <v>9497.8240000000005</v>
      </c>
      <c r="K49" s="25">
        <f>+GSK!H139/$D$5</f>
        <v>9251.5480000000007</v>
      </c>
      <c r="L49" s="25">
        <f>+GSK!I139/$D$5</f>
        <v>8684.4570000000003</v>
      </c>
      <c r="M49" s="25">
        <f>+GSK!J139/$D$5</f>
        <v>7782.491</v>
      </c>
      <c r="N49" s="25">
        <f>+GSK!K139/$D$5</f>
        <v>7742.5929999999998</v>
      </c>
      <c r="O49" s="25"/>
      <c r="P49" s="25"/>
      <c r="Q49" s="25"/>
      <c r="R49" s="25"/>
      <c r="S49" s="25"/>
    </row>
    <row r="50" spans="1:19" ht="15" customHeight="1" x14ac:dyDescent="0.45">
      <c r="B50" s="2"/>
      <c r="D50" s="31" t="s">
        <v>556</v>
      </c>
      <c r="E50" s="25">
        <f>+GSK!B126/'GSK FS'!$D$5</f>
        <v>2245.3739999999998</v>
      </c>
      <c r="F50" s="25">
        <f>+GSK!C126/'GSK FS'!$D$5</f>
        <v>2171.7869999999998</v>
      </c>
      <c r="G50" s="25">
        <f>+GSK!D126/'GSK FS'!$D$5</f>
        <v>2193.991</v>
      </c>
      <c r="H50" s="25">
        <f>+GSK!E126/'GSK FS'!$D$5</f>
        <v>2098.1120000000001</v>
      </c>
      <c r="I50" s="25">
        <f>+GSK!F126/'GSK FS'!$D$5</f>
        <v>2661.4009999999998</v>
      </c>
      <c r="J50" s="25">
        <f>+GSK!G126/'GSK FS'!$D$5</f>
        <v>2306.663</v>
      </c>
      <c r="K50" s="25">
        <f>+GSK!H126/'GSK FS'!$D$5</f>
        <v>2468.7860000000001</v>
      </c>
      <c r="L50" s="25">
        <f>+GSK!I126/'GSK FS'!$D$5</f>
        <v>2279.3330000000001</v>
      </c>
      <c r="M50" s="25">
        <f>+GSK!J126/'GSK FS'!$D$5</f>
        <v>2404.431</v>
      </c>
      <c r="N50" s="25">
        <f>+GSK!K126/'GSK FS'!$D$5</f>
        <v>3155.3960000000002</v>
      </c>
      <c r="O50" s="25"/>
      <c r="P50" s="25"/>
      <c r="Q50" s="25"/>
      <c r="R50" s="25"/>
      <c r="S50" s="25"/>
    </row>
    <row r="51" spans="1:19" ht="15" customHeight="1" x14ac:dyDescent="0.45">
      <c r="B51" s="2"/>
      <c r="D51" s="31"/>
      <c r="E51" s="25"/>
      <c r="F51" s="25"/>
      <c r="G51" s="25"/>
      <c r="H51" s="25"/>
      <c r="I51" s="25"/>
      <c r="J51" s="25"/>
      <c r="K51" s="25"/>
      <c r="L51" s="25"/>
      <c r="M51" s="25"/>
      <c r="N51" s="25"/>
      <c r="O51" s="25"/>
      <c r="P51" s="25"/>
      <c r="Q51" s="25"/>
      <c r="R51" s="25"/>
      <c r="S51" s="25"/>
    </row>
    <row r="52" spans="1:19" ht="15" customHeight="1" x14ac:dyDescent="0.45">
      <c r="B52" s="2"/>
      <c r="D52" s="31"/>
      <c r="E52" s="25"/>
      <c r="F52" s="25"/>
      <c r="G52" s="25"/>
      <c r="H52" s="25"/>
      <c r="I52" s="25"/>
      <c r="J52" s="25"/>
      <c r="K52" s="25"/>
      <c r="L52" s="25"/>
      <c r="M52" s="25"/>
      <c r="N52" s="25"/>
      <c r="O52" s="25"/>
      <c r="P52" s="25"/>
      <c r="Q52" s="25"/>
      <c r="R52" s="25"/>
      <c r="S52" s="25"/>
    </row>
    <row r="53" spans="1:19" ht="15" customHeight="1" x14ac:dyDescent="0.45">
      <c r="B53" s="2"/>
      <c r="D53" s="31"/>
      <c r="E53" s="25"/>
      <c r="F53" s="25"/>
      <c r="G53" s="25"/>
      <c r="H53" s="25"/>
      <c r="I53" s="25"/>
      <c r="J53" s="25"/>
      <c r="K53" s="25"/>
      <c r="L53" s="25"/>
      <c r="M53" s="25"/>
      <c r="N53" s="25"/>
      <c r="O53" s="25"/>
      <c r="P53" s="25"/>
      <c r="Q53" s="25"/>
      <c r="R53" s="25"/>
      <c r="S53" s="25"/>
    </row>
    <row r="54" spans="1:19" ht="15" customHeight="1" x14ac:dyDescent="0.45">
      <c r="B54" s="2"/>
      <c r="D54" s="31"/>
      <c r="E54" s="25"/>
      <c r="F54" s="25"/>
      <c r="G54" s="25"/>
      <c r="H54" s="25"/>
      <c r="I54" s="25"/>
      <c r="J54" s="25"/>
      <c r="K54" s="25"/>
      <c r="L54" s="25"/>
      <c r="M54" s="25"/>
      <c r="N54" s="25"/>
      <c r="O54" s="25"/>
      <c r="P54" s="25"/>
      <c r="Q54" s="25"/>
      <c r="R54" s="25"/>
      <c r="S54" s="25"/>
    </row>
    <row r="56" spans="1:19" ht="15" customHeight="1" x14ac:dyDescent="0.45">
      <c r="B56" s="3"/>
      <c r="D56" s="485" t="s">
        <v>448</v>
      </c>
      <c r="E56" s="23"/>
      <c r="F56" s="23"/>
      <c r="G56" s="23"/>
      <c r="H56" s="23"/>
      <c r="I56" s="23"/>
      <c r="J56" s="23"/>
      <c r="K56" s="23"/>
      <c r="L56" s="23"/>
      <c r="M56" s="23"/>
      <c r="N56" s="23"/>
      <c r="O56" s="23"/>
      <c r="P56" s="23"/>
      <c r="Q56" s="23"/>
      <c r="R56" s="23"/>
      <c r="S56" s="23"/>
    </row>
    <row r="57" spans="1:19" ht="15" customHeight="1" x14ac:dyDescent="0.45">
      <c r="D57" s="488"/>
      <c r="E57" s="23"/>
      <c r="F57" s="23"/>
      <c r="G57" s="23"/>
      <c r="H57" s="23"/>
      <c r="I57" s="23"/>
      <c r="J57" s="23"/>
      <c r="K57" s="23"/>
      <c r="L57" s="23"/>
      <c r="M57" s="23"/>
      <c r="N57" s="23"/>
      <c r="O57" s="23"/>
      <c r="P57" s="23"/>
      <c r="Q57" s="23"/>
      <c r="R57" s="23"/>
      <c r="S57" s="23"/>
    </row>
    <row r="58" spans="1:19" ht="15" customHeight="1" x14ac:dyDescent="0.45">
      <c r="B58" s="2" t="s">
        <v>278</v>
      </c>
      <c r="D58" s="487" t="s">
        <v>594</v>
      </c>
      <c r="E58" s="25">
        <f>+IFERROR(GSK!B214/$D$5,0)</f>
        <v>13119.127</v>
      </c>
      <c r="F58" s="25">
        <f>+IFERROR(GSK!C214/$D$5,0)</f>
        <v>12658.282999999999</v>
      </c>
      <c r="G58" s="25">
        <f>+IFERROR(GSK!D214/$D$5,0)</f>
        <v>12224.380999999999</v>
      </c>
      <c r="H58" s="25">
        <f>+IFERROR(GSK!E214/$D$5,0)</f>
        <v>12309.373</v>
      </c>
      <c r="I58" s="25">
        <f>+IFERROR(GSK!F214/$D$5,0)</f>
        <v>13352.633</v>
      </c>
      <c r="J58" s="25">
        <f>+IFERROR(GSK!G214/$D$5,0)</f>
        <v>12284.153</v>
      </c>
      <c r="K58" s="25">
        <f>+IFERROR(GSK!H214/$D$5,0)</f>
        <v>12706.344999999999</v>
      </c>
      <c r="L58" s="25">
        <f>+IFERROR(GSK!I214/$D$5,0)</f>
        <v>10845.754999999999</v>
      </c>
      <c r="M58" s="25">
        <f>+IFERROR(GSK!J214/$D$5,0)</f>
        <v>11474.115</v>
      </c>
      <c r="N58" s="25">
        <f>+IFERROR(GSK!K214/$D$5,0)</f>
        <v>12180.616</v>
      </c>
      <c r="O58" s="25"/>
      <c r="P58" s="25"/>
      <c r="Q58" s="25"/>
      <c r="R58" s="25"/>
      <c r="S58" s="25"/>
    </row>
    <row r="59" spans="1:19" ht="15" customHeight="1" x14ac:dyDescent="0.45">
      <c r="B59" s="2" t="s">
        <v>280</v>
      </c>
      <c r="D59" s="510" t="s">
        <v>595</v>
      </c>
      <c r="E59" s="25">
        <f>+IFERROR(GSK!B215/$D$5,0)</f>
        <v>1983.8810000000001</v>
      </c>
      <c r="F59" s="25">
        <f>+IFERROR(GSK!C215/$D$5,0)</f>
        <v>1461.652</v>
      </c>
      <c r="G59" s="25">
        <f>+IFERROR(GSK!D215/$D$5,0)</f>
        <v>1248.328</v>
      </c>
      <c r="H59" s="25">
        <f>+IFERROR(GSK!E215/$D$5,0)</f>
        <v>1739.876</v>
      </c>
      <c r="I59" s="25">
        <f>+IFERROR(GSK!F215/$D$5,0)</f>
        <v>2686.105</v>
      </c>
      <c r="J59" s="25">
        <f>+IFERROR(GSK!G215/$D$5,0)</f>
        <v>3901.9989999999998</v>
      </c>
      <c r="K59" s="25">
        <f>+IFERROR(GSK!H215/$D$5,0)</f>
        <v>2709.8609999999999</v>
      </c>
      <c r="L59" s="25">
        <f>+IFERROR(GSK!I215/$D$5,0)</f>
        <v>1775.682</v>
      </c>
      <c r="M59" s="25">
        <f>+IFERROR(GSK!J215/$D$5,0)</f>
        <v>1404.7349999999999</v>
      </c>
      <c r="N59" s="25">
        <f>+IFERROR(GSK!K215/$D$5,0)</f>
        <v>1446.2439999999999</v>
      </c>
      <c r="O59" s="25"/>
      <c r="P59" s="25"/>
      <c r="Q59" s="25"/>
      <c r="R59" s="25"/>
      <c r="S59" s="25"/>
    </row>
    <row r="60" spans="1:19" ht="15" customHeight="1" x14ac:dyDescent="0.45">
      <c r="B60" s="2" t="s">
        <v>279</v>
      </c>
      <c r="D60" s="510" t="s">
        <v>453</v>
      </c>
      <c r="E60" s="25">
        <f>+IFERROR(GSK!B216/$D$5,0)</f>
        <v>7004.6480000000001</v>
      </c>
      <c r="F60" s="25">
        <f>+IFERROR(GSK!C216/$D$5,0)</f>
        <v>6986.1819999999998</v>
      </c>
      <c r="G60" s="25">
        <f>+IFERROR(GSK!D216/$D$5,0)</f>
        <v>6454.3829999999998</v>
      </c>
      <c r="H60" s="25">
        <f>+IFERROR(GSK!E216/$D$5,0)</f>
        <v>6444.1090000000004</v>
      </c>
      <c r="I60" s="25">
        <f>+IFERROR(GSK!F216/$D$5,0)</f>
        <v>12465.132</v>
      </c>
      <c r="J60" s="25">
        <f>+IFERROR(GSK!G216/$D$5,0)</f>
        <v>11827.655000000001</v>
      </c>
      <c r="K60" s="25">
        <f>+IFERROR(GSK!H216/$D$5,0)</f>
        <v>12563.47</v>
      </c>
      <c r="L60" s="25">
        <f>+IFERROR(GSK!I216/$D$5,0)</f>
        <v>7943.7820000000002</v>
      </c>
      <c r="M60" s="25">
        <f>+IFERROR(GSK!J216/$D$5,0)</f>
        <v>7848.7690000000002</v>
      </c>
      <c r="N60" s="25">
        <f>+IFERROR(GSK!K216/$D$5,0)</f>
        <v>8442.8729999999996</v>
      </c>
      <c r="O60" s="25"/>
      <c r="P60" s="25"/>
      <c r="Q60" s="25"/>
      <c r="R60" s="25"/>
      <c r="S60" s="25"/>
    </row>
    <row r="61" spans="1:19" ht="15" customHeight="1" x14ac:dyDescent="0.45">
      <c r="B61" s="2" t="s">
        <v>279</v>
      </c>
      <c r="D61" s="510" t="s">
        <v>596</v>
      </c>
      <c r="E61" s="25">
        <f>+IFERROR(GSK!B217/$D$5,0)</f>
        <v>22623.302</v>
      </c>
      <c r="F61" s="25">
        <f>+IFERROR(GSK!C217/$D$5,0)</f>
        <v>21990.37</v>
      </c>
      <c r="G61" s="25">
        <f>+IFERROR(GSK!D217/$D$5,0)</f>
        <v>19768.377</v>
      </c>
      <c r="H61" s="25">
        <f>+IFERROR(GSK!E217/$D$5,0)</f>
        <v>19148.655999999999</v>
      </c>
      <c r="I61" s="25">
        <f>+IFERROR(GSK!F217/$D$5,0)</f>
        <v>36532.680999999997</v>
      </c>
      <c r="J61" s="25">
        <f>+IFERROR(GSK!G217/$D$5,0)</f>
        <v>33287.531999999999</v>
      </c>
      <c r="K61" s="25">
        <f>+IFERROR(GSK!H217/$D$5,0)</f>
        <v>35812.794000000002</v>
      </c>
      <c r="L61" s="25">
        <f>+IFERROR(GSK!I217/$D$5,0)</f>
        <v>16142.361000000001</v>
      </c>
      <c r="M61" s="25">
        <f>+IFERROR(GSK!J217/$D$5,0)</f>
        <v>17018.151000000002</v>
      </c>
      <c r="N61" s="25">
        <f>+IFERROR(GSK!K217/$D$5,0)</f>
        <v>18761.269</v>
      </c>
      <c r="O61" s="25"/>
      <c r="P61" s="25"/>
      <c r="Q61" s="25"/>
      <c r="R61" s="25"/>
      <c r="S61" s="25"/>
    </row>
    <row r="62" spans="1:19" ht="15" customHeight="1" x14ac:dyDescent="0.45">
      <c r="B62" s="2" t="s">
        <v>281</v>
      </c>
      <c r="D62" s="510" t="s">
        <v>597</v>
      </c>
      <c r="E62" s="25">
        <f>+IFERROR(GSK!B218/$D$5,0)</f>
        <v>3941.98</v>
      </c>
      <c r="F62" s="25">
        <f>+IFERROR(GSK!C218/$D$5,0)</f>
        <v>5122.8100000000004</v>
      </c>
      <c r="G62" s="25">
        <f>+IFERROR(GSK!D218/$D$5,0)</f>
        <v>4272.9049999999997</v>
      </c>
      <c r="H62" s="25">
        <f>+IFERROR(GSK!E218/$D$5,0)</f>
        <v>4326.87</v>
      </c>
      <c r="I62" s="25">
        <f>+IFERROR(GSK!F218/$D$5,0)</f>
        <v>4834.0450000000001</v>
      </c>
      <c r="J62" s="25">
        <f>+IFERROR(GSK!G218/$D$5,0)</f>
        <v>4784.8599999999997</v>
      </c>
      <c r="K62" s="25">
        <f>+IFERROR(GSK!H218/$D$5,0)</f>
        <v>6212.6790000000001</v>
      </c>
      <c r="L62" s="25">
        <f>+IFERROR(GSK!I218/$D$5,0)</f>
        <v>6378.9269999999997</v>
      </c>
      <c r="M62" s="25">
        <f>+IFERROR(GSK!J218/$D$5,0)</f>
        <v>6970.6660000000002</v>
      </c>
      <c r="N62" s="25">
        <f>+IFERROR(GSK!K218/$D$5,0)</f>
        <v>8170.7950000000001</v>
      </c>
      <c r="O62" s="25"/>
      <c r="P62" s="25"/>
      <c r="Q62" s="25"/>
      <c r="R62" s="25"/>
      <c r="S62" s="25"/>
    </row>
    <row r="63" spans="1:19" ht="15" customHeight="1" x14ac:dyDescent="0.45">
      <c r="B63" s="2" t="s">
        <v>278</v>
      </c>
      <c r="D63" s="510" t="s">
        <v>598</v>
      </c>
      <c r="E63" s="25">
        <f>+IFERROR(GSK!B219/$D$5,0)</f>
        <v>1343.394</v>
      </c>
      <c r="F63" s="25">
        <f>+IFERROR(GSK!C219/$D$5,0)</f>
        <v>1404.2639999999999</v>
      </c>
      <c r="G63" s="25">
        <f>+IFERROR(GSK!D219/$D$5,0)</f>
        <v>1590.52</v>
      </c>
      <c r="H63" s="25">
        <f>+IFERROR(GSK!E219/$D$5,0)</f>
        <v>1825.59</v>
      </c>
      <c r="I63" s="25">
        <f>+IFERROR(GSK!F219/$D$5,0)</f>
        <v>1177.826</v>
      </c>
      <c r="J63" s="25">
        <f>+IFERROR(GSK!G219/$D$5,0)</f>
        <v>1087.1130000000001</v>
      </c>
      <c r="K63" s="25">
        <f>+IFERROR(GSK!H219/$D$5,0)</f>
        <v>1943.0989999999999</v>
      </c>
      <c r="L63" s="25">
        <f>+IFERROR(GSK!I219/$D$5,0)</f>
        <v>1307.8040000000001</v>
      </c>
      <c r="M63" s="25">
        <f>+IFERROR(GSK!J219/$D$5,0)</f>
        <v>1794.2349999999999</v>
      </c>
      <c r="N63" s="25">
        <f>+IFERROR(GSK!K219/$D$5,0)</f>
        <v>2349.5419999999999</v>
      </c>
      <c r="O63" s="25"/>
      <c r="P63" s="25"/>
      <c r="Q63" s="25"/>
      <c r="R63" s="25"/>
      <c r="S63" s="25"/>
    </row>
    <row r="64" spans="1:19" s="29" customFormat="1" ht="15" customHeight="1" x14ac:dyDescent="0.45">
      <c r="A64" s="1"/>
      <c r="B64" s="2"/>
      <c r="C64" s="1"/>
      <c r="D64" s="478" t="s">
        <v>460</v>
      </c>
      <c r="E64" s="477">
        <f t="shared" ref="E64:N64" si="6">SUM(E58:E63)</f>
        <v>50016.332000000002</v>
      </c>
      <c r="F64" s="477">
        <f t="shared" si="6"/>
        <v>49623.560999999994</v>
      </c>
      <c r="G64" s="477">
        <f t="shared" si="6"/>
        <v>45558.893999999993</v>
      </c>
      <c r="H64" s="477">
        <f t="shared" si="6"/>
        <v>45794.473999999995</v>
      </c>
      <c r="I64" s="477">
        <f t="shared" si="6"/>
        <v>71048.421999999991</v>
      </c>
      <c r="J64" s="477">
        <f t="shared" si="6"/>
        <v>67173.311999999991</v>
      </c>
      <c r="K64" s="477">
        <f t="shared" si="6"/>
        <v>71948.248000000007</v>
      </c>
      <c r="L64" s="477">
        <f t="shared" si="6"/>
        <v>44394.311000000002</v>
      </c>
      <c r="M64" s="477">
        <f t="shared" si="6"/>
        <v>46510.671000000002</v>
      </c>
      <c r="N64" s="477">
        <f t="shared" si="6"/>
        <v>51351.339</v>
      </c>
      <c r="O64" s="477"/>
      <c r="P64" s="477"/>
      <c r="Q64" s="477"/>
      <c r="R64" s="477"/>
      <c r="S64" s="477"/>
    </row>
    <row r="65" spans="1:19" ht="15" customHeight="1" x14ac:dyDescent="0.45">
      <c r="B65" s="2"/>
      <c r="D65" s="31"/>
      <c r="E65" s="25"/>
      <c r="F65" s="25"/>
      <c r="G65" s="25"/>
      <c r="H65" s="25"/>
      <c r="I65" s="25"/>
      <c r="J65" s="25"/>
      <c r="K65" s="25"/>
      <c r="L65" s="25"/>
      <c r="M65" s="25"/>
      <c r="N65" s="25"/>
      <c r="O65" s="25"/>
      <c r="P65" s="25"/>
      <c r="Q65" s="25"/>
      <c r="R65" s="25"/>
      <c r="S65" s="25"/>
    </row>
    <row r="66" spans="1:19" ht="15" customHeight="1" x14ac:dyDescent="0.45">
      <c r="B66" s="2" t="s">
        <v>285</v>
      </c>
      <c r="D66" s="510" t="s">
        <v>599</v>
      </c>
      <c r="E66" s="25">
        <f>+IFERROR(GSK!B200/$D$5,0)</f>
        <v>7911.0990000000002</v>
      </c>
      <c r="F66" s="25">
        <f>+IFERROR(GSK!C200/$D$5,0)</f>
        <v>5735.3450000000003</v>
      </c>
      <c r="G66" s="25">
        <f>+IFERROR(GSK!D200/$D$5,0)</f>
        <v>4314.5529999999999</v>
      </c>
      <c r="H66" s="25">
        <f>+IFERROR(GSK!E200/$D$5,0)</f>
        <v>4312.3990000000003</v>
      </c>
      <c r="I66" s="25">
        <f>+IFERROR(GSK!F200/$D$5,0)</f>
        <v>5555.1390000000001</v>
      </c>
      <c r="J66" s="25">
        <f>+IFERROR(GSK!G200/$D$5,0)</f>
        <v>7022.7049999999999</v>
      </c>
      <c r="K66" s="25">
        <f>+IFERROR(GSK!H200/$D$5,0)</f>
        <v>5088.7290000000003</v>
      </c>
      <c r="L66" s="25">
        <f>+IFERROR(GSK!I200/$D$5,0)</f>
        <v>4197.375</v>
      </c>
      <c r="M66" s="25">
        <f>+IFERROR(GSK!J200/$D$5,0)</f>
        <v>3383.348</v>
      </c>
      <c r="N66" s="25">
        <f>+IFERROR(GSK!K200/$D$5,0)</f>
        <v>4679.7359999999999</v>
      </c>
      <c r="O66" s="25"/>
      <c r="P66" s="25"/>
      <c r="Q66" s="25"/>
      <c r="R66" s="25"/>
      <c r="S66" s="25"/>
    </row>
    <row r="67" spans="1:19" ht="15" customHeight="1" x14ac:dyDescent="0.45">
      <c r="B67" s="2" t="s">
        <v>285</v>
      </c>
      <c r="D67" s="510" t="s">
        <v>600</v>
      </c>
      <c r="E67" s="25">
        <f>+IFERROR(GSK!B201/$D$5,0)</f>
        <v>101.77200000000001</v>
      </c>
      <c r="F67" s="25">
        <f>+GSK!C201/$D$5</f>
        <v>104.236</v>
      </c>
      <c r="G67" s="25">
        <f>+GSK!D201/$D$5</f>
        <v>87.799000000000007</v>
      </c>
      <c r="H67" s="25">
        <f>+GSK!E201/$D$5</f>
        <v>466.416</v>
      </c>
      <c r="I67" s="25">
        <f>+GSK!F201/$D$5</f>
        <v>927.62699999999995</v>
      </c>
      <c r="J67" s="25">
        <f>+GSK!G201/$D$5</f>
        <v>535.74400000000003</v>
      </c>
      <c r="K67" s="25">
        <f>+GSK!H201/$D$5</f>
        <v>731.04300000000001</v>
      </c>
      <c r="L67" s="25">
        <f>+GSK!I201/$D$5</f>
        <v>845.56299999999999</v>
      </c>
      <c r="M67" s="25">
        <f>+GSK!J201/$D$5</f>
        <v>518.56500000000005</v>
      </c>
      <c r="N67" s="25">
        <f>+GSK!K201/$D$5</f>
        <v>25.393999999999998</v>
      </c>
      <c r="O67" s="25"/>
      <c r="P67" s="25"/>
      <c r="Q67" s="25"/>
      <c r="R67" s="25"/>
      <c r="S67" s="25"/>
    </row>
    <row r="68" spans="1:19" ht="15" customHeight="1" x14ac:dyDescent="0.45">
      <c r="B68" s="2" t="s">
        <v>284</v>
      </c>
      <c r="D68" s="510" t="s">
        <v>646</v>
      </c>
      <c r="E68" s="25">
        <f>+IFERROR(GSK!B202/$D$5,0)</f>
        <v>161.47900000000001</v>
      </c>
      <c r="F68" s="25">
        <f>+IFERROR(GSK!C202/$D$5,0)</f>
        <v>155.76900000000001</v>
      </c>
      <c r="G68" s="25">
        <f>+IFERROR(GSK!D202/$D$5,0)</f>
        <v>70.915000000000006</v>
      </c>
      <c r="H68" s="25">
        <f>+IFERROR(GSK!E202/$D$5,0)</f>
        <v>249.34899999999999</v>
      </c>
      <c r="I68" s="25">
        <f>+IFERROR(GSK!F202/$D$5,0)</f>
        <v>416.60599999999999</v>
      </c>
      <c r="J68" s="25">
        <f>+IFERROR(GSK!G202/$D$5,0)</f>
        <v>70.316000000000003</v>
      </c>
      <c r="K68" s="25">
        <f>+IFERROR(GSK!H202/$D$5,0)</f>
        <v>91.677999999999997</v>
      </c>
      <c r="L68" s="25">
        <f>+IFERROR(GSK!I202/$D$5,0)</f>
        <v>4793.7780000000002</v>
      </c>
      <c r="M68" s="25">
        <f>+IFERROR(GSK!J202/$D$5,0)</f>
        <v>2652.748</v>
      </c>
      <c r="N68" s="25">
        <f>+IFERROR(GSK!K202/$D$5,0)</f>
        <v>0</v>
      </c>
      <c r="O68" s="25"/>
      <c r="P68" s="25"/>
      <c r="Q68" s="25"/>
      <c r="R68" s="25"/>
      <c r="S68" s="25"/>
    </row>
    <row r="69" spans="1:19" ht="15" customHeight="1" x14ac:dyDescent="0.45">
      <c r="B69" s="2" t="s">
        <v>283</v>
      </c>
      <c r="D69" s="510" t="s">
        <v>602</v>
      </c>
      <c r="E69" s="25">
        <f>+IFERROR(GSK!B204/$D$5,0)</f>
        <v>5189.03</v>
      </c>
      <c r="F69" s="25">
        <f>+IFERROR(GSK!C204/$D$5,0)</f>
        <v>5405.0680000000002</v>
      </c>
      <c r="G69" s="25">
        <f>+IFERROR(GSK!D204/$D$5,0)</f>
        <v>5258.96</v>
      </c>
      <c r="H69" s="25">
        <f>+IFERROR(GSK!E204/$D$5,0)</f>
        <v>5761.7389999999996</v>
      </c>
      <c r="I69" s="25">
        <f>+IFERROR(GSK!F204/$D$5,0)</f>
        <v>6475.6850000000004</v>
      </c>
      <c r="J69" s="25">
        <f>+IFERROR(GSK!G204/$D$5,0)</f>
        <v>6193.4189999999999</v>
      </c>
      <c r="K69" s="25">
        <f>+IFERROR(GSK!H204/$D$5,0)</f>
        <v>7436.6409999999996</v>
      </c>
      <c r="L69" s="25">
        <f>+IFERROR(GSK!I204/$D$5,0)</f>
        <v>6146.6790000000001</v>
      </c>
      <c r="M69" s="25">
        <f>+IFERROR(GSK!J204/$D$5,0)</f>
        <v>6804.7250000000004</v>
      </c>
      <c r="N69" s="25">
        <f>+IFERROR(GSK!K204/$D$5,0)</f>
        <v>8266.3250000000007</v>
      </c>
      <c r="O69" s="25"/>
      <c r="P69" s="25"/>
      <c r="Q69" s="25"/>
      <c r="R69" s="25"/>
      <c r="S69" s="25"/>
    </row>
    <row r="70" spans="1:19" ht="15" customHeight="1" x14ac:dyDescent="0.45">
      <c r="B70" s="2" t="s">
        <v>284</v>
      </c>
      <c r="D70" s="510" t="s">
        <v>603</v>
      </c>
      <c r="E70" s="25">
        <f>+IFERROR(GSK!B205/$D$5,0)</f>
        <v>2209.1370000000002</v>
      </c>
      <c r="F70" s="25">
        <f>+IFERROR(GSK!C205/$D$5,0)</f>
        <v>1504.9860000000001</v>
      </c>
      <c r="G70" s="25">
        <f>+IFERROR(GSK!D205/$D$5,0)</f>
        <v>1417.173</v>
      </c>
      <c r="H70" s="25">
        <f>+IFERROR(GSK!E205/$D$5,0)</f>
        <v>841.55200000000002</v>
      </c>
      <c r="I70" s="25">
        <f>+IFERROR(GSK!F205/$D$5,0)</f>
        <v>1110.556</v>
      </c>
      <c r="J70" s="25">
        <f>+IFERROR(GSK!G205/$D$5,0)</f>
        <v>1453.204</v>
      </c>
      <c r="K70" s="25">
        <f>+IFERROR(GSK!H205/$D$5,0)</f>
        <v>1445.4179999999999</v>
      </c>
      <c r="L70" s="25">
        <f>+IFERROR(GSK!I205/$D$5,0)</f>
        <v>1092.4670000000001</v>
      </c>
      <c r="M70" s="25">
        <f>+IFERROR(GSK!J205/$D$5,0)</f>
        <v>1245.7080000000001</v>
      </c>
      <c r="N70" s="25">
        <f>+IFERROR(GSK!K205/$D$5,0)</f>
        <v>591.31600000000003</v>
      </c>
      <c r="O70" s="25"/>
      <c r="P70" s="25"/>
      <c r="Q70" s="25"/>
      <c r="R70" s="25"/>
      <c r="S70" s="25"/>
    </row>
    <row r="71" spans="1:19" ht="15" customHeight="1" x14ac:dyDescent="0.45">
      <c r="B71" s="2" t="s">
        <v>283</v>
      </c>
      <c r="D71" s="510" t="s">
        <v>604</v>
      </c>
      <c r="E71" s="25">
        <f>+IFERROR(GSK!B206/$D$5,0)</f>
        <v>48.850999999999999</v>
      </c>
      <c r="F71" s="25">
        <f>+IFERROR(GSK!C206/$D$5,0)</f>
        <v>19.91</v>
      </c>
      <c r="G71" s="25">
        <f>+IFERROR(GSK!D206/$D$5,0)</f>
        <v>21.387</v>
      </c>
      <c r="H71" s="25">
        <f>+IFERROR(GSK!E206/$D$5,0)</f>
        <v>15.584</v>
      </c>
      <c r="I71" s="25">
        <f>+IFERROR(GSK!F206/$D$5,0)</f>
        <v>15.342000000000001</v>
      </c>
      <c r="J71" s="25">
        <f>+IFERROR(GSK!G206/$D$5,0)</f>
        <v>12.276999999999999</v>
      </c>
      <c r="K71" s="25">
        <f>+IFERROR(GSK!H206/$D$5,0)</f>
        <v>21.431000000000001</v>
      </c>
      <c r="L71" s="25">
        <f>+IFERROR(GSK!I206/$D$5,0)</f>
        <v>12.401999999999999</v>
      </c>
      <c r="M71" s="25">
        <f>+IFERROR(GSK!J206/$D$5,0)</f>
        <v>10.371</v>
      </c>
      <c r="N71" s="25">
        <f>+IFERROR(GSK!K206/$D$5,0)</f>
        <v>0</v>
      </c>
      <c r="O71" s="25"/>
      <c r="P71" s="25"/>
      <c r="Q71" s="25"/>
      <c r="R71" s="25"/>
      <c r="S71" s="25"/>
    </row>
    <row r="72" spans="1:19" ht="15" customHeight="1" x14ac:dyDescent="0.45">
      <c r="B72" s="2" t="s">
        <v>136</v>
      </c>
      <c r="D72" s="510" t="s">
        <v>605</v>
      </c>
      <c r="E72" s="25">
        <f>+IFERROR(GSK!B208/$D$5,0)</f>
        <v>6399.442</v>
      </c>
      <c r="F72" s="25">
        <f>+IFERROR(GSK!C208/$D$5,0)</f>
        <v>5975.44</v>
      </c>
      <c r="G72" s="25">
        <f>+IFERROR(GSK!D208/$D$5,0)</f>
        <v>6255.1459999999997</v>
      </c>
      <c r="H72" s="25">
        <f>+IFERROR(GSK!E208/$D$5,0)</f>
        <v>6095.6890000000003</v>
      </c>
      <c r="I72" s="25">
        <f>+IFERROR(GSK!F208/$D$5,0)</f>
        <v>7018.5709999999999</v>
      </c>
      <c r="J72" s="25">
        <f>+IFERROR(GSK!G208/$D$5,0)</f>
        <v>6692.33</v>
      </c>
      <c r="K72" s="25">
        <f>+IFERROR(GSK!H208/$D$5,0)</f>
        <v>6885.3810000000003</v>
      </c>
      <c r="L72" s="25">
        <f>+IFERROR(GSK!I208/$D$5,0)</f>
        <v>5801.6890000000003</v>
      </c>
      <c r="M72" s="25">
        <f>+IFERROR(GSK!J208/$D$5,0)</f>
        <v>6335.7120000000004</v>
      </c>
      <c r="N72" s="25">
        <f>+IFERROR(GSK!K208/$D$5,0)</f>
        <v>6855.1490000000003</v>
      </c>
      <c r="O72" s="25"/>
      <c r="P72" s="25"/>
      <c r="Q72" s="25"/>
      <c r="R72" s="25"/>
      <c r="S72" s="25"/>
    </row>
    <row r="73" spans="1:19" ht="15" customHeight="1" x14ac:dyDescent="0.45">
      <c r="B73" s="2" t="s">
        <v>284</v>
      </c>
      <c r="D73" s="510" t="s">
        <v>606</v>
      </c>
      <c r="E73" s="25">
        <f>+IFERROR(GSK!B209/$D$5,0)</f>
        <v>416.58800000000002</v>
      </c>
      <c r="F73" s="25">
        <f>+IFERROR(GSK!C209/$D$5,0)</f>
        <v>392.351</v>
      </c>
      <c r="G73" s="25">
        <f>+IFERROR(GSK!D209/$D$5,0)</f>
        <v>346.69499999999999</v>
      </c>
      <c r="H73" s="25">
        <f>+IFERROR(GSK!E209/$D$5,0)</f>
        <v>367.34399999999999</v>
      </c>
      <c r="I73" s="25">
        <f>+IFERROR(GSK!F209/$D$5,0)</f>
        <v>372.93900000000002</v>
      </c>
      <c r="J73" s="25">
        <f>+IFERROR(GSK!G209/$D$5,0)</f>
        <v>400.69200000000001</v>
      </c>
      <c r="K73" s="25">
        <f>+IFERROR(GSK!H209/$D$5,0)</f>
        <v>375.04700000000003</v>
      </c>
      <c r="L73" s="25">
        <f>+IFERROR(GSK!I209/$D$5,0)</f>
        <v>386.70400000000001</v>
      </c>
      <c r="M73" s="25">
        <f>+IFERROR(GSK!J209/$D$5,0)</f>
        <v>409.09</v>
      </c>
      <c r="N73" s="25">
        <f>+IFERROR(GSK!K209/$D$5,0)</f>
        <v>0</v>
      </c>
      <c r="O73" s="25"/>
      <c r="P73" s="25"/>
      <c r="Q73" s="25"/>
      <c r="R73" s="25"/>
      <c r="S73" s="25"/>
    </row>
    <row r="74" spans="1:19" ht="15" customHeight="1" x14ac:dyDescent="0.45">
      <c r="B74" s="2" t="s">
        <v>284</v>
      </c>
      <c r="D74" s="510" t="s">
        <v>284</v>
      </c>
      <c r="E74" s="25">
        <f>+IFERROR(GSK!B210/$D$5,0)</f>
        <v>70.561999999999998</v>
      </c>
      <c r="F74" s="25">
        <f>+IFERROR(GSK!C210/$D$5,0)</f>
        <v>278.745</v>
      </c>
      <c r="G74" s="25">
        <f>+IFERROR(GSK!D210/$D$5,0)</f>
        <v>132.82499999999999</v>
      </c>
      <c r="H74" s="25">
        <f>+IFERROR(GSK!E210/$D$5,0)</f>
        <v>732.46199999999999</v>
      </c>
      <c r="I74" s="25">
        <f>+IFERROR(GSK!F210/$D$5,0)</f>
        <v>1110.556</v>
      </c>
      <c r="J74" s="25">
        <f>+IFERROR(GSK!G210/$D$5,0)</f>
        <v>217.64599999999999</v>
      </c>
      <c r="K74" s="25">
        <f>+IFERROR(GSK!H210/$D$5,0)</f>
        <v>158.35300000000001</v>
      </c>
      <c r="L74" s="25">
        <f>+IFERROR(GSK!I210/$D$5,0)</f>
        <v>138.672</v>
      </c>
      <c r="M74" s="25">
        <f>+IFERROR(GSK!J210/$D$5,0)</f>
        <v>124.456</v>
      </c>
      <c r="N74" s="25">
        <f>+IFERROR(GSK!K210/$D$5,0)</f>
        <v>135.434</v>
      </c>
      <c r="O74" s="25"/>
      <c r="P74" s="25"/>
      <c r="Q74" s="25"/>
      <c r="R74" s="25"/>
      <c r="S74" s="25"/>
    </row>
    <row r="75" spans="1:19" s="29" customFormat="1" ht="15" customHeight="1" x14ac:dyDescent="0.45">
      <c r="A75" s="1"/>
      <c r="B75" s="2"/>
      <c r="C75" s="1"/>
      <c r="D75" s="478" t="s">
        <v>466</v>
      </c>
      <c r="E75" s="477">
        <f t="shared" ref="E75:N75" si="7">SUM(E66:E74)</f>
        <v>22507.960000000003</v>
      </c>
      <c r="F75" s="477">
        <f t="shared" si="7"/>
        <v>19571.849999999999</v>
      </c>
      <c r="G75" s="477">
        <f t="shared" si="7"/>
        <v>17905.453000000001</v>
      </c>
      <c r="H75" s="477">
        <f t="shared" si="7"/>
        <v>18842.534000000003</v>
      </c>
      <c r="I75" s="477">
        <f t="shared" si="7"/>
        <v>23003.021000000001</v>
      </c>
      <c r="J75" s="477">
        <f t="shared" si="7"/>
        <v>22598.332999999999</v>
      </c>
      <c r="K75" s="477">
        <f t="shared" si="7"/>
        <v>22233.720999999998</v>
      </c>
      <c r="L75" s="477">
        <f t="shared" si="7"/>
        <v>23415.329000000002</v>
      </c>
      <c r="M75" s="477">
        <f t="shared" si="7"/>
        <v>21484.722999999998</v>
      </c>
      <c r="N75" s="477">
        <f t="shared" si="7"/>
        <v>20553.354000000003</v>
      </c>
      <c r="O75" s="477"/>
      <c r="P75" s="477"/>
      <c r="Q75" s="477"/>
      <c r="R75" s="477"/>
      <c r="S75" s="477"/>
    </row>
    <row r="76" spans="1:19" ht="15" customHeight="1" x14ac:dyDescent="0.45">
      <c r="B76" s="2"/>
      <c r="D76" s="479"/>
      <c r="E76" s="23"/>
      <c r="F76" s="23"/>
      <c r="G76" s="23"/>
      <c r="H76" s="23"/>
      <c r="I76" s="23"/>
      <c r="J76" s="23"/>
      <c r="K76" s="23"/>
      <c r="L76" s="23"/>
      <c r="M76" s="23"/>
      <c r="N76" s="23"/>
      <c r="O76" s="23"/>
      <c r="P76" s="23"/>
      <c r="Q76" s="23"/>
      <c r="R76" s="23"/>
      <c r="S76" s="23"/>
    </row>
    <row r="77" spans="1:19" ht="15" customHeight="1" x14ac:dyDescent="0.45">
      <c r="B77" s="2" t="s">
        <v>287</v>
      </c>
      <c r="D77" s="478" t="s">
        <v>467</v>
      </c>
      <c r="E77" s="477">
        <f t="shared" ref="E77:N77" si="8">SUM(E64,E75)</f>
        <v>72524.292000000001</v>
      </c>
      <c r="F77" s="477">
        <f t="shared" si="8"/>
        <v>69195.410999999993</v>
      </c>
      <c r="G77" s="477">
        <f t="shared" si="8"/>
        <v>63464.346999999994</v>
      </c>
      <c r="H77" s="477">
        <f t="shared" si="8"/>
        <v>64637.008000000002</v>
      </c>
      <c r="I77" s="477">
        <f t="shared" si="8"/>
        <v>94051.442999999999</v>
      </c>
      <c r="J77" s="477">
        <f t="shared" si="8"/>
        <v>89771.64499999999</v>
      </c>
      <c r="K77" s="477">
        <f t="shared" si="8"/>
        <v>94181.969000000012</v>
      </c>
      <c r="L77" s="477">
        <f t="shared" si="8"/>
        <v>67809.64</v>
      </c>
      <c r="M77" s="477">
        <f t="shared" si="8"/>
        <v>67995.394</v>
      </c>
      <c r="N77" s="477">
        <f t="shared" si="8"/>
        <v>71904.692999999999</v>
      </c>
      <c r="O77" s="477"/>
      <c r="P77" s="477"/>
      <c r="Q77" s="477"/>
      <c r="R77" s="477"/>
      <c r="S77" s="477"/>
    </row>
    <row r="78" spans="1:19" ht="15" customHeight="1" x14ac:dyDescent="0.45">
      <c r="B78" s="2"/>
      <c r="D78" s="31"/>
      <c r="E78" s="25"/>
      <c r="F78" s="25"/>
      <c r="G78" s="25"/>
      <c r="H78" s="25"/>
      <c r="I78" s="25"/>
      <c r="J78" s="25"/>
      <c r="K78" s="25"/>
      <c r="L78" s="25"/>
      <c r="M78" s="25"/>
      <c r="N78" s="25"/>
      <c r="O78" s="25"/>
      <c r="P78" s="25"/>
      <c r="Q78" s="25"/>
      <c r="R78" s="25"/>
      <c r="S78" s="25"/>
    </row>
    <row r="79" spans="1:19" ht="15" customHeight="1" x14ac:dyDescent="0.45">
      <c r="B79" s="2" t="s">
        <v>289</v>
      </c>
      <c r="D79" s="487" t="s">
        <v>608</v>
      </c>
      <c r="E79" s="25">
        <f>+IFERROR(GSK!B239/$D$5,0)</f>
        <v>1818.3320000000001</v>
      </c>
      <c r="F79" s="25">
        <f>+IFERROR(GSK!C239/$D$5,0)</f>
        <v>1571.7449999999999</v>
      </c>
      <c r="G79" s="25">
        <f>+IFERROR(GSK!D239/$D$5,0)</f>
        <v>1511.7260000000001</v>
      </c>
      <c r="H79" s="25">
        <f>+IFERROR(GSK!E239/$D$5,0)</f>
        <v>1497.2059999999999</v>
      </c>
      <c r="I79" s="25">
        <f>+IFERROR(GSK!F239/$D$5,0)</f>
        <v>1588.5309999999999</v>
      </c>
      <c r="J79" s="25">
        <f>+IFERROR(GSK!G239/$D$5,0)</f>
        <v>1502.3140000000001</v>
      </c>
      <c r="K79" s="25">
        <f>+IFERROR(GSK!H239/$D$5,0)</f>
        <v>1603.771</v>
      </c>
      <c r="L79" s="25">
        <f>+IFERROR(GSK!I239/$D$5,0)</f>
        <v>1518.6310000000001</v>
      </c>
      <c r="M79" s="25">
        <f>+IFERROR(GSK!J239/$D$5,0)</f>
        <v>1553.39</v>
      </c>
      <c r="N79" s="25">
        <f>+IFERROR(GSK!K239/$D$5,0)</f>
        <v>1630.048</v>
      </c>
      <c r="O79" s="25"/>
      <c r="P79" s="25"/>
      <c r="Q79" s="25"/>
      <c r="R79" s="25"/>
      <c r="S79" s="25"/>
    </row>
    <row r="80" spans="1:19" ht="15" customHeight="1" x14ac:dyDescent="0.45">
      <c r="B80" s="2" t="s">
        <v>289</v>
      </c>
      <c r="D80" s="487" t="s">
        <v>609</v>
      </c>
      <c r="E80" s="25">
        <f>+IFERROR(GSK!B240/$D$5,0)</f>
        <v>3841.5650000000001</v>
      </c>
      <c r="F80" s="25">
        <f>+IFERROR(GSK!C240/$D$5,0)</f>
        <v>3459.712</v>
      </c>
      <c r="G80" s="25">
        <f>+IFERROR(GSK!D240/$D$5,0)</f>
        <v>3398.288</v>
      </c>
      <c r="H80" s="25">
        <f>+IFERROR(GSK!E240/$D$5,0)</f>
        <v>3440.7910000000002</v>
      </c>
      <c r="I80" s="25">
        <f>+IFERROR(GSK!F240/$D$5,0)</f>
        <v>3745.913</v>
      </c>
      <c r="J80" s="25">
        <f>+IFERROR(GSK!G240/$D$5,0)</f>
        <v>3662.03</v>
      </c>
      <c r="K80" s="25">
        <f>+IFERROR(GSK!H240/$D$5,0)</f>
        <v>3930.2510000000002</v>
      </c>
      <c r="L80" s="25">
        <f>+IFERROR(GSK!I240/$D$5,0)</f>
        <v>3878.3159999999998</v>
      </c>
      <c r="M80" s="25">
        <f>+IFERROR(GSK!J240/$D$5,0)</f>
        <v>3976.817</v>
      </c>
      <c r="N80" s="25">
        <f>+IFERROR(GSK!K240/$D$5,0)</f>
        <v>4199.67</v>
      </c>
      <c r="O80" s="25"/>
      <c r="P80" s="25"/>
      <c r="Q80" s="25"/>
      <c r="R80" s="25"/>
      <c r="S80" s="25"/>
    </row>
    <row r="81" spans="1:19" ht="15" customHeight="1" x14ac:dyDescent="0.45">
      <c r="B81" s="2" t="s">
        <v>289</v>
      </c>
      <c r="D81" s="487" t="s">
        <v>610</v>
      </c>
      <c r="E81" s="25">
        <f>+IFERROR(GSK!B241/$D$5,0)</f>
        <v>-863.029</v>
      </c>
      <c r="F81" s="25">
        <f>+IFERROR(GSK!C241/$D$5,0)</f>
        <v>-6165.174</v>
      </c>
      <c r="G81" s="25">
        <f>+IFERROR(GSK!D241/$D$5,0)</f>
        <v>-7789.384</v>
      </c>
      <c r="H81" s="25">
        <f>+IFERROR(GSK!E241/$D$5,0)</f>
        <v>-3006.6570000000002</v>
      </c>
      <c r="I81" s="25">
        <f>+IFERROR(GSK!F241/$D$5,0)</f>
        <v>5964.6639999999998</v>
      </c>
      <c r="J81" s="25">
        <f>+IFERROR(GSK!G241/$D$5,0)</f>
        <v>8141.07</v>
      </c>
      <c r="K81" s="25">
        <f>+IFERROR(GSK!H241/$D$5,0)</f>
        <v>10414.392</v>
      </c>
      <c r="L81" s="25">
        <f>+IFERROR(GSK!I241/$D$5,0)</f>
        <v>5402.5839999999998</v>
      </c>
      <c r="M81" s="25">
        <f>+IFERROR(GSK!J241/$D$5,0)</f>
        <v>8922.7749999999996</v>
      </c>
      <c r="N81" s="25">
        <f>+IFERROR(GSK!K241/$D$5,0)</f>
        <v>9427.19</v>
      </c>
      <c r="O81" s="25"/>
      <c r="P81" s="25"/>
      <c r="Q81" s="25"/>
      <c r="R81" s="25"/>
      <c r="S81" s="25"/>
    </row>
    <row r="82" spans="1:19" ht="15" customHeight="1" x14ac:dyDescent="0.45">
      <c r="B82" s="2" t="s">
        <v>289</v>
      </c>
      <c r="D82" s="24" t="s">
        <v>611</v>
      </c>
      <c r="E82" s="25">
        <f>+IFERROR(GSK!B242/$D$5,0)</f>
        <v>2142.6460000000002</v>
      </c>
      <c r="F82" s="25">
        <f>+IFERROR(GSK!C242/$D$5,0)</f>
        <v>2450.1410000000001</v>
      </c>
      <c r="G82" s="25">
        <f>+IFERROR(GSK!D242/$D$5,0)</f>
        <v>2802.828</v>
      </c>
      <c r="H82" s="25">
        <f>+IFERROR(GSK!E242/$D$5,0)</f>
        <v>2277.5349999999999</v>
      </c>
      <c r="I82" s="25">
        <f>+IFERROR(GSK!F242/$D$5,0)</f>
        <v>2160.922</v>
      </c>
      <c r="J82" s="25">
        <f>+IFERROR(GSK!G242/$D$5,0)</f>
        <v>2975.6089999999999</v>
      </c>
      <c r="K82" s="25">
        <f>+IFERROR(GSK!H242/$D$5,0)</f>
        <v>1976.4369999999999</v>
      </c>
      <c r="L82" s="25">
        <f>+IFERROR(GSK!I242/$D$5,0)</f>
        <v>1148.838</v>
      </c>
      <c r="M82" s="25">
        <f>+IFERROR(GSK!J242/$D$5,0)</f>
        <v>927.65499999999997</v>
      </c>
      <c r="N82" s="25">
        <f>+IFERROR(GSK!K242/$D$5,0)</f>
        <v>1274.5329999999999</v>
      </c>
      <c r="O82" s="25"/>
      <c r="P82" s="25"/>
      <c r="Q82" s="25"/>
      <c r="R82" s="25"/>
      <c r="S82" s="25"/>
    </row>
    <row r="83" spans="1:19" ht="15" customHeight="1" x14ac:dyDescent="0.45">
      <c r="B83" s="2" t="s">
        <v>291</v>
      </c>
      <c r="D83" s="487" t="s">
        <v>648</v>
      </c>
      <c r="E83" s="25">
        <f>+IFERROR(GSK!B244/$D$5,0)</f>
        <v>5107.6120000000001</v>
      </c>
      <c r="F83" s="25">
        <f>+IFERROR(GSK!C244/$D$5,0)</f>
        <v>4496.22</v>
      </c>
      <c r="G83" s="25">
        <f>+IFERROR(GSK!D244/$D$5,0)</f>
        <v>4003.8789999999999</v>
      </c>
      <c r="H83" s="25">
        <f>+IFERROR(GSK!E244/$D$5,0)</f>
        <v>-121.33499999999999</v>
      </c>
      <c r="I83" s="25">
        <f>+IFERROR(GSK!F244/$D$5,0)</f>
        <v>8204.6579999999994</v>
      </c>
      <c r="J83" s="25">
        <f>+IFERROR(GSK!G244/$D$5,0)</f>
        <v>6943.46</v>
      </c>
      <c r="K83" s="25">
        <f>+IFERROR(GSK!H244/$D$5,0)</f>
        <v>7485.4560000000001</v>
      </c>
      <c r="L83" s="25">
        <f>+IFERROR(GSK!I244/$D$5,0)</f>
        <v>-565.96299999999997</v>
      </c>
      <c r="M83" s="25">
        <f>+IFERROR(GSK!J244/$D$5,0)</f>
        <v>-636.10599999999999</v>
      </c>
      <c r="N83" s="25">
        <f>+IFERROR(GSK!K244/$D$5,0)</f>
        <v>-707.40200000000004</v>
      </c>
      <c r="O83" s="25"/>
      <c r="P83" s="25"/>
      <c r="Q83" s="25"/>
      <c r="R83" s="25"/>
      <c r="S83" s="25"/>
    </row>
    <row r="84" spans="1:19" s="30" customFormat="1" ht="15" customHeight="1" x14ac:dyDescent="0.45">
      <c r="A84" s="4"/>
      <c r="B84" s="5"/>
      <c r="C84" s="4"/>
      <c r="D84" s="478" t="s">
        <v>245</v>
      </c>
      <c r="E84" s="477">
        <f t="shared" ref="E84:N84" si="9">SUM(E79:E83)</f>
        <v>12047.126</v>
      </c>
      <c r="F84" s="477">
        <f t="shared" si="9"/>
        <v>5812.6440000000002</v>
      </c>
      <c r="G84" s="477">
        <f t="shared" si="9"/>
        <v>3927.337</v>
      </c>
      <c r="H84" s="477">
        <f t="shared" si="9"/>
        <v>4087.54</v>
      </c>
      <c r="I84" s="477">
        <f t="shared" si="9"/>
        <v>21664.688000000002</v>
      </c>
      <c r="J84" s="477">
        <f t="shared" si="9"/>
        <v>23224.483</v>
      </c>
      <c r="K84" s="477">
        <f t="shared" si="9"/>
        <v>25410.307000000001</v>
      </c>
      <c r="L84" s="477">
        <f t="shared" si="9"/>
        <v>11382.405999999999</v>
      </c>
      <c r="M84" s="477">
        <f t="shared" si="9"/>
        <v>14744.531000000001</v>
      </c>
      <c r="N84" s="477">
        <f t="shared" si="9"/>
        <v>15824.038999999999</v>
      </c>
      <c r="O84" s="477"/>
      <c r="P84" s="477"/>
      <c r="Q84" s="477"/>
      <c r="R84" s="477"/>
      <c r="S84" s="477"/>
    </row>
    <row r="85" spans="1:19" ht="15" customHeight="1" x14ac:dyDescent="0.45">
      <c r="B85" s="2"/>
      <c r="D85" s="479"/>
      <c r="E85" s="25"/>
      <c r="F85" s="25"/>
      <c r="G85" s="25"/>
      <c r="H85" s="25"/>
      <c r="I85" s="25"/>
      <c r="J85" s="25"/>
      <c r="K85" s="25"/>
      <c r="L85" s="25"/>
      <c r="M85" s="25"/>
      <c r="N85" s="25"/>
      <c r="O85" s="25"/>
      <c r="P85" s="25"/>
      <c r="Q85" s="25"/>
      <c r="R85" s="25"/>
      <c r="S85" s="25"/>
    </row>
    <row r="86" spans="1:19" ht="15" customHeight="1" x14ac:dyDescent="0.45">
      <c r="B86" s="2" t="s">
        <v>292</v>
      </c>
      <c r="D86" s="510" t="s">
        <v>612</v>
      </c>
      <c r="E86" s="25">
        <f>+IFERROR(GSK!B231/$D$5,0)</f>
        <v>20730.337</v>
      </c>
      <c r="F86" s="25">
        <f>+IFERROR(GSK!C231/$D$5,0)</f>
        <v>17122.88</v>
      </c>
      <c r="G86" s="25">
        <f>+IFERROR(GSK!D231/$D$5,0)</f>
        <v>16007.635</v>
      </c>
      <c r="H86" s="25">
        <f>+IFERROR(GSK!E231/$D$5,0)</f>
        <v>22515.977999999999</v>
      </c>
      <c r="I86" s="25">
        <f>+IFERROR(GSK!F231/$D$5,0)</f>
        <v>26648.616999999998</v>
      </c>
      <c r="J86" s="25">
        <f>+IFERROR(GSK!G231/$D$5,0)</f>
        <v>25155.392</v>
      </c>
      <c r="K86" s="25">
        <f>+IFERROR(GSK!H231/$D$5,0)</f>
        <v>23527.931</v>
      </c>
      <c r="L86" s="25">
        <f>+IFERROR(GSK!I231/$D$5,0)</f>
        <v>18257.396000000001</v>
      </c>
      <c r="M86" s="25">
        <f>+IFERROR(GSK!J231/$D$5,0)</f>
        <v>16310.597</v>
      </c>
      <c r="N86" s="25">
        <f>+IFERROR(GSK!K231/$D$5,0)</f>
        <v>17699.561000000002</v>
      </c>
      <c r="O86" s="25"/>
      <c r="P86" s="25"/>
      <c r="Q86" s="25"/>
      <c r="R86" s="25"/>
      <c r="S86" s="25"/>
    </row>
    <row r="87" spans="1:19" ht="15" customHeight="1" x14ac:dyDescent="0.45">
      <c r="B87" s="2" t="s">
        <v>292</v>
      </c>
      <c r="D87" s="510" t="s">
        <v>613</v>
      </c>
      <c r="E87" s="25">
        <f>+IFERROR(GSK!B232/$D$5,0)</f>
        <v>63.777000000000001</v>
      </c>
      <c r="F87" s="25">
        <f>+IFERROR(GSK!C232/$D$5,0)</f>
        <v>48.018999999999998</v>
      </c>
      <c r="G87" s="25">
        <f>+IFERROR(GSK!D232/$D$5,0)</f>
        <v>48.402000000000001</v>
      </c>
      <c r="H87" s="25">
        <f>+IFERROR(GSK!E232/$D$5,0)</f>
        <v>48.978999999999999</v>
      </c>
      <c r="I87" s="25">
        <f>+IFERROR(GSK!F232/$D$5,0)</f>
        <v>1191.989</v>
      </c>
      <c r="J87" s="25">
        <f>+IFERROR(GSK!G232/$D$5,0)</f>
        <v>990.00900000000001</v>
      </c>
      <c r="K87" s="25">
        <f>+IFERROR(GSK!H232/$D$5,0)</f>
        <v>966.78700000000003</v>
      </c>
      <c r="L87" s="25">
        <f>+IFERROR(GSK!I232/$D$5,0)</f>
        <v>948.15800000000002</v>
      </c>
      <c r="M87" s="25">
        <f>+IFERROR(GSK!J232/$D$5,0)</f>
        <v>1211.1369999999999</v>
      </c>
      <c r="N87" s="25">
        <f>+IFERROR(GSK!K232/$D$5,0)</f>
        <v>0</v>
      </c>
      <c r="O87" s="25"/>
      <c r="P87" s="25"/>
      <c r="Q87" s="25"/>
      <c r="R87" s="25"/>
      <c r="S87" s="25"/>
    </row>
    <row r="88" spans="1:19" ht="15" customHeight="1" x14ac:dyDescent="0.45">
      <c r="B88" s="2" t="s">
        <v>294</v>
      </c>
      <c r="D88" s="510" t="s">
        <v>614</v>
      </c>
      <c r="E88" s="25">
        <f>+IFERROR(GSK!B233/$D$5,0)</f>
        <v>0</v>
      </c>
      <c r="F88" s="25">
        <f>+IFERROR(GSK!C233/$D$5,0)</f>
        <v>0</v>
      </c>
      <c r="G88" s="25">
        <f>+IFERROR(GSK!D233/$D$5,0)</f>
        <v>24.763999999999999</v>
      </c>
      <c r="H88" s="25">
        <f>+IFERROR(GSK!E233/$D$5,0)</f>
        <v>21.15</v>
      </c>
      <c r="I88" s="25">
        <f>+IFERROR(GSK!F233/$D$5,0)</f>
        <v>28.324000000000002</v>
      </c>
      <c r="J88" s="25">
        <f>+IFERROR(GSK!G233/$D$5,0)</f>
        <v>23.439</v>
      </c>
      <c r="K88" s="25">
        <f>+IFERROR(GSK!H233/$D$5,0)</f>
        <v>101.203</v>
      </c>
      <c r="L88" s="25">
        <f>+IFERROR(GSK!I233/$D$5,0)</f>
        <v>93.575999999999993</v>
      </c>
      <c r="M88" s="25">
        <f>+IFERROR(GSK!J233/$D$5,0)</f>
        <v>292.70100000000002</v>
      </c>
      <c r="N88" s="25">
        <f>+IFERROR(GSK!K233/$D$5,0)</f>
        <v>0</v>
      </c>
      <c r="O88" s="25"/>
      <c r="P88" s="25"/>
      <c r="Q88" s="25"/>
      <c r="R88" s="25"/>
      <c r="S88" s="25"/>
    </row>
    <row r="89" spans="1:19" ht="15" customHeight="1" x14ac:dyDescent="0.45">
      <c r="B89" s="2" t="s">
        <v>292</v>
      </c>
      <c r="D89" s="510" t="s">
        <v>649</v>
      </c>
      <c r="E89" s="25">
        <f>+IFERROR(GSK!B234/$D$5,0)</f>
        <v>4381.6360000000004</v>
      </c>
      <c r="F89" s="25">
        <f>+IFERROR(GSK!C234/$D$5,0)</f>
        <v>4790.1899999999996</v>
      </c>
      <c r="G89" s="25">
        <f>+IFERROR(GSK!D234/$D$5,0)</f>
        <v>3983.6170000000002</v>
      </c>
      <c r="H89" s="25">
        <f>+IFERROR(GSK!E234/$D$5,0)</f>
        <v>3478.6390000000001</v>
      </c>
      <c r="I89" s="25">
        <f>+IFERROR(GSK!F234/$D$5,0)</f>
        <v>4079.9059999999999</v>
      </c>
      <c r="J89" s="25">
        <f>+IFERROR(GSK!G234/$D$5,0)</f>
        <v>4073.8829999999998</v>
      </c>
      <c r="K89" s="25">
        <f>+IFERROR(GSK!H234/$D$5,0)</f>
        <v>3706.4140000000002</v>
      </c>
      <c r="L89" s="25">
        <f>+IFERROR(GSK!I234/$D$5,0)</f>
        <v>2907.6089999999999</v>
      </c>
      <c r="M89" s="25">
        <f>+IFERROR(GSK!J234/$D$5,0)</f>
        <v>2696.538</v>
      </c>
      <c r="N89" s="25">
        <f>+IFERROR(GSK!K234/$D$5,0)</f>
        <v>2254.0129999999999</v>
      </c>
      <c r="O89" s="25"/>
      <c r="P89" s="25"/>
      <c r="Q89" s="25"/>
      <c r="R89" s="25"/>
      <c r="S89" s="25"/>
    </row>
    <row r="90" spans="1:19" ht="15" customHeight="1" x14ac:dyDescent="0.45">
      <c r="B90" s="2" t="s">
        <v>293</v>
      </c>
      <c r="D90" s="510" t="s">
        <v>650</v>
      </c>
      <c r="E90" s="25">
        <f>+IFERROR(GSK!B235/$D$5,0)</f>
        <v>2065.299</v>
      </c>
      <c r="F90" s="25">
        <f>+IFERROR(GSK!C235/$D$5,0)</f>
        <v>2265.0920000000001</v>
      </c>
      <c r="G90" s="25">
        <f>+IFERROR(GSK!D235/$D$5,0)</f>
        <v>1571.384</v>
      </c>
      <c r="H90" s="25">
        <f>+IFERROR(GSK!E235/$D$5,0)</f>
        <v>1286.818</v>
      </c>
      <c r="I90" s="25">
        <f>+IFERROR(GSK!F235/$D$5,0)</f>
        <v>4496.5110000000004</v>
      </c>
      <c r="J90" s="25">
        <f>+IFERROR(GSK!G235/$D$5,0)</f>
        <v>4018.0770000000002</v>
      </c>
      <c r="K90" s="25">
        <f>+IFERROR(GSK!H235/$D$5,0)</f>
        <v>4233.8609999999999</v>
      </c>
      <c r="L90" s="25">
        <f>+IFERROR(GSK!I235/$D$5,0)</f>
        <v>325.82400000000001</v>
      </c>
      <c r="M90" s="25">
        <f>+IFERROR(GSK!J235/$D$5,0)</f>
        <v>358.38600000000002</v>
      </c>
      <c r="N90" s="25">
        <f>+IFERROR(GSK!K235/$D$5,0)</f>
        <v>461.92700000000002</v>
      </c>
      <c r="O90" s="25"/>
      <c r="P90" s="25"/>
      <c r="Q90" s="25"/>
      <c r="R90" s="25"/>
      <c r="S90" s="25"/>
    </row>
    <row r="91" spans="1:19" ht="15" customHeight="1" x14ac:dyDescent="0.45">
      <c r="B91" s="2" t="s">
        <v>294</v>
      </c>
      <c r="D91" s="510" t="s">
        <v>615</v>
      </c>
      <c r="E91" s="25">
        <f>+IFERROR(GSK!B236/$D$5,0)</f>
        <v>15029.732</v>
      </c>
      <c r="F91" s="25">
        <f>+IFERROR(GSK!C236/$D$5,0)</f>
        <v>16902.696</v>
      </c>
      <c r="G91" s="25">
        <f>+IFERROR(GSK!D236/$D$5,0)</f>
        <v>7994.25</v>
      </c>
      <c r="H91" s="25">
        <f>+IFERROR(GSK!E236/$D$5,0)</f>
        <v>8161.7219999999998</v>
      </c>
      <c r="I91" s="25">
        <f>+IFERROR(GSK!F236/$D$5,0)</f>
        <v>7557.9160000000002</v>
      </c>
      <c r="J91" s="25">
        <f>+IFERROR(GSK!G236/$D$5,0)</f>
        <v>7566.2610000000004</v>
      </c>
      <c r="K91" s="25">
        <f>+IFERROR(GSK!H236/$D$5,0)</f>
        <v>8053.384</v>
      </c>
      <c r="L91" s="25">
        <f>+IFERROR(GSK!I236/$D$5,0)</f>
        <v>8178.2849999999999</v>
      </c>
      <c r="M91" s="25">
        <f>+IFERROR(GSK!J236/$D$5,0)</f>
        <v>8103.442</v>
      </c>
      <c r="N91" s="25">
        <f>+IFERROR(GSK!K236/$D$5,0)</f>
        <v>9428.3989999999994</v>
      </c>
      <c r="O91" s="25"/>
      <c r="P91" s="25"/>
      <c r="Q91" s="25"/>
      <c r="R91" s="25"/>
      <c r="S91" s="25"/>
    </row>
    <row r="92" spans="1:19" s="29" customFormat="1" ht="15" customHeight="1" x14ac:dyDescent="0.45">
      <c r="A92" s="1"/>
      <c r="B92" s="2"/>
      <c r="C92" s="1"/>
      <c r="D92" s="478" t="s">
        <v>486</v>
      </c>
      <c r="E92" s="477">
        <f t="shared" ref="E92:N92" si="10">SUM(E86:E91)</f>
        <v>42270.781000000003</v>
      </c>
      <c r="F92" s="477">
        <f t="shared" si="10"/>
        <v>41128.877</v>
      </c>
      <c r="G92" s="477">
        <f t="shared" si="10"/>
        <v>29630.051999999996</v>
      </c>
      <c r="H92" s="477">
        <f t="shared" si="10"/>
        <v>35513.286</v>
      </c>
      <c r="I92" s="477">
        <f t="shared" si="10"/>
        <v>44003.262999999999</v>
      </c>
      <c r="J92" s="477">
        <f t="shared" si="10"/>
        <v>41827.060999999994</v>
      </c>
      <c r="K92" s="477">
        <f t="shared" si="10"/>
        <v>40589.58</v>
      </c>
      <c r="L92" s="477">
        <f t="shared" si="10"/>
        <v>30710.848000000002</v>
      </c>
      <c r="M92" s="477">
        <f t="shared" si="10"/>
        <v>28972.800999999999</v>
      </c>
      <c r="N92" s="477">
        <f t="shared" si="10"/>
        <v>29843.9</v>
      </c>
      <c r="O92" s="477"/>
      <c r="P92" s="477"/>
      <c r="Q92" s="477"/>
      <c r="R92" s="477"/>
      <c r="S92" s="477"/>
    </row>
    <row r="93" spans="1:19" ht="15" customHeight="1" x14ac:dyDescent="0.45">
      <c r="B93" s="2"/>
      <c r="D93" s="479"/>
      <c r="E93" s="23"/>
      <c r="F93" s="23"/>
      <c r="G93" s="23"/>
      <c r="H93" s="23"/>
      <c r="I93" s="23"/>
      <c r="J93" s="23"/>
      <c r="K93" s="23"/>
      <c r="L93" s="23"/>
      <c r="M93" s="23"/>
      <c r="N93" s="23"/>
      <c r="O93" s="23"/>
      <c r="P93" s="23"/>
      <c r="Q93" s="23"/>
      <c r="R93" s="23"/>
      <c r="S93" s="23"/>
    </row>
    <row r="94" spans="1:19" ht="15" customHeight="1" x14ac:dyDescent="0.45">
      <c r="B94" s="2" t="s">
        <v>296</v>
      </c>
      <c r="D94" s="510" t="s">
        <v>616</v>
      </c>
      <c r="E94" s="25">
        <f>+IFERROR(GSK!B222/$D$5,0)</f>
        <v>4233.7269999999999</v>
      </c>
      <c r="F94" s="25">
        <f>+IFERROR(GSK!C222/$D$5,0)</f>
        <v>4211.62</v>
      </c>
      <c r="G94" s="25">
        <f>+IFERROR(GSK!D222/$D$5,0)</f>
        <v>3971.2350000000001</v>
      </c>
      <c r="H94" s="25">
        <f>+IFERROR(GSK!E222/$D$5,0)</f>
        <v>4057.4850000000001</v>
      </c>
      <c r="I94" s="25">
        <f>+IFERROR(GSK!F222/$D$5,0)</f>
        <v>4890.6940000000004</v>
      </c>
      <c r="J94" s="25">
        <f>+IFERROR(GSK!G222/$D$5,0)</f>
        <v>4862.9889999999996</v>
      </c>
      <c r="K94" s="25">
        <f>+IFERROR(GSK!H222/$D$5,0)</f>
        <v>5399.482</v>
      </c>
      <c r="L94" s="25">
        <f>+IFERROR(GSK!I222/$D$5,0)</f>
        <v>4358.5950000000003</v>
      </c>
      <c r="M94" s="25">
        <f>+IFERROR(GSK!J222/$D$5,0)</f>
        <v>4283.3469999999998</v>
      </c>
      <c r="N94" s="25">
        <f>+IFERROR(GSK!K222/$D$5,0)</f>
        <v>17437.156999999999</v>
      </c>
      <c r="O94" s="25"/>
      <c r="P94" s="25"/>
      <c r="Q94" s="25"/>
      <c r="R94" s="25"/>
      <c r="S94" s="25"/>
    </row>
    <row r="95" spans="1:19" ht="15" customHeight="1" x14ac:dyDescent="0.45">
      <c r="B95" s="2" t="s">
        <v>294</v>
      </c>
      <c r="D95" s="510" t="s">
        <v>617</v>
      </c>
      <c r="E95" s="25">
        <f>+IFERROR(GSK!B223/$D$5,0)</f>
        <v>6702.0450000000001</v>
      </c>
      <c r="F95" s="25">
        <f>+IFERROR(GSK!C223/$D$5,0)</f>
        <v>6891.3149999999996</v>
      </c>
      <c r="G95" s="25">
        <f>+IFERROR(GSK!D223/$D$5,0)</f>
        <v>7094.8680000000004</v>
      </c>
      <c r="H95" s="25">
        <f>+IFERROR(GSK!E223/$D$5,0)</f>
        <v>8712.7389999999996</v>
      </c>
      <c r="I95" s="25">
        <f>+IFERROR(GSK!F223/$D$5,0)</f>
        <v>9681.0720000000001</v>
      </c>
      <c r="J95" s="25">
        <f>+IFERROR(GSK!G223/$D$5,0)</f>
        <v>9670.1710000000003</v>
      </c>
      <c r="K95" s="25">
        <f>+IFERROR(GSK!H223/$D$5,0)</f>
        <v>5791.1980000000003</v>
      </c>
      <c r="L95" s="25">
        <f>+IFERROR(GSK!I223/$D$5,0)</f>
        <v>4464.5730000000003</v>
      </c>
      <c r="M95" s="25">
        <f>+IFERROR(GSK!J223/$D$5,0)</f>
        <v>4706.2650000000003</v>
      </c>
      <c r="N95" s="25">
        <f>+IFERROR(GSK!K223/$D$5,0)</f>
        <v>0</v>
      </c>
      <c r="O95" s="25"/>
      <c r="P95" s="25"/>
      <c r="Q95" s="25"/>
      <c r="R95" s="25"/>
      <c r="S95" s="25"/>
    </row>
    <row r="96" spans="1:19" ht="15" customHeight="1" x14ac:dyDescent="0.45">
      <c r="B96" s="2" t="s">
        <v>298</v>
      </c>
      <c r="D96" s="510" t="s">
        <v>651</v>
      </c>
      <c r="E96" s="25">
        <f>+IFERROR(GSK!B224/$D$5,0)</f>
        <v>466.79599999999999</v>
      </c>
      <c r="F96" s="25">
        <f>+IFERROR(GSK!C224/$D$5,0)</f>
        <v>1623.277</v>
      </c>
      <c r="G96" s="25">
        <f>+IFERROR(GSK!D224/$D$5,0)</f>
        <v>857.73299999999995</v>
      </c>
      <c r="H96" s="25">
        <f>+IFERROR(GSK!E224/$D$5,0)</f>
        <v>4900.1499999999996</v>
      </c>
      <c r="I96" s="25">
        <f>+IFERROR(GSK!F224/$D$5,0)</f>
        <v>5864.348</v>
      </c>
      <c r="J96" s="25">
        <f>+IFERROR(GSK!G224/$D$5,0)</f>
        <v>1168.5909999999999</v>
      </c>
      <c r="K96" s="25">
        <f>+IFERROR(GSK!H224/$D$5,0)</f>
        <v>841.77200000000005</v>
      </c>
      <c r="L96" s="25">
        <f>+IFERROR(GSK!I224/$D$5,0)</f>
        <v>1678.7239999999999</v>
      </c>
      <c r="M96" s="25">
        <f>+IFERROR(GSK!J224/$D$5,0)</f>
        <v>1029.0630000000001</v>
      </c>
      <c r="N96" s="25">
        <f>+IFERROR(GSK!K224/$D$5,0)</f>
        <v>2840.491</v>
      </c>
      <c r="O96" s="25"/>
      <c r="P96" s="25"/>
      <c r="Q96" s="25"/>
      <c r="R96" s="25"/>
      <c r="S96" s="25"/>
    </row>
    <row r="97" spans="1:19" ht="15" customHeight="1" x14ac:dyDescent="0.45">
      <c r="B97" s="2" t="s">
        <v>298</v>
      </c>
      <c r="D97" s="510" t="s">
        <v>652</v>
      </c>
      <c r="E97" s="25">
        <f>+IFERROR(GSK!B225/$D$5,0)</f>
        <v>1276.903</v>
      </c>
      <c r="F97" s="25">
        <f>+IFERROR(GSK!C225/$D$5,0)</f>
        <v>3185.652</v>
      </c>
      <c r="G97" s="25">
        <f>+IFERROR(GSK!D225/$D$5,0)</f>
        <v>2296.2919999999999</v>
      </c>
      <c r="H97" s="25">
        <f>+IFERROR(GSK!E225/$D$5,0)</f>
        <v>1521.6959999999999</v>
      </c>
      <c r="I97" s="25">
        <f>+IFERROR(GSK!F225/$D$5,0)</f>
        <v>2018.1189999999999</v>
      </c>
      <c r="J97" s="25">
        <f>+IFERROR(GSK!G225/$D$5,0)</f>
        <v>2733.4079999999999</v>
      </c>
      <c r="K97" s="25">
        <f>+IFERROR(GSK!H225/$D$5,0)</f>
        <v>3203.971</v>
      </c>
      <c r="L97" s="25">
        <f>+IFERROR(GSK!I225/$D$5,0)</f>
        <v>2588.5500000000002</v>
      </c>
      <c r="M97" s="25">
        <f>+IFERROR(GSK!J225/$D$5,0)</f>
        <v>2032.7750000000001</v>
      </c>
      <c r="N97" s="25">
        <f>+IFERROR(GSK!K225/$D$5,0)</f>
        <v>0</v>
      </c>
      <c r="O97" s="25"/>
      <c r="P97" s="25"/>
      <c r="Q97" s="25"/>
      <c r="R97" s="25"/>
      <c r="S97" s="25"/>
    </row>
    <row r="98" spans="1:19" ht="15" customHeight="1" x14ac:dyDescent="0.45">
      <c r="B98" s="2" t="s">
        <v>298</v>
      </c>
      <c r="D98" s="510" t="s">
        <v>618</v>
      </c>
      <c r="E98" s="25">
        <f>+IFERROR(GSK!B226/$D$5,0)</f>
        <v>31.21</v>
      </c>
      <c r="F98" s="25">
        <f>+IFERROR(GSK!C226/$D$5,0)</f>
        <v>26.937999999999999</v>
      </c>
      <c r="G98" s="25">
        <f>+IFERROR(GSK!D226/$D$5,0)</f>
        <v>25.89</v>
      </c>
      <c r="H98" s="25">
        <f>+IFERROR(GSK!E226/$D$5,0)</f>
        <v>26.716000000000001</v>
      </c>
      <c r="I98" s="25">
        <f>+IFERROR(GSK!F226/$D$5,0)</f>
        <v>283.245</v>
      </c>
      <c r="J98" s="25">
        <f>+IFERROR(GSK!G226/$D$5,0)</f>
        <v>256.70999999999998</v>
      </c>
      <c r="K98" s="25">
        <f>+IFERROR(GSK!H226/$D$5,0)</f>
        <v>241.697</v>
      </c>
      <c r="L98" s="25">
        <f>+IFERROR(GSK!I226/$D$5,0)</f>
        <v>188.279</v>
      </c>
      <c r="M98" s="25">
        <f>+IFERROR(GSK!J226/$D$5,0)</f>
        <v>179.76900000000001</v>
      </c>
      <c r="N98" s="25">
        <f>+IFERROR(GSK!K226/$D$5,0)</f>
        <v>0</v>
      </c>
      <c r="O98" s="25"/>
      <c r="P98" s="25"/>
      <c r="Q98" s="25"/>
      <c r="R98" s="25"/>
      <c r="S98" s="25"/>
    </row>
    <row r="99" spans="1:19" ht="15" customHeight="1" x14ac:dyDescent="0.45">
      <c r="B99" s="2" t="s">
        <v>297</v>
      </c>
      <c r="D99" s="510" t="s">
        <v>619</v>
      </c>
      <c r="E99" s="25">
        <f>+IFERROR(GSK!B227/$D$5,0)</f>
        <v>1928.2460000000001</v>
      </c>
      <c r="F99" s="25">
        <f>+IFERROR(GSK!C227/$D$5,0)</f>
        <v>1528.41</v>
      </c>
      <c r="G99" s="25">
        <f>+IFERROR(GSK!D227/$D$5,0)</f>
        <v>1120.0050000000001</v>
      </c>
      <c r="H99" s="25">
        <f>+IFERROR(GSK!E227/$D$5,0)</f>
        <v>1074.204</v>
      </c>
      <c r="I99" s="25">
        <f>+IFERROR(GSK!F227/$D$5,0)</f>
        <v>742.33699999999999</v>
      </c>
      <c r="J99" s="25">
        <f>+IFERROR(GSK!G227/$D$5,0)</f>
        <v>608.29200000000003</v>
      </c>
      <c r="K99" s="25">
        <f>+IFERROR(GSK!H227/$D$5,0)</f>
        <v>582.21500000000003</v>
      </c>
      <c r="L99" s="25">
        <f>+IFERROR(GSK!I227/$D$5,0)</f>
        <v>531.01400000000001</v>
      </c>
      <c r="M99" s="25">
        <f>+IFERROR(GSK!J227/$D$5,0)</f>
        <v>576.18299999999999</v>
      </c>
      <c r="N99" s="25">
        <f>+IFERROR(GSK!K227/$D$5,0)</f>
        <v>850.09199999999998</v>
      </c>
      <c r="O99" s="25"/>
      <c r="P99" s="25"/>
      <c r="Q99" s="25"/>
      <c r="R99" s="25"/>
      <c r="S99" s="25"/>
    </row>
    <row r="100" spans="1:19" ht="15" customHeight="1" x14ac:dyDescent="0.45">
      <c r="B100" s="2" t="s">
        <v>297</v>
      </c>
      <c r="D100" s="510" t="s">
        <v>620</v>
      </c>
      <c r="E100" s="25">
        <f>+IFERROR(GSK!B228/$D$5,0)</f>
        <v>99.058000000000007</v>
      </c>
      <c r="F100" s="25">
        <f>+IFERROR(GSK!C228/$D$5,0)</f>
        <v>185.04900000000001</v>
      </c>
      <c r="G100" s="25">
        <f>+IFERROR(GSK!D228/$D$5,0)</f>
        <v>270.15199999999999</v>
      </c>
      <c r="H100" s="25">
        <f>+IFERROR(GSK!E228/$D$5,0)</f>
        <v>240.44399999999999</v>
      </c>
      <c r="I100" s="25">
        <f>+IFERROR(GSK!F228/$D$5,0)</f>
        <v>186.47</v>
      </c>
      <c r="J100" s="25">
        <f>+IFERROR(GSK!G228/$D$5,0)</f>
        <v>402.92399999999998</v>
      </c>
      <c r="K100" s="25">
        <f>+IFERROR(GSK!H228/$D$5,0)</f>
        <v>365.52199999999999</v>
      </c>
      <c r="L100" s="25">
        <f>+IFERROR(GSK!I228/$D$5,0)</f>
        <v>337.09800000000001</v>
      </c>
      <c r="M100" s="25">
        <f>+IFERROR(GSK!J228/$D$5,0)</f>
        <v>255.82499999999999</v>
      </c>
      <c r="N100" s="25">
        <f>+IFERROR(GSK!K228/$D$5,0)</f>
        <v>0</v>
      </c>
      <c r="O100" s="25"/>
      <c r="P100" s="25"/>
      <c r="Q100" s="25"/>
      <c r="R100" s="25"/>
      <c r="S100" s="25"/>
    </row>
    <row r="101" spans="1:19" ht="15" customHeight="1" x14ac:dyDescent="0.45">
      <c r="B101" s="2" t="s">
        <v>297</v>
      </c>
      <c r="D101" s="510" t="s">
        <v>297</v>
      </c>
      <c r="E101" s="25">
        <f>+IFERROR(GSK!B229/$D$5,0)</f>
        <v>3468.4</v>
      </c>
      <c r="F101" s="25">
        <f>+IFERROR(GSK!C229/$D$5,0)</f>
        <v>4601.6279999999997</v>
      </c>
      <c r="G101" s="25">
        <f>+IFERROR(GSK!D229/$D$5,0)</f>
        <v>14270.781999999999</v>
      </c>
      <c r="H101" s="25">
        <f>+IFERROR(GSK!E229/$D$5,0)</f>
        <v>4502.75</v>
      </c>
      <c r="I101" s="25">
        <f>+IFERROR(GSK!F229/$D$5,0)</f>
        <v>4717.2060000000001</v>
      </c>
      <c r="J101" s="25">
        <f>+IFERROR(GSK!G229/$D$5,0)</f>
        <v>5017.0150000000003</v>
      </c>
      <c r="K101" s="25">
        <f>+IFERROR(GSK!H229/$D$5,0)</f>
        <v>11756.226000000001</v>
      </c>
      <c r="L101" s="25">
        <f>+IFERROR(GSK!I229/$D$5,0)</f>
        <v>11569.556</v>
      </c>
      <c r="M101" s="25">
        <f>+IFERROR(GSK!J229/$D$5,0)</f>
        <v>11214.832</v>
      </c>
      <c r="N101" s="25">
        <f>+IFERROR(GSK!K229/$D$5,0)</f>
        <v>5109.0140000000001</v>
      </c>
      <c r="O101" s="25"/>
      <c r="P101" s="25"/>
      <c r="Q101" s="25"/>
      <c r="R101" s="25"/>
      <c r="S101" s="25"/>
    </row>
    <row r="102" spans="1:19" s="30" customFormat="1" ht="15" customHeight="1" x14ac:dyDescent="0.45">
      <c r="A102" s="4"/>
      <c r="B102" s="5"/>
      <c r="C102" s="4"/>
      <c r="D102" s="478" t="s">
        <v>491</v>
      </c>
      <c r="E102" s="477">
        <f t="shared" ref="E102:N102" si="11">SUM(E94:E101)</f>
        <v>18206.385000000002</v>
      </c>
      <c r="F102" s="477">
        <f t="shared" si="11"/>
        <v>22253.888999999999</v>
      </c>
      <c r="G102" s="477">
        <f t="shared" si="11"/>
        <v>29906.957000000002</v>
      </c>
      <c r="H102" s="477">
        <f t="shared" si="11"/>
        <v>25036.184000000001</v>
      </c>
      <c r="I102" s="477">
        <f t="shared" si="11"/>
        <v>28383.491000000002</v>
      </c>
      <c r="J102" s="477">
        <f t="shared" si="11"/>
        <v>24720.1</v>
      </c>
      <c r="K102" s="477">
        <f t="shared" si="11"/>
        <v>28182.082999999999</v>
      </c>
      <c r="L102" s="477">
        <f t="shared" si="11"/>
        <v>25716.389000000003</v>
      </c>
      <c r="M102" s="477">
        <f t="shared" si="11"/>
        <v>24278.059000000001</v>
      </c>
      <c r="N102" s="477">
        <f t="shared" si="11"/>
        <v>26236.754000000001</v>
      </c>
      <c r="O102" s="477"/>
      <c r="P102" s="477"/>
      <c r="Q102" s="477"/>
      <c r="R102" s="477"/>
      <c r="S102" s="477"/>
    </row>
    <row r="103" spans="1:19" ht="15" customHeight="1" x14ac:dyDescent="0.45">
      <c r="B103" s="2"/>
      <c r="D103" s="479"/>
      <c r="E103" s="28"/>
      <c r="F103" s="25"/>
      <c r="G103" s="25"/>
      <c r="H103" s="25"/>
      <c r="I103" s="25"/>
      <c r="J103" s="25"/>
      <c r="K103" s="25"/>
      <c r="L103" s="25"/>
      <c r="M103" s="25"/>
      <c r="N103" s="28"/>
      <c r="O103" s="28"/>
      <c r="P103" s="28"/>
      <c r="Q103" s="28"/>
      <c r="R103" s="28"/>
      <c r="S103" s="28"/>
    </row>
    <row r="104" spans="1:19" ht="15" customHeight="1" x14ac:dyDescent="0.45">
      <c r="B104" s="2" t="s">
        <v>300</v>
      </c>
      <c r="D104" s="479" t="s">
        <v>492</v>
      </c>
      <c r="E104" s="477">
        <f t="shared" ref="E104:N104" si="12">SUM(E84,E102,E92)</f>
        <v>72524.292000000001</v>
      </c>
      <c r="F104" s="477">
        <f t="shared" si="12"/>
        <v>69195.41</v>
      </c>
      <c r="G104" s="477">
        <f t="shared" si="12"/>
        <v>63464.345999999998</v>
      </c>
      <c r="H104" s="477">
        <f t="shared" si="12"/>
        <v>64637.01</v>
      </c>
      <c r="I104" s="477">
        <f t="shared" si="12"/>
        <v>94051.44200000001</v>
      </c>
      <c r="J104" s="477">
        <f t="shared" si="12"/>
        <v>89771.644</v>
      </c>
      <c r="K104" s="477">
        <f t="shared" si="12"/>
        <v>94181.97</v>
      </c>
      <c r="L104" s="477">
        <f t="shared" si="12"/>
        <v>67809.642999999996</v>
      </c>
      <c r="M104" s="477">
        <f t="shared" si="12"/>
        <v>67995.391000000003</v>
      </c>
      <c r="N104" s="477">
        <f t="shared" si="12"/>
        <v>71904.692999999999</v>
      </c>
      <c r="O104" s="23"/>
      <c r="P104" s="23"/>
      <c r="Q104" s="23"/>
      <c r="R104" s="23"/>
      <c r="S104" s="23"/>
    </row>
    <row r="105" spans="1:19" ht="15" customHeight="1" x14ac:dyDescent="0.45">
      <c r="B105" s="2"/>
      <c r="D105" s="474" t="s">
        <v>301</v>
      </c>
      <c r="E105" s="486">
        <f t="shared" ref="E105:N105" si="13">E104-E77</f>
        <v>0</v>
      </c>
      <c r="F105" s="486">
        <f t="shared" si="13"/>
        <v>-9.9999998928979039E-4</v>
      </c>
      <c r="G105" s="486">
        <f t="shared" si="13"/>
        <v>-9.9999999656574801E-4</v>
      </c>
      <c r="H105" s="486">
        <f t="shared" si="13"/>
        <v>2.0000000004074536E-3</v>
      </c>
      <c r="I105" s="486">
        <f t="shared" si="13"/>
        <v>-9.9999998928979039E-4</v>
      </c>
      <c r="J105" s="486">
        <f t="shared" si="13"/>
        <v>-9.9999998928979039E-4</v>
      </c>
      <c r="K105" s="486">
        <f t="shared" si="13"/>
        <v>9.9999998928979039E-4</v>
      </c>
      <c r="L105" s="486">
        <f t="shared" si="13"/>
        <v>2.9999999969732016E-3</v>
      </c>
      <c r="M105" s="486">
        <f t="shared" si="13"/>
        <v>-2.9999999969732016E-3</v>
      </c>
      <c r="N105" s="486">
        <f t="shared" si="13"/>
        <v>0</v>
      </c>
      <c r="O105" s="25"/>
      <c r="P105" s="25"/>
      <c r="Q105" s="25"/>
      <c r="R105" s="25"/>
      <c r="S105" s="25"/>
    </row>
    <row r="106" spans="1:19" ht="15" customHeight="1" x14ac:dyDescent="0.45">
      <c r="B106" s="2"/>
      <c r="D106" s="31"/>
      <c r="E106" s="25"/>
      <c r="F106" s="25"/>
      <c r="G106" s="25"/>
      <c r="H106" s="25"/>
      <c r="I106" s="25"/>
      <c r="J106" s="25"/>
      <c r="K106" s="25"/>
      <c r="L106" s="25"/>
      <c r="M106" s="25"/>
      <c r="N106" s="25"/>
      <c r="O106" s="25"/>
      <c r="P106" s="25"/>
      <c r="Q106" s="25"/>
      <c r="R106" s="25"/>
      <c r="S106" s="25"/>
    </row>
    <row r="108" spans="1:19" ht="15" customHeight="1" x14ac:dyDescent="0.45">
      <c r="B108" s="3"/>
      <c r="D108" s="485" t="s">
        <v>493</v>
      </c>
      <c r="E108" s="23"/>
      <c r="F108" s="23"/>
      <c r="G108" s="23"/>
      <c r="H108" s="23"/>
      <c r="I108" s="23"/>
      <c r="J108" s="23"/>
      <c r="K108" s="23"/>
      <c r="L108" s="23"/>
      <c r="M108" s="23"/>
      <c r="N108" s="23"/>
      <c r="O108" s="23"/>
      <c r="P108" s="23"/>
      <c r="Q108" s="23"/>
      <c r="R108" s="23"/>
      <c r="S108" s="23"/>
    </row>
    <row r="109" spans="1:19" ht="15" customHeight="1" x14ac:dyDescent="0.45">
      <c r="B109" s="3"/>
      <c r="D109" s="31"/>
      <c r="E109" s="23"/>
      <c r="F109" s="23"/>
      <c r="G109" s="23"/>
      <c r="H109" s="23"/>
      <c r="I109" s="23"/>
      <c r="J109" s="23"/>
      <c r="K109" s="23"/>
      <c r="L109" s="23"/>
      <c r="M109" s="23"/>
      <c r="N109" s="23"/>
      <c r="O109" s="23"/>
      <c r="P109" s="23"/>
      <c r="Q109" s="23"/>
      <c r="R109" s="23"/>
      <c r="S109" s="23"/>
    </row>
    <row r="110" spans="1:19" ht="15" customHeight="1" x14ac:dyDescent="0.45">
      <c r="B110" s="2"/>
      <c r="D110" s="480" t="s">
        <v>494</v>
      </c>
      <c r="E110" s="25"/>
      <c r="F110" s="25"/>
      <c r="G110" s="25"/>
      <c r="H110" s="25"/>
      <c r="I110" s="25"/>
      <c r="J110" s="25"/>
      <c r="K110" s="25"/>
      <c r="L110" s="25"/>
      <c r="M110" s="25"/>
      <c r="N110" s="25"/>
      <c r="O110" s="25"/>
      <c r="P110" s="25"/>
      <c r="Q110" s="25"/>
      <c r="R110" s="25"/>
      <c r="S110" s="25"/>
    </row>
    <row r="111" spans="1:19" ht="15" customHeight="1" x14ac:dyDescent="0.45">
      <c r="B111" s="2" t="s">
        <v>303</v>
      </c>
      <c r="D111" s="510" t="s">
        <v>557</v>
      </c>
      <c r="E111" s="25">
        <f>+IFERROR(GSK!B123/$D$5,0)-E21-E22-E33</f>
        <v>15422.827999999998</v>
      </c>
      <c r="F111" s="25">
        <f>+IFERROR(GSK!C123/$D$5,0)-F21-F22-F33</f>
        <v>2962.6400000000003</v>
      </c>
      <c r="G111" s="25">
        <f>+IFERROR(GSK!D123/$D$5,0)-G21-G22-G33</f>
        <v>4047.8109999999997</v>
      </c>
      <c r="H111" s="25">
        <f>+IFERROR(GSK!E123/$D$5,0)-H21-H22-H33</f>
        <v>5718.9389999999994</v>
      </c>
      <c r="I111" s="25">
        <f>+IFERROR(GSK!F123/$D$5,0)-I21-I22-I33</f>
        <v>7293.1969999999992</v>
      </c>
      <c r="J111" s="25">
        <f>+IFERROR(GSK!G123/$D$5,0)-J21-J22-J33</f>
        <v>7464.585</v>
      </c>
      <c r="K111" s="25">
        <f>+IFERROR(GSK!H123/$D$5,0)-K21-K22-K33</f>
        <v>6069.5820000000003</v>
      </c>
      <c r="L111" s="25">
        <f>+IFERROR(GSK!I123/$D$5,0)-L21-L22-L33</f>
        <v>19262.299000000003</v>
      </c>
      <c r="M111" s="25">
        <f>+IFERROR(GSK!J123/$D$5,0)-M21-M22-M33</f>
        <v>7228.2420000000002</v>
      </c>
      <c r="N111" s="25">
        <f>+IFERROR(GSK!K123/$D$5,0)-N21-N22-N33</f>
        <v>4309.5789999999997</v>
      </c>
      <c r="O111" s="25"/>
      <c r="P111" s="25"/>
      <c r="Q111" s="25"/>
      <c r="R111" s="25"/>
      <c r="S111" s="25"/>
    </row>
    <row r="112" spans="1:19" ht="15" customHeight="1" x14ac:dyDescent="0.45">
      <c r="B112" s="2" t="s">
        <v>314</v>
      </c>
      <c r="D112" s="467" t="str">
        <f t="shared" ref="D112:N112" si="14">D21</f>
        <v>Interest Expense</v>
      </c>
      <c r="E112" s="24">
        <f t="shared" si="14"/>
        <v>-990.44399999999996</v>
      </c>
      <c r="F112" s="24">
        <f t="shared" si="14"/>
        <v>-858.18600000000004</v>
      </c>
      <c r="G112" s="24">
        <f t="shared" si="14"/>
        <v>-823.03200000000004</v>
      </c>
      <c r="H112" s="24">
        <f t="shared" si="14"/>
        <v>-854.61900000000003</v>
      </c>
      <c r="I112" s="24">
        <f t="shared" si="14"/>
        <v>-1000.021</v>
      </c>
      <c r="J112" s="24">
        <f t="shared" si="14"/>
        <v>-949.67</v>
      </c>
      <c r="K112" s="24">
        <f t="shared" si="14"/>
        <v>-886.529</v>
      </c>
      <c r="L112" s="24">
        <f t="shared" si="14"/>
        <v>-960.76900000000001</v>
      </c>
      <c r="M112" s="24">
        <f t="shared" si="14"/>
        <v>-816.42600000000004</v>
      </c>
      <c r="N112" s="24">
        <f t="shared" si="14"/>
        <v>-790.32600000000002</v>
      </c>
      <c r="O112" s="25"/>
      <c r="P112" s="25"/>
      <c r="Q112" s="25"/>
      <c r="R112" s="25"/>
      <c r="S112" s="25"/>
    </row>
    <row r="113" spans="2:19" ht="15" customHeight="1" x14ac:dyDescent="0.45">
      <c r="B113" s="2" t="s">
        <v>310</v>
      </c>
      <c r="D113" s="467" t="str">
        <f t="shared" ref="D113:N113" si="15">D22</f>
        <v>Interest and Invest. Income</v>
      </c>
      <c r="E113" s="24">
        <f t="shared" si="15"/>
        <v>136.376</v>
      </c>
      <c r="F113" s="24">
        <f t="shared" si="15"/>
        <v>85.695999999999998</v>
      </c>
      <c r="G113" s="24">
        <f t="shared" si="15"/>
        <v>71.915000000000006</v>
      </c>
      <c r="H113" s="24">
        <f t="shared" si="15"/>
        <v>83.653000000000006</v>
      </c>
      <c r="I113" s="24">
        <f t="shared" si="15"/>
        <v>90.081999999999994</v>
      </c>
      <c r="J113" s="24">
        <f t="shared" si="15"/>
        <v>29.254999999999999</v>
      </c>
      <c r="K113" s="24">
        <f t="shared" si="15"/>
        <v>15.125</v>
      </c>
      <c r="L113" s="24">
        <f t="shared" si="15"/>
        <v>72.731999999999999</v>
      </c>
      <c r="M113" s="24">
        <f t="shared" si="15"/>
        <v>124.18899999999999</v>
      </c>
      <c r="N113" s="24">
        <f t="shared" si="15"/>
        <v>144.125</v>
      </c>
      <c r="O113" s="25"/>
      <c r="P113" s="25"/>
      <c r="Q113" s="25"/>
      <c r="R113" s="25"/>
      <c r="S113" s="25"/>
    </row>
    <row r="114" spans="2:19" ht="15" customHeight="1" x14ac:dyDescent="0.45">
      <c r="B114" s="2" t="s">
        <v>304</v>
      </c>
      <c r="D114" s="467" t="str">
        <f t="shared" ref="D114:N114" si="16">D33</f>
        <v>Income Tax Expense</v>
      </c>
      <c r="E114" s="24">
        <f t="shared" si="16"/>
        <v>-2967.2</v>
      </c>
      <c r="F114" s="24">
        <f t="shared" si="16"/>
        <v>-1073.6510000000001</v>
      </c>
      <c r="G114" s="24">
        <f t="shared" si="16"/>
        <v>-1547.894</v>
      </c>
      <c r="H114" s="24">
        <f t="shared" si="16"/>
        <v>-852.35799999999995</v>
      </c>
      <c r="I114" s="24">
        <f t="shared" si="16"/>
        <v>-1086.682</v>
      </c>
      <c r="J114" s="24">
        <f t="shared" si="16"/>
        <v>-75.388000000000005</v>
      </c>
      <c r="K114" s="24">
        <f t="shared" si="16"/>
        <v>-96.563999999999993</v>
      </c>
      <c r="L114" s="24">
        <f t="shared" si="16"/>
        <v>-829.38199999999995</v>
      </c>
      <c r="M114" s="24">
        <f t="shared" si="16"/>
        <v>-869.32100000000003</v>
      </c>
      <c r="N114" s="24">
        <f t="shared" si="16"/>
        <v>-621.39200000000005</v>
      </c>
      <c r="O114" s="25"/>
      <c r="P114" s="25"/>
      <c r="Q114" s="25"/>
      <c r="R114" s="25"/>
      <c r="S114" s="25"/>
    </row>
    <row r="115" spans="2:19" ht="15" customHeight="1" x14ac:dyDescent="0.45">
      <c r="B115" s="2" t="s">
        <v>306</v>
      </c>
      <c r="D115" s="509" t="s">
        <v>556</v>
      </c>
      <c r="E115" s="25">
        <f>+IFERROR(GSK!B124/$D$5,0)</f>
        <v>1228.7570000000001</v>
      </c>
      <c r="F115" s="25">
        <f>+IFERROR(GSK!C124/$D$5,0)</f>
        <v>1197.298</v>
      </c>
      <c r="G115" s="25">
        <f>+IFERROR(GSK!D124/$D$5,0)</f>
        <v>1127.816</v>
      </c>
      <c r="H115" s="25">
        <f>+IFERROR(GSK!E124/$D$5,0)</f>
        <v>1078.4480000000001</v>
      </c>
      <c r="I115" s="25">
        <f>+IFERROR(GSK!F124/$D$5,0)</f>
        <v>1403.6780000000001</v>
      </c>
      <c r="J115" s="25">
        <f>+IFERROR(GSK!G124/$D$5,0)</f>
        <v>1129.702</v>
      </c>
      <c r="K115" s="25">
        <f>+IFERROR(GSK!H124/$D$5,0)</f>
        <v>1202.98</v>
      </c>
      <c r="L115" s="25">
        <f>+IFERROR(GSK!I124/$D$5,0)</f>
        <v>1244.6590000000001</v>
      </c>
      <c r="M115" s="25">
        <f>+IFERROR(GSK!J124/$D$5,0)</f>
        <v>1244.1869999999999</v>
      </c>
      <c r="N115" s="25">
        <f>+IFERROR(GSK!K124/$D$5,0)</f>
        <v>1971.6790000000001</v>
      </c>
      <c r="O115" s="25"/>
      <c r="P115" s="25"/>
      <c r="Q115" s="25"/>
      <c r="R115" s="25"/>
      <c r="S115" s="25"/>
    </row>
    <row r="116" spans="2:19" ht="15" customHeight="1" x14ac:dyDescent="0.45">
      <c r="B116" s="2" t="s">
        <v>306</v>
      </c>
      <c r="D116" s="509" t="s">
        <v>560</v>
      </c>
      <c r="E116" s="25">
        <f>+IFERROR(GSK!B125/$D$5,0)</f>
        <v>1016.617</v>
      </c>
      <c r="F116" s="25">
        <f>+IFERROR(GSK!C125/$D$5,0)</f>
        <v>974.48800000000006</v>
      </c>
      <c r="G116" s="25">
        <f>+IFERROR(GSK!D125/$D$5,0)</f>
        <v>1066.175</v>
      </c>
      <c r="H116" s="25">
        <f>+IFERROR(GSK!E125/$D$5,0)</f>
        <v>1019.665</v>
      </c>
      <c r="I116" s="25">
        <f>+IFERROR(GSK!F125/$D$5,0)</f>
        <v>1257.723</v>
      </c>
      <c r="J116" s="25">
        <f>+IFERROR(GSK!G125/$D$5,0)</f>
        <v>1176.961</v>
      </c>
      <c r="K116" s="25">
        <f>+IFERROR(GSK!H125/$D$5,0)</f>
        <v>1265.8050000000001</v>
      </c>
      <c r="L116" s="25">
        <f>+IFERROR(GSK!I125/$D$5,0)</f>
        <v>1034.674</v>
      </c>
      <c r="M116" s="25">
        <f>+IFERROR(GSK!J125/$D$5,0)</f>
        <v>1160.2439999999999</v>
      </c>
      <c r="N116" s="25">
        <f>+IFERROR(GSK!K125/$D$5,0)</f>
        <v>1183.7159999999999</v>
      </c>
      <c r="O116" s="25"/>
      <c r="P116" s="25"/>
      <c r="Q116" s="25"/>
      <c r="R116" s="25"/>
      <c r="S116" s="25"/>
    </row>
    <row r="117" spans="2:19" ht="15" customHeight="1" x14ac:dyDescent="0.45">
      <c r="B117" s="2" t="s">
        <v>306</v>
      </c>
      <c r="D117" s="509" t="s">
        <v>561</v>
      </c>
      <c r="E117" s="25">
        <f>+IFERROR(GSK!B127/$D$5,0)</f>
        <v>0</v>
      </c>
      <c r="F117" s="25">
        <f>+IFERROR(GSK!C127/$D$5,0)</f>
        <v>0</v>
      </c>
      <c r="G117" s="25">
        <f>+IFERROR(GSK!D127/$D$5,0)</f>
        <v>0</v>
      </c>
      <c r="H117" s="25">
        <f>+IFERROR(GSK!E127/$D$5,0)</f>
        <v>0</v>
      </c>
      <c r="I117" s="25">
        <f>+IFERROR(GSK!F127/$D$5,0)</f>
        <v>0</v>
      </c>
      <c r="J117" s="25">
        <f>+IFERROR(GSK!G127/$D$5,0)</f>
        <v>0</v>
      </c>
      <c r="K117" s="25">
        <f>+IFERROR(GSK!H127/$D$5,0)</f>
        <v>0</v>
      </c>
      <c r="L117" s="25">
        <f>+IFERROR(GSK!I127/$D$5,0)</f>
        <v>239.31200000000001</v>
      </c>
      <c r="M117" s="25">
        <f>+IFERROR(GSK!J127/$D$5,0)</f>
        <v>233.429</v>
      </c>
      <c r="N117" s="25">
        <f>+IFERROR(GSK!K127/$D$5,0)</f>
        <v>0</v>
      </c>
      <c r="O117" s="25"/>
      <c r="P117" s="25"/>
      <c r="Q117" s="25"/>
      <c r="R117" s="25"/>
      <c r="S117" s="25"/>
    </row>
    <row r="118" spans="2:19" ht="15" customHeight="1" x14ac:dyDescent="0.45">
      <c r="B118" s="2" t="s">
        <v>305</v>
      </c>
      <c r="D118" s="509" t="s">
        <v>562</v>
      </c>
      <c r="E118" s="25">
        <f>+IFERROR(GSK!B128/$D$5,0)</f>
        <v>-13302.81</v>
      </c>
      <c r="F118" s="25">
        <f>+IFERROR(GSK!C128/$D$5,0)</f>
        <v>-224.03399999999999</v>
      </c>
      <c r="G118" s="25">
        <f>+IFERROR(GSK!D128/$D$5,0)</f>
        <v>-231.727</v>
      </c>
      <c r="H118" s="25">
        <f>+IFERROR(GSK!E128/$D$5,0)</f>
        <v>-298.43799999999999</v>
      </c>
      <c r="I118" s="25">
        <f>+IFERROR(GSK!F128/$D$5,0)</f>
        <v>-619.16899999999998</v>
      </c>
      <c r="J118" s="25">
        <f>+IFERROR(GSK!G128/$D$5,0)</f>
        <v>-3481.373</v>
      </c>
      <c r="K118" s="25">
        <f>+IFERROR(GSK!H128/$D$5,0)</f>
        <v>-681.76599999999996</v>
      </c>
      <c r="L118" s="25">
        <f>+IFERROR(GSK!I128/$D$5,0)</f>
        <v>-259.255</v>
      </c>
      <c r="M118" s="25">
        <f>+IFERROR(GSK!J128/$D$5,0)</f>
        <v>-13.798999999999999</v>
      </c>
      <c r="N118" s="25">
        <f>+IFERROR(GSK!K128/$D$5,0)</f>
        <v>0</v>
      </c>
      <c r="O118" s="25"/>
      <c r="P118" s="25"/>
      <c r="Q118" s="25"/>
      <c r="R118" s="25"/>
      <c r="S118" s="25"/>
    </row>
    <row r="119" spans="2:19" ht="15" customHeight="1" x14ac:dyDescent="0.45">
      <c r="B119" s="2" t="s">
        <v>305</v>
      </c>
      <c r="D119" s="509" t="s">
        <v>563</v>
      </c>
      <c r="E119" s="25">
        <f>+IFERROR(GSK!B129/$D$5,0)</f>
        <v>-1632.373</v>
      </c>
      <c r="F119" s="25">
        <f>+IFERROR(GSK!C129/$D$5,0)</f>
        <v>-310.95499999999998</v>
      </c>
      <c r="G119" s="25">
        <f>+IFERROR(GSK!D129/$D$5,0)</f>
        <v>-149.53800000000001</v>
      </c>
      <c r="H119" s="25">
        <f>+IFERROR(GSK!E129/$D$5,0)</f>
        <v>-7.9130000000000003</v>
      </c>
      <c r="I119" s="25">
        <f>+IFERROR(GSK!F129/$D$5,0)</f>
        <v>-2.2810000000000001</v>
      </c>
      <c r="J119" s="25">
        <f>+IFERROR(GSK!G129/$D$5,0)</f>
        <v>-77.638999999999996</v>
      </c>
      <c r="K119" s="25">
        <f>+IFERROR(GSK!H129/$D$5,0)</f>
        <v>32.576000000000001</v>
      </c>
      <c r="L119" s="25">
        <f>+IFERROR(GSK!I129/$D$5,0)</f>
        <v>-1.173</v>
      </c>
      <c r="M119" s="25">
        <f>+IFERROR(GSK!J129/$D$5,0)</f>
        <v>-1.1499999999999999</v>
      </c>
      <c r="N119" s="25">
        <f>+IFERROR(GSK!K129/$D$5,0)</f>
        <v>-7.0880000000000001</v>
      </c>
      <c r="O119" s="25"/>
      <c r="P119" s="25"/>
      <c r="Q119" s="25"/>
      <c r="R119" s="25"/>
      <c r="S119" s="25"/>
    </row>
    <row r="120" spans="2:19" ht="15" customHeight="1" x14ac:dyDescent="0.45">
      <c r="B120" s="2" t="s">
        <v>306</v>
      </c>
      <c r="D120" s="509" t="s">
        <v>564</v>
      </c>
      <c r="E120" s="25">
        <f>+IFERROR(GSK!B130/$D$5,0)</f>
        <v>1132.33</v>
      </c>
      <c r="F120" s="25">
        <f>+IFERROR(GSK!C130/$D$5,0)</f>
        <v>276.67599999999999</v>
      </c>
      <c r="G120" s="25">
        <f>+IFERROR(GSK!D130/$D$5,0)</f>
        <v>1211.1469999999999</v>
      </c>
      <c r="H120" s="25">
        <f>+IFERROR(GSK!E130/$D$5,0)</f>
        <v>395.65699999999998</v>
      </c>
      <c r="I120" s="25">
        <f>+IFERROR(GSK!F130/$D$5,0)</f>
        <v>962.39200000000005</v>
      </c>
      <c r="J120" s="25">
        <f>+IFERROR(GSK!G130/$D$5,0)</f>
        <v>1189.338</v>
      </c>
      <c r="K120" s="25">
        <f>+IFERROR(GSK!H130/$D$5,0)</f>
        <v>579.38499999999999</v>
      </c>
      <c r="L120" s="25">
        <f>+IFERROR(GSK!I130/$D$5,0)</f>
        <v>232.274</v>
      </c>
      <c r="M120" s="25">
        <f>+IFERROR(GSK!J130/$D$5,0)</f>
        <v>413.96199999999999</v>
      </c>
      <c r="N120" s="25">
        <f>+IFERROR(GSK!K130/$D$5,0)</f>
        <v>370.94499999999999</v>
      </c>
      <c r="O120" s="25"/>
      <c r="P120" s="25"/>
      <c r="Q120" s="25"/>
      <c r="R120" s="25"/>
      <c r="S120" s="25"/>
    </row>
    <row r="121" spans="2:19" ht="15" customHeight="1" x14ac:dyDescent="0.45">
      <c r="B121" s="2" t="s">
        <v>305</v>
      </c>
      <c r="D121" s="509" t="s">
        <v>565</v>
      </c>
      <c r="E121" s="25">
        <f>+IFERROR(GSK!B131/$D$5,0)</f>
        <v>-19.285</v>
      </c>
      <c r="F121" s="25">
        <f>+IFERROR(GSK!C131/$D$5,0)</f>
        <v>-6.1210000000000004</v>
      </c>
      <c r="G121" s="25">
        <f>+IFERROR(GSK!D131/$D$5,0)</f>
        <v>-14.84</v>
      </c>
      <c r="H121" s="25">
        <f>+IFERROR(GSK!E131/$D$5,0)</f>
        <v>-35.043999999999997</v>
      </c>
      <c r="I121" s="25">
        <f>+IFERROR(GSK!F131/$D$5,0)</f>
        <v>-84.38</v>
      </c>
      <c r="J121" s="25">
        <f>+IFERROR(GSK!G131/$D$5,0)</f>
        <v>-37.131999999999998</v>
      </c>
      <c r="K121" s="25">
        <f>+IFERROR(GSK!H131/$D$5,0)</f>
        <v>-38.393000000000001</v>
      </c>
      <c r="L121" s="25">
        <f>+IFERROR(GSK!I131/$D$5,0)</f>
        <v>2.3460000000000001</v>
      </c>
      <c r="M121" s="25">
        <f>+IFERROR(GSK!J131/$D$5,0)</f>
        <v>5.7489999999999997</v>
      </c>
      <c r="N121" s="25">
        <f>+IFERROR(GSK!K131/$D$5,0)</f>
        <v>3.544</v>
      </c>
      <c r="O121" s="25"/>
      <c r="P121" s="25"/>
      <c r="Q121" s="25"/>
      <c r="R121" s="25"/>
      <c r="S121" s="25"/>
    </row>
    <row r="122" spans="2:19" ht="15" customHeight="1" x14ac:dyDescent="0.45">
      <c r="B122" s="2" t="s">
        <v>306</v>
      </c>
      <c r="D122" s="509" t="s">
        <v>566</v>
      </c>
      <c r="E122" s="25">
        <f>+IFERROR(GSK!B132/$D$5,0)</f>
        <v>506.93099999999998</v>
      </c>
      <c r="F122" s="25">
        <f>+IFERROR(GSK!C132/$D$5,0)</f>
        <v>390.53</v>
      </c>
      <c r="G122" s="25">
        <f>+IFERROR(GSK!D132/$D$5,0)</f>
        <v>380.12400000000002</v>
      </c>
      <c r="H122" s="25">
        <f>+IFERROR(GSK!E132/$D$5,0)</f>
        <v>406.96100000000001</v>
      </c>
      <c r="I122" s="25">
        <f>+IFERROR(GSK!F132/$D$5,0)</f>
        <v>416.2</v>
      </c>
      <c r="J122" s="25">
        <f>+IFERROR(GSK!G132/$D$5,0)</f>
        <v>379.19299999999998</v>
      </c>
      <c r="K122" s="25">
        <f>+IFERROR(GSK!H132/$D$5,0)</f>
        <v>399.05399999999997</v>
      </c>
      <c r="L122" s="25">
        <f>+IFERROR(GSK!I132/$D$5,0)</f>
        <v>405.89299999999997</v>
      </c>
      <c r="M122" s="25">
        <f>+IFERROR(GSK!J132/$D$5,0)</f>
        <v>353.01799999999997</v>
      </c>
      <c r="N122" s="25">
        <f>+IFERROR(GSK!K132/$D$5,0)</f>
        <v>0</v>
      </c>
      <c r="O122" s="25"/>
      <c r="P122" s="25"/>
      <c r="Q122" s="25"/>
      <c r="R122" s="25"/>
      <c r="S122" s="25"/>
    </row>
    <row r="123" spans="2:19" ht="15" customHeight="1" x14ac:dyDescent="0.45">
      <c r="B123" s="2" t="s">
        <v>305</v>
      </c>
      <c r="D123" s="509" t="s">
        <v>653</v>
      </c>
      <c r="E123" s="25">
        <f>+IFERROR(GSK!B133/$D$5,0)</f>
        <v>0</v>
      </c>
      <c r="F123" s="25">
        <f>+IFERROR(GSK!C133/$D$5,0)</f>
        <v>0</v>
      </c>
      <c r="G123" s="25">
        <f>+IFERROR(GSK!D133/$D$5,0)</f>
        <v>0</v>
      </c>
      <c r="H123" s="25">
        <f>+IFERROR(GSK!E133/$D$5,0)</f>
        <v>0</v>
      </c>
      <c r="I123" s="25">
        <f>+IFERROR(GSK!F133/$D$5,0)</f>
        <v>0</v>
      </c>
      <c r="J123" s="25">
        <f>+IFERROR(GSK!G133/$D$5,0)</f>
        <v>2084.998</v>
      </c>
      <c r="K123" s="25">
        <f>+IFERROR(GSK!H133/$D$5,0)</f>
        <v>1948.7349999999999</v>
      </c>
      <c r="L123" s="25">
        <f>+IFERROR(GSK!I133/$D$5,0)</f>
        <v>902.11400000000003</v>
      </c>
      <c r="M123" s="25">
        <f>+IFERROR(GSK!J133/$D$5,0)</f>
        <v>0</v>
      </c>
      <c r="N123" s="25">
        <f>+IFERROR(GSK!K133/$D$5,0)</f>
        <v>0</v>
      </c>
      <c r="O123" s="25"/>
      <c r="P123" s="25"/>
      <c r="Q123" s="25"/>
      <c r="R123" s="25"/>
      <c r="S123" s="25"/>
    </row>
    <row r="124" spans="2:19" ht="15" customHeight="1" x14ac:dyDescent="0.45">
      <c r="B124" s="2" t="s">
        <v>306</v>
      </c>
      <c r="D124" s="509" t="s">
        <v>567</v>
      </c>
      <c r="E124" s="25">
        <f>+IFERROR(GSK!B134/$D$5,0)</f>
        <v>699.78499999999997</v>
      </c>
      <c r="F124" s="25">
        <f>+IFERROR(GSK!C134/$D$5,0)</f>
        <v>4099.951</v>
      </c>
      <c r="G124" s="25">
        <f>+IFERROR(GSK!D134/$D$5,0)</f>
        <v>3515.8649999999998</v>
      </c>
      <c r="H124" s="25">
        <f>+IFERROR(GSK!E134/$D$5,0)</f>
        <v>3123.4290000000001</v>
      </c>
      <c r="I124" s="25">
        <f>+IFERROR(GSK!F134/$D$5,0)</f>
        <v>204.10900000000001</v>
      </c>
      <c r="J124" s="25">
        <f>+IFERROR(GSK!G134/$D$5,0)</f>
        <v>-366.81599999999997</v>
      </c>
      <c r="K124" s="25">
        <f>+IFERROR(GSK!H134/$D$5,0)</f>
        <v>-935.39300000000003</v>
      </c>
      <c r="L124" s="25">
        <f>+IFERROR(GSK!I134/$D$5,0)</f>
        <v>-11068.196</v>
      </c>
      <c r="M124" s="25">
        <f>+IFERROR(GSK!J134/$D$5,0)</f>
        <v>-295.52300000000002</v>
      </c>
      <c r="N124" s="25">
        <f>+IFERROR(GSK!K134/$D$5,0)</f>
        <v>-1291.22</v>
      </c>
      <c r="O124" s="25"/>
      <c r="P124" s="25"/>
      <c r="Q124" s="25"/>
      <c r="R124" s="25"/>
      <c r="S124" s="25"/>
    </row>
    <row r="125" spans="2:19" ht="15" customHeight="1" x14ac:dyDescent="0.45">
      <c r="B125" s="2" t="s">
        <v>308</v>
      </c>
      <c r="D125" s="509" t="s">
        <v>568</v>
      </c>
      <c r="E125" s="25">
        <f>+IFERROR(GSK!B135/$D$5,0)</f>
        <v>134.99799999999999</v>
      </c>
      <c r="F125" s="25">
        <f>+IFERROR(GSK!C135/$D$5,0)</f>
        <v>-230.15600000000001</v>
      </c>
      <c r="G125" s="25">
        <f>+IFERROR(GSK!D135/$D$5,0)</f>
        <v>-327.61500000000001</v>
      </c>
      <c r="H125" s="25">
        <f>+IFERROR(GSK!E135/$D$5,0)</f>
        <v>-484.96199999999999</v>
      </c>
      <c r="I125" s="25">
        <f>+IFERROR(GSK!F135/$D$5,0)</f>
        <v>-36.488999999999997</v>
      </c>
      <c r="J125" s="25">
        <f>+IFERROR(GSK!G135/$D$5,0)</f>
        <v>-313.93099999999998</v>
      </c>
      <c r="K125" s="25">
        <f>+IFERROR(GSK!H135/$D$5,0)</f>
        <v>-907.471</v>
      </c>
      <c r="L125" s="25">
        <f>+IFERROR(GSK!I135/$D$5,0)</f>
        <v>-185.35</v>
      </c>
      <c r="M125" s="25">
        <f>+IFERROR(GSK!J135/$D$5,0)</f>
        <v>-913.01700000000005</v>
      </c>
      <c r="N125" s="25">
        <f>+IFERROR(GSK!K135/$D$5,0)</f>
        <v>0</v>
      </c>
      <c r="O125" s="25"/>
      <c r="P125" s="25"/>
      <c r="Q125" s="25"/>
      <c r="R125" s="25"/>
      <c r="S125" s="25"/>
    </row>
    <row r="126" spans="2:19" ht="15" customHeight="1" x14ac:dyDescent="0.45">
      <c r="B126" s="2" t="s">
        <v>308</v>
      </c>
      <c r="D126" s="509" t="s">
        <v>569</v>
      </c>
      <c r="E126" s="25">
        <f>+IFERROR(GSK!B136/$D$5,0)</f>
        <v>-152.90600000000001</v>
      </c>
      <c r="F126" s="25">
        <f>+IFERROR(GSK!C136/$D$5,0)</f>
        <v>85.695999999999998</v>
      </c>
      <c r="G126" s="25">
        <f>+IFERROR(GSK!D136/$D$5,0)</f>
        <v>-526.23800000000006</v>
      </c>
      <c r="H126" s="25">
        <f>+IFERROR(GSK!E136/$D$5,0)</f>
        <v>57.652999999999999</v>
      </c>
      <c r="I126" s="25">
        <f>+IFERROR(GSK!F136/$D$5,0)</f>
        <v>342.08199999999999</v>
      </c>
      <c r="J126" s="25">
        <f>+IFERROR(GSK!G136/$D$5,0)</f>
        <v>112.52</v>
      </c>
      <c r="K126" s="25">
        <f>+IFERROR(GSK!H136/$D$5,0)</f>
        <v>59.335000000000001</v>
      </c>
      <c r="L126" s="25">
        <f>+IFERROR(GSK!I136/$D$5,0)</f>
        <v>-315.56400000000002</v>
      </c>
      <c r="M126" s="25">
        <f>+IFERROR(GSK!J136/$D$5,0)</f>
        <v>-487.55599999999998</v>
      </c>
      <c r="N126" s="25">
        <f>+IFERROR(GSK!K136/$D$5,0)</f>
        <v>0</v>
      </c>
      <c r="O126" s="25"/>
      <c r="P126" s="25"/>
      <c r="Q126" s="25"/>
      <c r="R126" s="25"/>
      <c r="S126" s="25"/>
    </row>
    <row r="127" spans="2:19" ht="15" customHeight="1" x14ac:dyDescent="0.45">
      <c r="B127" s="2" t="s">
        <v>308</v>
      </c>
      <c r="D127" s="509" t="s">
        <v>570</v>
      </c>
      <c r="E127" s="25">
        <f>+IFERROR(GSK!B137/$D$5,0)</f>
        <v>55.100999999999999</v>
      </c>
      <c r="F127" s="25">
        <f>+IFERROR(GSK!C137/$D$5,0)</f>
        <v>117.526</v>
      </c>
      <c r="G127" s="25">
        <f>+IFERROR(GSK!D137/$D$5,0)</f>
        <v>12.557</v>
      </c>
      <c r="H127" s="25">
        <f>+IFERROR(GSK!E137/$D$5,0)</f>
        <v>148.089</v>
      </c>
      <c r="I127" s="25">
        <f>+IFERROR(GSK!F137/$D$5,0)</f>
        <v>299.892</v>
      </c>
      <c r="J127" s="25">
        <f>+IFERROR(GSK!G137/$D$5,0)</f>
        <v>148.52699999999999</v>
      </c>
      <c r="K127" s="25">
        <f>+IFERROR(GSK!H137/$D$5,0)</f>
        <v>266.42399999999998</v>
      </c>
      <c r="L127" s="25">
        <f>+IFERROR(GSK!I137/$D$5,0)</f>
        <v>579.51099999999997</v>
      </c>
      <c r="M127" s="25">
        <f>+IFERROR(GSK!J137/$D$5,0)</f>
        <v>-17.248000000000001</v>
      </c>
      <c r="N127" s="25">
        <f>+IFERROR(GSK!K137/$D$5,0)</f>
        <v>0</v>
      </c>
      <c r="O127" s="25"/>
      <c r="P127" s="25"/>
      <c r="Q127" s="25"/>
      <c r="R127" s="25"/>
      <c r="S127" s="25"/>
    </row>
    <row r="128" spans="2:19" ht="15" customHeight="1" x14ac:dyDescent="0.45">
      <c r="B128" s="2" t="s">
        <v>308</v>
      </c>
      <c r="D128" s="509" t="s">
        <v>626</v>
      </c>
      <c r="E128" s="25">
        <f>+IFERROR(GSK!B138/$D$5,0)</f>
        <v>2270.17</v>
      </c>
      <c r="F128" s="25">
        <f>+IFERROR(GSK!C138/$D$5,0)</f>
        <v>466.43200000000002</v>
      </c>
      <c r="G128" s="25">
        <f>+IFERROR(GSK!D138/$D$5,0)</f>
        <v>84.471999999999994</v>
      </c>
      <c r="H128" s="25">
        <f>+IFERROR(GSK!E138/$D$5,0)</f>
        <v>20.347999999999999</v>
      </c>
      <c r="I128" s="25">
        <f>+IFERROR(GSK!F138/$D$5,0)</f>
        <v>-295.33100000000002</v>
      </c>
      <c r="J128" s="25">
        <f>+IFERROR(GSK!G138/$D$5,0)</f>
        <v>1084.694</v>
      </c>
      <c r="K128" s="25">
        <f>+IFERROR(GSK!H138/$D$5,0)</f>
        <v>958.66099999999994</v>
      </c>
      <c r="L128" s="25">
        <f>+IFERROR(GSK!I138/$D$5,0)</f>
        <v>-1671.6669999999999</v>
      </c>
      <c r="M128" s="25">
        <f>+IFERROR(GSK!J138/$D$5,0)</f>
        <v>433.51</v>
      </c>
      <c r="N128" s="25">
        <f>+IFERROR(GSK!K138/$D$5,0)</f>
        <v>2469.029</v>
      </c>
      <c r="O128" s="25"/>
      <c r="P128" s="25"/>
      <c r="Q128" s="25"/>
      <c r="R128" s="25"/>
      <c r="S128" s="25"/>
    </row>
    <row r="129" spans="1:19" ht="15" customHeight="1" x14ac:dyDescent="0.45">
      <c r="B129" s="2"/>
      <c r="D129" s="1"/>
      <c r="E129" s="25"/>
      <c r="F129" s="25"/>
      <c r="G129" s="25"/>
      <c r="H129" s="25"/>
      <c r="I129" s="25"/>
      <c r="J129" s="25"/>
      <c r="K129" s="25"/>
      <c r="L129" s="25"/>
      <c r="M129" s="25"/>
      <c r="N129" s="25"/>
      <c r="O129" s="25"/>
      <c r="P129" s="25"/>
      <c r="Q129" s="25"/>
      <c r="R129" s="25"/>
      <c r="S129" s="25"/>
    </row>
    <row r="130" spans="1:19" ht="15" customHeight="1" x14ac:dyDescent="0.45">
      <c r="B130" s="2"/>
      <c r="D130" s="1"/>
      <c r="E130" s="25"/>
      <c r="F130" s="25"/>
      <c r="G130" s="25"/>
      <c r="H130" s="25"/>
      <c r="I130" s="25"/>
      <c r="J130" s="25"/>
      <c r="K130" s="25"/>
      <c r="L130" s="25"/>
      <c r="M130" s="25"/>
      <c r="N130" s="25"/>
      <c r="O130" s="25"/>
      <c r="P130" s="25"/>
      <c r="Q130" s="25"/>
      <c r="R130" s="25"/>
      <c r="S130" s="25"/>
    </row>
    <row r="131" spans="1:19" ht="15" customHeight="1" x14ac:dyDescent="0.45">
      <c r="B131" s="2"/>
      <c r="D131" s="1"/>
      <c r="E131" s="25"/>
      <c r="F131" s="25"/>
      <c r="G131" s="25"/>
      <c r="H131" s="25"/>
      <c r="I131" s="25"/>
      <c r="J131" s="25"/>
      <c r="K131" s="25"/>
      <c r="L131" s="25"/>
      <c r="M131" s="25"/>
      <c r="N131" s="25"/>
      <c r="O131" s="25"/>
      <c r="P131" s="25"/>
      <c r="Q131" s="25"/>
      <c r="R131" s="25"/>
      <c r="S131" s="25"/>
    </row>
    <row r="132" spans="1:19" ht="15" customHeight="1" x14ac:dyDescent="0.45">
      <c r="B132" s="2"/>
      <c r="D132" s="1"/>
      <c r="E132" s="25"/>
      <c r="F132" s="25"/>
      <c r="G132" s="25"/>
      <c r="H132" s="25"/>
      <c r="I132" s="25"/>
      <c r="J132" s="25"/>
      <c r="K132" s="25"/>
      <c r="L132" s="25"/>
      <c r="M132" s="25"/>
      <c r="N132" s="25"/>
      <c r="O132" s="25"/>
      <c r="P132" s="25"/>
      <c r="Q132" s="25"/>
      <c r="R132" s="25"/>
      <c r="S132" s="25"/>
    </row>
    <row r="133" spans="1:19" ht="15" customHeight="1" x14ac:dyDescent="0.45">
      <c r="B133" s="2"/>
      <c r="D133" s="1"/>
      <c r="E133" s="25"/>
      <c r="F133" s="25"/>
      <c r="G133" s="25"/>
      <c r="H133" s="25"/>
      <c r="I133" s="25"/>
      <c r="J133" s="25"/>
      <c r="K133" s="25"/>
      <c r="L133" s="25"/>
      <c r="M133" s="25"/>
      <c r="N133" s="25"/>
      <c r="O133" s="25"/>
      <c r="P133" s="25"/>
      <c r="Q133" s="25"/>
      <c r="R133" s="25"/>
      <c r="S133" s="25"/>
    </row>
    <row r="134" spans="1:19" ht="15" customHeight="1" x14ac:dyDescent="0.45">
      <c r="B134" s="2"/>
      <c r="D134" s="1"/>
      <c r="E134" s="25"/>
      <c r="F134" s="25"/>
      <c r="G134" s="25"/>
      <c r="H134" s="25"/>
      <c r="I134" s="25"/>
      <c r="J134" s="25"/>
      <c r="K134" s="25"/>
      <c r="L134" s="25"/>
      <c r="M134" s="25"/>
      <c r="N134" s="25"/>
      <c r="O134" s="25"/>
      <c r="P134" s="25"/>
      <c r="Q134" s="25"/>
      <c r="R134" s="25"/>
      <c r="S134" s="25"/>
    </row>
    <row r="135" spans="1:19" ht="15" customHeight="1" x14ac:dyDescent="0.45">
      <c r="B135" s="2"/>
      <c r="D135" s="1"/>
      <c r="E135" s="25"/>
      <c r="F135" s="25"/>
      <c r="G135" s="25"/>
      <c r="H135" s="25"/>
      <c r="I135" s="25"/>
      <c r="J135" s="25"/>
      <c r="K135" s="25"/>
      <c r="L135" s="25"/>
      <c r="M135" s="25"/>
      <c r="N135" s="25"/>
      <c r="O135" s="25"/>
      <c r="P135" s="25"/>
      <c r="Q135" s="25"/>
      <c r="R135" s="25"/>
      <c r="S135" s="25"/>
    </row>
    <row r="136" spans="1:19" ht="15" customHeight="1" x14ac:dyDescent="0.45">
      <c r="B136" s="2"/>
      <c r="D136" s="1"/>
      <c r="E136" s="25"/>
      <c r="F136" s="25"/>
      <c r="G136" s="25"/>
      <c r="H136" s="25"/>
      <c r="I136" s="25"/>
      <c r="J136" s="25"/>
      <c r="K136" s="25"/>
      <c r="L136" s="25"/>
      <c r="M136" s="25"/>
      <c r="N136" s="25"/>
      <c r="O136" s="25"/>
      <c r="P136" s="25"/>
      <c r="Q136" s="25"/>
      <c r="R136" s="25"/>
      <c r="S136" s="25"/>
    </row>
    <row r="137" spans="1:19" ht="15" customHeight="1" x14ac:dyDescent="0.45">
      <c r="B137" s="2"/>
      <c r="D137" s="1"/>
      <c r="E137" s="25"/>
      <c r="F137" s="25"/>
      <c r="G137" s="25"/>
      <c r="H137" s="25"/>
      <c r="I137" s="25"/>
      <c r="J137" s="25"/>
      <c r="K137" s="25"/>
      <c r="L137" s="25"/>
      <c r="M137" s="25"/>
      <c r="N137" s="25"/>
      <c r="O137" s="25"/>
      <c r="P137" s="25"/>
      <c r="Q137" s="25"/>
      <c r="R137" s="25"/>
      <c r="S137" s="25"/>
    </row>
    <row r="138" spans="1:19" ht="15" customHeight="1" x14ac:dyDescent="0.45">
      <c r="B138" s="2"/>
      <c r="D138" s="1"/>
      <c r="E138" s="25"/>
      <c r="F138" s="25"/>
      <c r="G138" s="25"/>
      <c r="H138" s="25"/>
      <c r="I138" s="25"/>
      <c r="J138" s="25"/>
      <c r="K138" s="25"/>
      <c r="L138" s="25"/>
      <c r="M138" s="25"/>
      <c r="N138" s="25"/>
      <c r="O138" s="25"/>
      <c r="P138" s="25"/>
      <c r="Q138" s="25"/>
      <c r="R138" s="25"/>
      <c r="S138" s="25"/>
    </row>
    <row r="139" spans="1:19" s="29" customFormat="1" ht="15" customHeight="1" x14ac:dyDescent="0.45">
      <c r="A139" s="1"/>
      <c r="B139" s="2"/>
      <c r="C139" s="1"/>
      <c r="D139" s="478" t="s">
        <v>519</v>
      </c>
      <c r="E139" s="477">
        <f t="shared" ref="E139:N139" si="17">SUM(E111:E138)</f>
        <v>3538.8749999999982</v>
      </c>
      <c r="F139" s="477">
        <f t="shared" si="17"/>
        <v>7953.829999999999</v>
      </c>
      <c r="G139" s="477">
        <f t="shared" si="17"/>
        <v>7896.9979999999978</v>
      </c>
      <c r="H139" s="477">
        <f t="shared" si="17"/>
        <v>9519.5080000000016</v>
      </c>
      <c r="I139" s="477">
        <f t="shared" si="17"/>
        <v>9145.0020000000022</v>
      </c>
      <c r="J139" s="477">
        <f t="shared" si="17"/>
        <v>9497.8239999999987</v>
      </c>
      <c r="K139" s="477">
        <f t="shared" si="17"/>
        <v>9251.5460000000003</v>
      </c>
      <c r="L139" s="477">
        <f t="shared" si="17"/>
        <v>8684.458000000006</v>
      </c>
      <c r="M139" s="477">
        <f t="shared" si="17"/>
        <v>7782.4900000000007</v>
      </c>
      <c r="N139" s="477">
        <f t="shared" si="17"/>
        <v>7742.5909999999985</v>
      </c>
      <c r="O139" s="477"/>
      <c r="P139" s="477"/>
      <c r="Q139" s="477"/>
      <c r="R139" s="477"/>
      <c r="S139" s="477"/>
    </row>
    <row r="140" spans="1:19" ht="15" customHeight="1" x14ac:dyDescent="0.45">
      <c r="B140" s="2"/>
      <c r="D140" s="479"/>
      <c r="E140" s="23"/>
      <c r="F140" s="23"/>
      <c r="G140" s="23"/>
      <c r="H140" s="23"/>
      <c r="I140" s="23"/>
      <c r="J140" s="23"/>
      <c r="K140" s="23"/>
      <c r="L140" s="23"/>
      <c r="M140" s="23"/>
      <c r="N140" s="23"/>
      <c r="O140" s="23"/>
      <c r="P140" s="23"/>
      <c r="Q140" s="23"/>
      <c r="R140" s="23"/>
      <c r="S140" s="23"/>
    </row>
    <row r="141" spans="1:19" s="481" customFormat="1" ht="15" customHeight="1" x14ac:dyDescent="0.45">
      <c r="A141" s="484"/>
      <c r="B141" s="6"/>
      <c r="C141" s="484"/>
      <c r="E141" s="482"/>
      <c r="F141" s="482"/>
      <c r="G141" s="483"/>
      <c r="H141" s="483"/>
      <c r="I141" s="483"/>
      <c r="J141" s="483"/>
      <c r="K141" s="483"/>
      <c r="L141" s="483"/>
      <c r="M141" s="483"/>
      <c r="N141" s="482"/>
      <c r="O141" s="482"/>
      <c r="P141" s="482"/>
      <c r="Q141" s="482"/>
      <c r="R141" s="482"/>
      <c r="S141" s="482"/>
    </row>
    <row r="142" spans="1:19" ht="15" customHeight="1" x14ac:dyDescent="0.45">
      <c r="B142" s="2"/>
      <c r="D142" s="480" t="s">
        <v>520</v>
      </c>
      <c r="E142" s="25"/>
      <c r="F142" s="25"/>
      <c r="G142" s="25"/>
      <c r="H142" s="25"/>
      <c r="I142" s="25"/>
      <c r="J142" s="25"/>
      <c r="K142" s="25"/>
      <c r="L142" s="25"/>
      <c r="M142" s="25"/>
      <c r="N142" s="25"/>
      <c r="O142" s="25"/>
      <c r="P142" s="25"/>
      <c r="Q142" s="25"/>
      <c r="R142" s="25"/>
      <c r="S142" s="25"/>
    </row>
    <row r="143" spans="1:19" ht="15" customHeight="1" x14ac:dyDescent="0.45">
      <c r="B143" s="2" t="s">
        <v>312</v>
      </c>
      <c r="D143" s="509" t="s">
        <v>571</v>
      </c>
      <c r="E143" s="25">
        <f>+IFERROR(GSK!B141/$D$5,0)</f>
        <v>-1900.992</v>
      </c>
      <c r="F143" s="25">
        <f>+IFERROR(GSK!C141/$D$5,0)</f>
        <v>-1888.989</v>
      </c>
      <c r="G143" s="25">
        <f>+IFERROR(GSK!D141/$D$5,0)</f>
        <v>-1763.64</v>
      </c>
      <c r="H143" s="25">
        <f>+IFERROR(GSK!E141/$D$5,0)</f>
        <v>-1519.3230000000001</v>
      </c>
      <c r="I143" s="25">
        <f>+IFERROR(GSK!F141/$D$5,0)</f>
        <v>-1442.4480000000001</v>
      </c>
      <c r="J143" s="25">
        <f>+IFERROR(GSK!G141/$D$5,0)</f>
        <v>-1112.8240000000001</v>
      </c>
      <c r="K143" s="25">
        <f>+IFERROR(GSK!H141/$D$5,0)</f>
        <v>-1105.2529999999999</v>
      </c>
      <c r="L143" s="25">
        <f>+IFERROR(GSK!I141/$D$5,0)</f>
        <v>-1340.8530000000001</v>
      </c>
      <c r="M143" s="25">
        <f>+IFERROR(GSK!J141/$D$5,0)</f>
        <v>-1510.962</v>
      </c>
      <c r="N143" s="25">
        <f>+IFERROR(GSK!K141/$D$5,0)</f>
        <v>-1652.7139999999999</v>
      </c>
      <c r="O143" s="25"/>
      <c r="P143" s="25"/>
      <c r="Q143" s="25"/>
      <c r="R143" s="25"/>
      <c r="S143" s="25"/>
    </row>
    <row r="144" spans="1:19" ht="15" customHeight="1" x14ac:dyDescent="0.45">
      <c r="B144" s="2" t="s">
        <v>312</v>
      </c>
      <c r="D144" s="509" t="s">
        <v>572</v>
      </c>
      <c r="E144" s="25">
        <f>+IFERROR(GSK!B142/$D$5,0)</f>
        <v>99.182000000000002</v>
      </c>
      <c r="F144" s="25">
        <f>+IFERROR(GSK!C142/$D$5,0)</f>
        <v>119.97499999999999</v>
      </c>
      <c r="G144" s="25">
        <f>+IFERROR(GSK!D142/$D$5,0)</f>
        <v>320.76600000000002</v>
      </c>
      <c r="H144" s="25">
        <f>+IFERROR(GSK!E142/$D$5,0)</f>
        <v>189.91499999999999</v>
      </c>
      <c r="I144" s="25">
        <f>+IFERROR(GSK!F142/$D$5,0)</f>
        <v>108.32599999999999</v>
      </c>
      <c r="J144" s="25">
        <f>+IFERROR(GSK!G142/$D$5,0)</f>
        <v>55.134999999999998</v>
      </c>
      <c r="K144" s="25">
        <f>+IFERROR(GSK!H142/$D$5,0)</f>
        <v>153.572</v>
      </c>
      <c r="L144" s="25">
        <f>+IFERROR(GSK!I142/$D$5,0)</f>
        <v>171.273</v>
      </c>
      <c r="M144" s="25">
        <f>+IFERROR(GSK!J142/$D$5,0)</f>
        <v>32.197000000000003</v>
      </c>
      <c r="N144" s="25">
        <f>+IFERROR(GSK!K142/$D$5,0)</f>
        <v>76.787999999999997</v>
      </c>
      <c r="O144" s="25"/>
      <c r="P144" s="25"/>
      <c r="Q144" s="25"/>
      <c r="R144" s="25"/>
      <c r="S144" s="25"/>
    </row>
    <row r="145" spans="1:19" ht="15" customHeight="1" x14ac:dyDescent="0.45">
      <c r="B145" s="2" t="s">
        <v>312</v>
      </c>
      <c r="D145" s="509" t="s">
        <v>573</v>
      </c>
      <c r="E145" s="25">
        <f>+IFERROR(GSK!B143/$D$5,0)</f>
        <v>-4877.835</v>
      </c>
      <c r="F145" s="25">
        <f>+IFERROR(GSK!C143/$D$5,0)</f>
        <v>-68.557000000000002</v>
      </c>
      <c r="G145" s="25">
        <f>+IFERROR(GSK!D143/$D$5,0)</f>
        <v>-103.878</v>
      </c>
      <c r="H145" s="25">
        <f>+IFERROR(GSK!E143/$D$5,0)</f>
        <v>-172.959</v>
      </c>
      <c r="I145" s="25">
        <f>+IFERROR(GSK!F143/$D$5,0)</f>
        <v>-4200.7719999999999</v>
      </c>
      <c r="J145" s="25">
        <f>+IFERROR(GSK!G143/$D$5,0)</f>
        <v>-135.024</v>
      </c>
      <c r="K145" s="25">
        <f>+IFERROR(GSK!H143/$D$5,0)</f>
        <v>-132.63</v>
      </c>
      <c r="L145" s="25">
        <f>+IFERROR(GSK!I143/$D$5,0)</f>
        <v>-3738.6689999999999</v>
      </c>
      <c r="M145" s="25">
        <f>+IFERROR(GSK!J143/$D$5,0)</f>
        <v>-1688.046</v>
      </c>
      <c r="N145" s="25">
        <f>+IFERROR(GSK!K143/$D$5,0)</f>
        <v>-973.43600000000004</v>
      </c>
      <c r="O145" s="25"/>
      <c r="P145" s="25"/>
      <c r="Q145" s="25"/>
      <c r="R145" s="25"/>
      <c r="S145" s="25"/>
    </row>
    <row r="146" spans="1:19" ht="15" customHeight="1" x14ac:dyDescent="0.45">
      <c r="B146" s="2" t="s">
        <v>312</v>
      </c>
      <c r="D146" s="509" t="s">
        <v>657</v>
      </c>
      <c r="E146" s="25">
        <f>+IFERROR(GSK!B144/$D$5,0)</f>
        <v>14114.175999999999</v>
      </c>
      <c r="F146" s="25">
        <f>+IFERROR(GSK!C144/$D$5,0)</f>
        <v>88.144999999999996</v>
      </c>
      <c r="G146" s="25">
        <f>+IFERROR(GSK!D144/$D$5,0)</f>
        <v>321.90699999999998</v>
      </c>
      <c r="H146" s="25">
        <f>+IFERROR(GSK!E144/$D$5,0)</f>
        <v>29.391999999999999</v>
      </c>
      <c r="I146" s="25">
        <f>+IFERROR(GSK!F144/$D$5,0)</f>
        <v>118.589</v>
      </c>
      <c r="J146" s="25">
        <f>+IFERROR(GSK!G144/$D$5,0)</f>
        <v>131.649</v>
      </c>
      <c r="K146" s="25">
        <f>+IFERROR(GSK!H144/$D$5,0)</f>
        <v>-19.777999999999999</v>
      </c>
      <c r="L146" s="25">
        <f>+IFERROR(GSK!I144/$D$5,0)</f>
        <v>-50.442999999999998</v>
      </c>
      <c r="M146" s="25">
        <f>+IFERROR(GSK!J144/$D$5,0)</f>
        <v>56.344999999999999</v>
      </c>
      <c r="N146" s="25">
        <f>+IFERROR(GSK!K144/$D$5,0)</f>
        <v>-21.263999999999999</v>
      </c>
      <c r="O146" s="25"/>
      <c r="P146" s="25"/>
      <c r="Q146" s="25"/>
      <c r="R146" s="25"/>
      <c r="S146" s="25"/>
    </row>
    <row r="147" spans="1:19" ht="15" customHeight="1" x14ac:dyDescent="0.45">
      <c r="B147" s="2" t="s">
        <v>312</v>
      </c>
      <c r="D147" s="509" t="s">
        <v>574</v>
      </c>
      <c r="E147" s="25">
        <f>+IFERROR(GSK!B145/$D$5,0)</f>
        <v>-392.596</v>
      </c>
      <c r="F147" s="25">
        <f>+IFERROR(GSK!C145/$D$5,0)</f>
        <v>-643.94600000000003</v>
      </c>
      <c r="G147" s="25">
        <f>+IFERROR(GSK!D145/$D$5,0)</f>
        <v>-695.18200000000002</v>
      </c>
      <c r="H147" s="25">
        <f>+IFERROR(GSK!E145/$D$5,0)</f>
        <v>-221.56800000000001</v>
      </c>
      <c r="I147" s="25">
        <f>+IFERROR(GSK!F145/$D$5,0)</f>
        <v>-563.29600000000005</v>
      </c>
      <c r="J147" s="25">
        <f>+IFERROR(GSK!G145/$D$5,0)</f>
        <v>-689.74800000000005</v>
      </c>
      <c r="K147" s="25">
        <f>+IFERROR(GSK!H145/$D$5,0)</f>
        <v>-1236.72</v>
      </c>
      <c r="L147" s="25">
        <f>+IFERROR(GSK!I145/$D$5,0)</f>
        <v>-1078.079</v>
      </c>
      <c r="M147" s="25">
        <f>+IFERROR(GSK!J145/$D$5,0)</f>
        <v>-1170.5930000000001</v>
      </c>
      <c r="N147" s="25">
        <f>+IFERROR(GSK!K145/$D$5,0)</f>
        <v>-1715.326</v>
      </c>
      <c r="O147" s="25"/>
      <c r="P147" s="25"/>
      <c r="Q147" s="25"/>
      <c r="R147" s="25"/>
      <c r="S147" s="25"/>
    </row>
    <row r="148" spans="1:19" ht="15" customHeight="1" x14ac:dyDescent="0.45">
      <c r="B148" s="2" t="s">
        <v>312</v>
      </c>
      <c r="D148" s="509" t="s">
        <v>575</v>
      </c>
      <c r="E148" s="25">
        <f>+IFERROR(GSK!B146/$D$5,0)</f>
        <v>1130.952</v>
      </c>
      <c r="F148" s="25">
        <f>+IFERROR(GSK!C146/$D$5,0)</f>
        <v>705.15700000000004</v>
      </c>
      <c r="G148" s="25">
        <f>+IFERROR(GSK!D146/$D$5,0)</f>
        <v>192.916</v>
      </c>
      <c r="H148" s="25">
        <f>+IFERROR(GSK!E146/$D$5,0)</f>
        <v>-186.524</v>
      </c>
      <c r="I148" s="25">
        <f>+IFERROR(GSK!F146/$D$5,0)</f>
        <v>-226.91499999999999</v>
      </c>
      <c r="J148" s="25">
        <f>+IFERROR(GSK!G146/$D$5,0)</f>
        <v>3210.1990000000001</v>
      </c>
      <c r="K148" s="25">
        <f>+IFERROR(GSK!H146/$D$5,0)</f>
        <v>388.584</v>
      </c>
      <c r="L148" s="25">
        <f>+IFERROR(GSK!I146/$D$5,0)</f>
        <v>111.444</v>
      </c>
      <c r="M148" s="25">
        <f>+IFERROR(GSK!J146/$D$5,0)</f>
        <v>2049.1129999999998</v>
      </c>
      <c r="N148" s="25">
        <f>+IFERROR(GSK!K146/$D$5,0)</f>
        <v>2635.6</v>
      </c>
      <c r="O148" s="25"/>
      <c r="P148" s="25"/>
      <c r="Q148" s="25"/>
      <c r="R148" s="25"/>
      <c r="S148" s="25"/>
    </row>
    <row r="149" spans="1:19" ht="15" customHeight="1" x14ac:dyDescent="0.45">
      <c r="B149" s="2" t="s">
        <v>312</v>
      </c>
      <c r="D149" s="509" t="s">
        <v>576</v>
      </c>
      <c r="E149" s="25">
        <f>+IFERROR(GSK!B147/$D$5,0)</f>
        <v>143.26300000000001</v>
      </c>
      <c r="F149" s="25">
        <f>+IFERROR(GSK!C147/$D$5,0)</f>
        <v>134.66499999999999</v>
      </c>
      <c r="G149" s="25">
        <f>+IFERROR(GSK!D147/$D$5,0)</f>
        <v>79.906000000000006</v>
      </c>
      <c r="H149" s="25">
        <f>+IFERROR(GSK!E147/$D$5,0)</f>
        <v>125.48</v>
      </c>
      <c r="I149" s="25">
        <f>+IFERROR(GSK!F147/$D$5,0)</f>
        <v>101.48399999999999</v>
      </c>
      <c r="J149" s="25">
        <f>+IFERROR(GSK!G147/$D$5,0)</f>
        <v>972.17399999999998</v>
      </c>
      <c r="K149" s="25">
        <f>+IFERROR(GSK!H147/$D$5,0)</f>
        <v>-115.179</v>
      </c>
      <c r="L149" s="25">
        <f>+IFERROR(GSK!I147/$D$5,0)</f>
        <v>-4365.1040000000003</v>
      </c>
      <c r="M149" s="25">
        <f>+IFERROR(GSK!J147/$D$5,0)</f>
        <v>397.86399999999998</v>
      </c>
      <c r="N149" s="25">
        <f>+IFERROR(GSK!K147/$D$5,0)</f>
        <v>198.46700000000001</v>
      </c>
      <c r="O149" s="25"/>
      <c r="P149" s="25"/>
      <c r="Q149" s="25"/>
      <c r="R149" s="25"/>
      <c r="S149" s="25"/>
    </row>
    <row r="150" spans="1:19" ht="15" customHeight="1" x14ac:dyDescent="0.45">
      <c r="B150" s="2"/>
      <c r="D150" s="1"/>
      <c r="E150" s="25"/>
      <c r="F150" s="25"/>
      <c r="G150" s="25"/>
      <c r="H150" s="25"/>
      <c r="I150" s="25"/>
      <c r="J150" s="25"/>
      <c r="K150" s="25"/>
      <c r="L150" s="25"/>
      <c r="M150" s="25"/>
      <c r="N150" s="25"/>
      <c r="O150" s="25"/>
      <c r="P150" s="25"/>
      <c r="Q150" s="25"/>
      <c r="R150" s="25"/>
      <c r="S150" s="25"/>
    </row>
    <row r="151" spans="1:19" s="29" customFormat="1" ht="15" customHeight="1" x14ac:dyDescent="0.45">
      <c r="A151" s="1"/>
      <c r="B151" s="2"/>
      <c r="C151" s="1"/>
      <c r="D151" s="478" t="s">
        <v>529</v>
      </c>
      <c r="E151" s="477">
        <f t="shared" ref="E151:N151" si="18">SUM(E143:E149)</f>
        <v>8316.15</v>
      </c>
      <c r="F151" s="477">
        <f t="shared" si="18"/>
        <v>-1553.5500000000002</v>
      </c>
      <c r="G151" s="477">
        <f t="shared" si="18"/>
        <v>-1647.2050000000002</v>
      </c>
      <c r="H151" s="477">
        <f t="shared" si="18"/>
        <v>-1755.587</v>
      </c>
      <c r="I151" s="477">
        <f t="shared" si="18"/>
        <v>-6105.0320000000002</v>
      </c>
      <c r="J151" s="477">
        <f t="shared" si="18"/>
        <v>2431.5609999999997</v>
      </c>
      <c r="K151" s="477">
        <f t="shared" si="18"/>
        <v>-2067.404</v>
      </c>
      <c r="L151" s="477">
        <f t="shared" si="18"/>
        <v>-10290.431</v>
      </c>
      <c r="M151" s="477">
        <f t="shared" si="18"/>
        <v>-1834.0820000000003</v>
      </c>
      <c r="N151" s="477">
        <f t="shared" si="18"/>
        <v>-1451.8850000000002</v>
      </c>
      <c r="O151" s="477"/>
      <c r="P151" s="477"/>
      <c r="Q151" s="477"/>
      <c r="R151" s="477"/>
      <c r="S151" s="477"/>
    </row>
    <row r="152" spans="1:19" ht="15" customHeight="1" x14ac:dyDescent="0.45">
      <c r="B152" s="2"/>
      <c r="D152" s="31"/>
      <c r="E152" s="25"/>
      <c r="F152" s="25"/>
      <c r="G152" s="25"/>
      <c r="H152" s="25"/>
      <c r="I152" s="25"/>
      <c r="J152" s="25"/>
      <c r="K152" s="25"/>
      <c r="L152" s="25"/>
      <c r="M152" s="25"/>
      <c r="N152" s="25"/>
      <c r="O152" s="25"/>
      <c r="P152" s="25"/>
      <c r="Q152" s="25"/>
      <c r="R152" s="25"/>
      <c r="S152" s="25"/>
    </row>
    <row r="153" spans="1:19" ht="15" customHeight="1" x14ac:dyDescent="0.45">
      <c r="B153" s="2" t="s">
        <v>315</v>
      </c>
      <c r="D153" s="509" t="s">
        <v>577</v>
      </c>
      <c r="E153" s="25">
        <f>+IFERROR(GSK!B150/$D$5,0)</f>
        <v>0</v>
      </c>
      <c r="F153" s="25">
        <f>+IFERROR(GSK!C150/$D$5,0)</f>
        <v>1240.146</v>
      </c>
      <c r="G153" s="25">
        <f>+IFERROR(GSK!D150/$D$5,0)</f>
        <v>0</v>
      </c>
      <c r="H153" s="25">
        <f>+IFERROR(GSK!E150/$D$5,0)</f>
        <v>91.566000000000003</v>
      </c>
      <c r="I153" s="25">
        <f>+IFERROR(GSK!F150/$D$5,0)</f>
        <v>3529.15</v>
      </c>
      <c r="J153" s="25">
        <f>+IFERROR(GSK!G150/$D$5,0)</f>
        <v>0</v>
      </c>
      <c r="K153" s="25">
        <f>+IFERROR(GSK!H150/$D$5,0)</f>
        <v>350.19099999999997</v>
      </c>
      <c r="L153" s="25">
        <f>+IFERROR(GSK!I150/$D$5,0)</f>
        <v>1197.7349999999999</v>
      </c>
      <c r="M153" s="25">
        <f>+IFERROR(GSK!J150/$D$5,0)</f>
        <v>0</v>
      </c>
      <c r="N153" s="25">
        <f>+IFERROR(GSK!K150/$D$5,0)</f>
        <v>314.24</v>
      </c>
      <c r="O153" s="25"/>
      <c r="P153" s="25"/>
      <c r="Q153" s="25"/>
      <c r="R153" s="25"/>
      <c r="S153" s="25"/>
    </row>
    <row r="154" spans="1:19" ht="15" customHeight="1" x14ac:dyDescent="0.45">
      <c r="B154" s="2" t="s">
        <v>315</v>
      </c>
      <c r="D154" s="509" t="s">
        <v>578</v>
      </c>
      <c r="E154" s="25">
        <f>+IFERROR(GSK!B151/$D$5,0)</f>
        <v>0</v>
      </c>
      <c r="F154" s="25">
        <f>+IFERROR(GSK!C151/$D$5,0)</f>
        <v>0</v>
      </c>
      <c r="G154" s="25">
        <f>+IFERROR(GSK!D151/$D$5,0)</f>
        <v>2549.002</v>
      </c>
      <c r="H154" s="25">
        <f>+IFERROR(GSK!E151/$D$5,0)</f>
        <v>11460.486999999999</v>
      </c>
      <c r="I154" s="25">
        <f>+IFERROR(GSK!F151/$D$5,0)</f>
        <v>5466.4769999999999</v>
      </c>
      <c r="J154" s="25">
        <f>+IFERROR(GSK!G151/$D$5,0)</f>
        <v>3710.9140000000002</v>
      </c>
      <c r="K154" s="25">
        <f>+IFERROR(GSK!H151/$D$5,0)</f>
        <v>0</v>
      </c>
      <c r="L154" s="25">
        <f>+IFERROR(GSK!I151/$D$5,0)</f>
        <v>1202.4269999999999</v>
      </c>
      <c r="M154" s="25">
        <f>+IFERROR(GSK!J151/$D$5,0)</f>
        <v>256.42700000000002</v>
      </c>
      <c r="N154" s="25">
        <f>+IFERROR(GSK!K151/$D$5,0)</f>
        <v>1269.9549999999999</v>
      </c>
      <c r="O154" s="25"/>
      <c r="P154" s="25"/>
      <c r="Q154" s="25"/>
      <c r="R154" s="25"/>
      <c r="S154" s="25"/>
    </row>
    <row r="155" spans="1:19" ht="15" customHeight="1" x14ac:dyDescent="0.45">
      <c r="B155" s="2" t="s">
        <v>315</v>
      </c>
      <c r="D155" s="509" t="s">
        <v>579</v>
      </c>
      <c r="E155" s="25">
        <f>+IFERROR(GSK!B153/$D$5,0)</f>
        <v>-3322.6030000000001</v>
      </c>
      <c r="F155" s="25">
        <f>+IFERROR(GSK!C153/$D$5,0)</f>
        <v>-1058.96</v>
      </c>
      <c r="G155" s="25">
        <f>+IFERROR(GSK!D153/$D$5,0)</f>
        <v>-3652.8470000000002</v>
      </c>
      <c r="H155" s="25">
        <f>+IFERROR(GSK!E153/$D$5,0)</f>
        <v>-2336.6370000000002</v>
      </c>
      <c r="I155" s="25">
        <f>+IFERROR(GSK!F153/$D$5,0)</f>
        <v>-4743.5429999999997</v>
      </c>
      <c r="J155" s="25">
        <f>+IFERROR(GSK!G153/$D$5,0)</f>
        <v>-8249.9760000000006</v>
      </c>
      <c r="K155" s="25">
        <f>+IFERROR(GSK!H153/$D$5,0)</f>
        <v>-2680.529</v>
      </c>
      <c r="L155" s="25">
        <f>+IFERROR(GSK!I153/$D$5,0)</f>
        <v>-5952.308</v>
      </c>
      <c r="M155" s="25">
        <f>+IFERROR(GSK!J153/$D$5,0)</f>
        <v>-2816.0929999999998</v>
      </c>
      <c r="N155" s="25">
        <f>+IFERROR(GSK!K153/$D$5,0)</f>
        <v>-1053.768</v>
      </c>
      <c r="O155" s="25"/>
      <c r="P155" s="25"/>
      <c r="Q155" s="25"/>
      <c r="R155" s="25"/>
      <c r="S155" s="25"/>
    </row>
    <row r="156" spans="1:19" ht="15" customHeight="1" x14ac:dyDescent="0.45">
      <c r="B156" s="2" t="s">
        <v>315</v>
      </c>
      <c r="D156" s="509" t="s">
        <v>580</v>
      </c>
      <c r="E156" s="25">
        <f>+IFERROR(GSK!B154/$D$5,0)</f>
        <v>-34.438000000000002</v>
      </c>
      <c r="F156" s="25">
        <f>+IFERROR(GSK!C154/$D$5,0)</f>
        <v>-22.036000000000001</v>
      </c>
      <c r="G156" s="25">
        <f>+IFERROR(GSK!D154/$D$5,0)</f>
        <v>-26.254999999999999</v>
      </c>
      <c r="H156" s="25">
        <f>+IFERROR(GSK!E154/$D$5,0)</f>
        <v>-31.652999999999999</v>
      </c>
      <c r="I156" s="25">
        <f>+IFERROR(GSK!F154/$D$5,0)</f>
        <v>-244.01900000000001</v>
      </c>
      <c r="J156" s="25">
        <f>+IFERROR(GSK!G154/$D$5,0)</f>
        <v>-204.78700000000001</v>
      </c>
      <c r="K156" s="25">
        <f>+IFERROR(GSK!H154/$D$5,0)</f>
        <v>-210.58</v>
      </c>
      <c r="L156" s="25">
        <f>+IFERROR(GSK!I154/$D$5,0)</f>
        <v>-2106.8870000000002</v>
      </c>
      <c r="M156" s="25">
        <f>+IFERROR(GSK!J154/$D$5,0)</f>
        <v>-392.11399999999998</v>
      </c>
      <c r="N156" s="25">
        <f>+IFERROR(GSK!K154/$D$5,0)</f>
        <v>-2174.8719999999998</v>
      </c>
      <c r="O156" s="25"/>
      <c r="P156" s="25"/>
      <c r="Q156" s="25"/>
      <c r="R156" s="25"/>
      <c r="S156" s="25"/>
    </row>
    <row r="157" spans="1:19" ht="15" customHeight="1" x14ac:dyDescent="0.45">
      <c r="B157" s="2" t="s">
        <v>418</v>
      </c>
      <c r="D157" s="509" t="s">
        <v>581</v>
      </c>
      <c r="E157" s="25">
        <f>+IFERROR(GSK!B156/$D$5,0)</f>
        <v>100.56</v>
      </c>
      <c r="F157" s="25">
        <f>+IFERROR(GSK!C156/$D$5,0)</f>
        <v>108.95699999999999</v>
      </c>
      <c r="G157" s="25">
        <f>+IFERROR(GSK!D156/$D$5,0)</f>
        <v>63.924999999999997</v>
      </c>
      <c r="H157" s="25">
        <f>+IFERROR(GSK!E156/$D$5,0)</f>
        <v>83.653000000000006</v>
      </c>
      <c r="I157" s="25">
        <f>+IFERROR(GSK!F156/$D$5,0)</f>
        <v>58.154000000000003</v>
      </c>
      <c r="J157" s="25">
        <f>+IFERROR(GSK!G156/$D$5,0)</f>
        <v>32.631</v>
      </c>
      <c r="K157" s="25">
        <f>+IFERROR(GSK!H156/$D$5,0)</f>
        <v>24.431999999999999</v>
      </c>
      <c r="L157" s="25">
        <f>+IFERROR(GSK!I156/$D$5,0)</f>
        <v>29.327000000000002</v>
      </c>
      <c r="M157" s="25">
        <f>+IFERROR(GSK!J156/$D$5,0)</f>
        <v>11.499000000000001</v>
      </c>
      <c r="N157" s="25">
        <f>+IFERROR(GSK!K156/$D$5,0)</f>
        <v>23.626999999999999</v>
      </c>
      <c r="O157" s="25"/>
      <c r="P157" s="25"/>
      <c r="Q157" s="25"/>
      <c r="R157" s="25"/>
      <c r="S157" s="25"/>
    </row>
    <row r="158" spans="1:19" ht="15" customHeight="1" x14ac:dyDescent="0.45">
      <c r="B158" s="2" t="s">
        <v>418</v>
      </c>
      <c r="D158" s="509" t="s">
        <v>582</v>
      </c>
      <c r="E158" s="25">
        <f>+IFERROR(GSK!B157/$D$5,0)</f>
        <v>-136.376</v>
      </c>
      <c r="F158" s="25">
        <f>+IFERROR(GSK!C157/$D$5,0)</f>
        <v>-90.593000000000004</v>
      </c>
      <c r="G158" s="25">
        <f>+IFERROR(GSK!D157/$D$5,0)</f>
        <v>-74.197999999999993</v>
      </c>
      <c r="H158" s="25">
        <f>+IFERROR(GSK!E157/$D$5,0)</f>
        <v>0</v>
      </c>
      <c r="I158" s="25">
        <f>+IFERROR(GSK!F157/$D$5,0)</f>
        <v>0</v>
      </c>
      <c r="J158" s="25">
        <f>+IFERROR(GSK!G157/$D$5,0)</f>
        <v>0</v>
      </c>
      <c r="K158" s="25">
        <f>+IFERROR(GSK!H157/$D$5,0)</f>
        <v>0</v>
      </c>
      <c r="L158" s="25">
        <f>+IFERROR(GSK!I157/$D$5,0)</f>
        <v>0</v>
      </c>
      <c r="M158" s="25">
        <f>+IFERROR(GSK!J157/$D$5,0)</f>
        <v>0</v>
      </c>
      <c r="N158" s="25">
        <f>+IFERROR(GSK!K157/$D$5,0)</f>
        <v>0</v>
      </c>
      <c r="O158" s="25"/>
      <c r="P158" s="25"/>
      <c r="Q158" s="25"/>
      <c r="R158" s="25"/>
      <c r="S158" s="25"/>
    </row>
    <row r="159" spans="1:19" ht="15" customHeight="1" x14ac:dyDescent="0.45">
      <c r="B159" s="2" t="s">
        <v>418</v>
      </c>
      <c r="D159" s="509" t="s">
        <v>583</v>
      </c>
      <c r="E159" s="25">
        <f>+IFERROR(GSK!B158/$D$5,0)</f>
        <v>-5336.5519999999997</v>
      </c>
      <c r="F159" s="25">
        <f>+IFERROR(GSK!C158/$D$5,0)</f>
        <v>-4751.2420000000002</v>
      </c>
      <c r="G159" s="25">
        <f>+IFERROR(GSK!D158/$D$5,0)</f>
        <v>-4458.7560000000003</v>
      </c>
      <c r="H159" s="25">
        <f>+IFERROR(GSK!E158/$D$5,0)</f>
        <v>-4439.2709999999997</v>
      </c>
      <c r="I159" s="25">
        <f>+IFERROR(GSK!F158/$D$5,0)</f>
        <v>-4507.5060000000003</v>
      </c>
      <c r="J159" s="25">
        <f>+IFERROR(GSK!G158/$D$5,0)</f>
        <v>-4474.9260000000004</v>
      </c>
      <c r="K159" s="25">
        <f>+IFERROR(GSK!H158/$D$5,0)</f>
        <v>-4652.5330000000004</v>
      </c>
      <c r="L159" s="25">
        <f>+IFERROR(GSK!I158/$D$5,0)</f>
        <v>-4067.1370000000002</v>
      </c>
      <c r="M159" s="25">
        <f>+IFERROR(GSK!J158/$D$5,0)</f>
        <v>-2583.8150000000001</v>
      </c>
      <c r="N159" s="25">
        <f>+IFERROR(GSK!K158/$D$5,0)</f>
        <v>-2887.2289999999998</v>
      </c>
      <c r="O159" s="25"/>
      <c r="P159" s="25"/>
      <c r="Q159" s="25"/>
      <c r="R159" s="25"/>
      <c r="S159" s="25"/>
    </row>
    <row r="160" spans="1:19" ht="15" customHeight="1" x14ac:dyDescent="0.45">
      <c r="B160" s="2" t="s">
        <v>317</v>
      </c>
      <c r="D160" s="509" t="s">
        <v>658</v>
      </c>
      <c r="E160" s="25">
        <f>+IFERROR(GSK!B160/$D$5,0)</f>
        <v>0</v>
      </c>
      <c r="F160" s="25">
        <f>+IFERROR(GSK!C160/$D$5,0)</f>
        <v>-1186.28</v>
      </c>
      <c r="G160" s="25">
        <f>+IFERROR(GSK!D160/$D$5,0)</f>
        <v>0</v>
      </c>
      <c r="H160" s="25">
        <f>+IFERROR(GSK!E160/$D$5,0)</f>
        <v>0</v>
      </c>
      <c r="I160" s="25">
        <f>+IFERROR(GSK!F160/$D$5,0)</f>
        <v>0</v>
      </c>
      <c r="J160" s="25">
        <f>+IFERROR(GSK!G160/$D$5,0)</f>
        <v>0</v>
      </c>
      <c r="K160" s="25">
        <f>+IFERROR(GSK!H160/$D$5,0)</f>
        <v>0</v>
      </c>
      <c r="L160" s="25">
        <f>+IFERROR(GSK!I160/$D$5,0)</f>
        <v>0</v>
      </c>
      <c r="M160" s="25">
        <f>+IFERROR(GSK!J160/$D$5,0)</f>
        <v>0</v>
      </c>
      <c r="N160" s="25">
        <f>+IFERROR(GSK!K160/$D$5,0)</f>
        <v>0</v>
      </c>
      <c r="O160" s="25"/>
      <c r="P160" s="25"/>
      <c r="Q160" s="25"/>
      <c r="R160" s="25"/>
      <c r="S160" s="25"/>
    </row>
    <row r="161" spans="1:19" ht="15" customHeight="1" x14ac:dyDescent="0.45">
      <c r="B161" s="2" t="s">
        <v>315</v>
      </c>
      <c r="D161" s="509" t="s">
        <v>584</v>
      </c>
      <c r="E161" s="25">
        <f>+IFERROR(GSK!B161/$D$5,0)</f>
        <v>-1055.1880000000001</v>
      </c>
      <c r="F161" s="25">
        <f>+IFERROR(GSK!C161/$D$5,0)</f>
        <v>-2065.2779999999998</v>
      </c>
      <c r="G161" s="25">
        <f>+IFERROR(GSK!D161/$D$5,0)</f>
        <v>-1683.7339999999999</v>
      </c>
      <c r="H161" s="25">
        <f>+IFERROR(GSK!E161/$D$5,0)</f>
        <v>-12050.581</v>
      </c>
      <c r="I161" s="25">
        <f>+IFERROR(GSK!F161/$D$5,0)</f>
        <v>-1656.819</v>
      </c>
      <c r="J161" s="25">
        <f>+IFERROR(GSK!G161/$D$5,0)</f>
        <v>-2214.3960000000002</v>
      </c>
      <c r="K161" s="25">
        <f>+IFERROR(GSK!H161/$D$5,0)</f>
        <v>-1660.2059999999999</v>
      </c>
      <c r="L161" s="25">
        <f>+IFERROR(GSK!I161/$D$5,0)</f>
        <v>10662.304</v>
      </c>
      <c r="M161" s="25">
        <f>+IFERROR(GSK!J161/$D$5,0)</f>
        <v>-962.46199999999999</v>
      </c>
      <c r="N161" s="25">
        <f>+IFERROR(GSK!K161/$D$5,0)</f>
        <v>-1075.0319999999999</v>
      </c>
      <c r="O161" s="25"/>
      <c r="P161" s="25"/>
      <c r="Q161" s="25"/>
      <c r="R161" s="25"/>
      <c r="S161" s="25"/>
    </row>
    <row r="162" spans="1:19" s="29" customFormat="1" ht="15" customHeight="1" x14ac:dyDescent="0.45">
      <c r="A162" s="1"/>
      <c r="B162" s="2"/>
      <c r="C162" s="1"/>
      <c r="D162" s="478" t="s">
        <v>538</v>
      </c>
      <c r="E162" s="477">
        <f t="shared" ref="E162:N162" si="19">SUM(E153:E161)</f>
        <v>-9784.5969999999998</v>
      </c>
      <c r="F162" s="477">
        <f t="shared" si="19"/>
        <v>-7825.2860000000001</v>
      </c>
      <c r="G162" s="477">
        <f t="shared" si="19"/>
        <v>-7282.8630000000012</v>
      </c>
      <c r="H162" s="477">
        <f t="shared" si="19"/>
        <v>-7222.4360000000006</v>
      </c>
      <c r="I162" s="477">
        <f t="shared" si="19"/>
        <v>-2098.1059999999998</v>
      </c>
      <c r="J162" s="477">
        <f t="shared" si="19"/>
        <v>-11400.54</v>
      </c>
      <c r="K162" s="477">
        <f t="shared" si="19"/>
        <v>-8829.2250000000004</v>
      </c>
      <c r="L162" s="477">
        <f t="shared" si="19"/>
        <v>965.46099999999933</v>
      </c>
      <c r="M162" s="477">
        <f t="shared" si="19"/>
        <v>-6486.5579999999991</v>
      </c>
      <c r="N162" s="477">
        <f t="shared" si="19"/>
        <v>-5583.0789999999997</v>
      </c>
      <c r="O162" s="477"/>
      <c r="P162" s="477"/>
      <c r="Q162" s="477"/>
      <c r="R162" s="477"/>
      <c r="S162" s="477"/>
    </row>
    <row r="163" spans="1:19" ht="15" customHeight="1" x14ac:dyDescent="0.45">
      <c r="B163" s="2"/>
      <c r="D163" s="31"/>
      <c r="E163" s="25"/>
      <c r="F163" s="25"/>
      <c r="G163" s="25"/>
      <c r="H163" s="25"/>
      <c r="I163" s="25"/>
      <c r="J163" s="25"/>
      <c r="K163" s="25"/>
      <c r="L163" s="25"/>
      <c r="M163" s="25"/>
      <c r="N163" s="25"/>
      <c r="O163" s="25"/>
      <c r="P163" s="25"/>
      <c r="Q163" s="25"/>
      <c r="R163" s="25"/>
      <c r="S163" s="25"/>
    </row>
    <row r="164" spans="1:19" ht="15" customHeight="1" x14ac:dyDescent="0.45">
      <c r="B164" s="2"/>
      <c r="D164" s="31"/>
      <c r="E164" s="25"/>
      <c r="F164" s="25"/>
      <c r="G164" s="25"/>
      <c r="H164" s="25"/>
      <c r="I164" s="25"/>
      <c r="J164" s="25"/>
      <c r="K164" s="25"/>
      <c r="L164" s="25"/>
      <c r="M164" s="25"/>
      <c r="N164" s="25"/>
      <c r="O164" s="25"/>
      <c r="P164" s="25"/>
      <c r="Q164" s="25"/>
      <c r="R164" s="25"/>
      <c r="S164" s="25"/>
    </row>
    <row r="165" spans="1:19" s="26" customFormat="1" ht="15" customHeight="1" x14ac:dyDescent="0.45">
      <c r="A165" s="4"/>
      <c r="B165" s="5"/>
      <c r="C165" s="4"/>
      <c r="D165" s="479" t="s">
        <v>539</v>
      </c>
      <c r="E165" s="23"/>
      <c r="F165" s="23"/>
      <c r="G165" s="23"/>
      <c r="H165" s="23"/>
      <c r="I165" s="23"/>
      <c r="J165" s="23"/>
      <c r="K165" s="23"/>
      <c r="L165" s="23"/>
      <c r="M165" s="23"/>
      <c r="N165" s="23"/>
      <c r="O165" s="23"/>
      <c r="P165" s="23"/>
      <c r="Q165" s="23"/>
      <c r="R165" s="23"/>
      <c r="S165" s="23"/>
    </row>
    <row r="166" spans="1:19" ht="15" customHeight="1" x14ac:dyDescent="0.45">
      <c r="B166" s="2"/>
      <c r="D166" s="31" t="s">
        <v>540</v>
      </c>
      <c r="E166" s="25">
        <f t="shared" ref="E166:N166" si="20">SUM(E139,E151,E162)</f>
        <v>2070.4279999999981</v>
      </c>
      <c r="F166" s="25">
        <f t="shared" si="20"/>
        <v>-1425.0060000000012</v>
      </c>
      <c r="G166" s="25">
        <f t="shared" si="20"/>
        <v>-1033.0700000000033</v>
      </c>
      <c r="H166" s="25">
        <f t="shared" si="20"/>
        <v>541.48500000000149</v>
      </c>
      <c r="I166" s="25">
        <f t="shared" si="20"/>
        <v>941.86400000000231</v>
      </c>
      <c r="J166" s="25">
        <f t="shared" si="20"/>
        <v>528.84499999999753</v>
      </c>
      <c r="K166" s="25">
        <f t="shared" si="20"/>
        <v>-1645.0830000000005</v>
      </c>
      <c r="L166" s="25">
        <f t="shared" si="20"/>
        <v>-640.51199999999517</v>
      </c>
      <c r="M166" s="25">
        <f t="shared" si="20"/>
        <v>-538.14999999999873</v>
      </c>
      <c r="N166" s="25">
        <f t="shared" si="20"/>
        <v>707.62699999999859</v>
      </c>
      <c r="O166" s="25"/>
      <c r="P166" s="25"/>
      <c r="Q166" s="25"/>
      <c r="R166" s="25"/>
      <c r="S166" s="25"/>
    </row>
    <row r="167" spans="1:19" ht="15" customHeight="1" x14ac:dyDescent="0.45">
      <c r="B167" s="31" t="s">
        <v>541</v>
      </c>
      <c r="D167" s="31" t="s">
        <v>541</v>
      </c>
      <c r="E167" s="25">
        <f>+IFERROR(GSK!B164/$D$5,0)</f>
        <v>-61.988999999999997</v>
      </c>
      <c r="F167" s="25">
        <f>+IFERROR(GSK!C164/$D$5,0)</f>
        <v>346.45699999999999</v>
      </c>
      <c r="G167" s="25">
        <f>+IFERROR(GSK!D164/$D$5,0)</f>
        <v>-114.151</v>
      </c>
      <c r="H167" s="25">
        <f>+IFERROR(GSK!E164/$D$5,0)</f>
        <v>9.0440000000000005</v>
      </c>
      <c r="I167" s="25">
        <f>+IFERROR(GSK!F164/$D$5,0)</f>
        <v>-93.503</v>
      </c>
      <c r="J167" s="25">
        <f>+IFERROR(GSK!G164/$D$5,0)</f>
        <v>-43.883000000000003</v>
      </c>
      <c r="K167" s="25">
        <f>+IFERROR(GSK!H164/$D$5,0)</f>
        <v>-33.738999999999997</v>
      </c>
      <c r="L167" s="25">
        <f>+IFERROR(GSK!I164/$D$5,0)</f>
        <v>178.31100000000001</v>
      </c>
      <c r="M167" s="25">
        <f>+IFERROR(GSK!J164/$D$5,0)</f>
        <v>-113.84</v>
      </c>
      <c r="N167" s="25">
        <f>+IFERROR(GSK!K164/$D$5,0)</f>
        <v>-63.792999999999999</v>
      </c>
      <c r="O167" s="25"/>
      <c r="P167" s="25"/>
      <c r="Q167" s="25"/>
      <c r="R167" s="25"/>
      <c r="S167" s="25"/>
    </row>
    <row r="168" spans="1:19" ht="15" customHeight="1" x14ac:dyDescent="0.45">
      <c r="B168" s="31" t="s">
        <v>542</v>
      </c>
      <c r="D168" s="31" t="s">
        <v>542</v>
      </c>
      <c r="E168" s="25"/>
      <c r="F168" s="25"/>
      <c r="G168" s="25"/>
      <c r="H168" s="25"/>
      <c r="I168" s="25"/>
      <c r="J168" s="25"/>
      <c r="K168" s="25"/>
      <c r="L168" s="25"/>
      <c r="M168" s="25"/>
      <c r="N168" s="25"/>
      <c r="O168" s="25"/>
      <c r="P168" s="25"/>
      <c r="Q168" s="25"/>
      <c r="R168" s="25"/>
      <c r="S168" s="25"/>
    </row>
    <row r="169" spans="1:19" s="29" customFormat="1" ht="15" customHeight="1" x14ac:dyDescent="0.45">
      <c r="A169" s="1"/>
      <c r="B169" s="2"/>
      <c r="C169" s="1"/>
      <c r="D169" s="478" t="s">
        <v>543</v>
      </c>
      <c r="E169" s="477"/>
      <c r="F169" s="477"/>
      <c r="G169" s="477"/>
      <c r="H169" s="477"/>
      <c r="I169" s="477"/>
      <c r="J169" s="477"/>
      <c r="K169" s="477"/>
      <c r="L169" s="477"/>
      <c r="M169" s="477"/>
      <c r="N169" s="477"/>
      <c r="O169" s="477"/>
      <c r="P169" s="477"/>
      <c r="Q169" s="477"/>
      <c r="R169" s="477"/>
      <c r="S169" s="477"/>
    </row>
    <row r="170" spans="1:19" s="472" customFormat="1" ht="15" customHeight="1" x14ac:dyDescent="0.45">
      <c r="A170" s="475"/>
      <c r="B170" s="476"/>
      <c r="C170" s="475"/>
      <c r="D170" s="474" t="s">
        <v>301</v>
      </c>
      <c r="E170" s="473"/>
      <c r="F170" s="473"/>
      <c r="G170" s="473"/>
      <c r="H170" s="473"/>
      <c r="I170" s="473"/>
      <c r="J170" s="473"/>
      <c r="K170" s="473"/>
      <c r="L170" s="473"/>
      <c r="M170" s="473"/>
      <c r="N170" s="473"/>
      <c r="O170" s="473"/>
      <c r="P170" s="473"/>
      <c r="Q170" s="473"/>
      <c r="R170" s="473"/>
      <c r="S170" s="473"/>
    </row>
    <row r="171" spans="1:19" ht="15" customHeight="1" x14ac:dyDescent="0.45">
      <c r="B171" s="2"/>
      <c r="D171" s="31"/>
      <c r="E171" s="25"/>
      <c r="F171" s="25"/>
      <c r="G171" s="25"/>
      <c r="H171" s="25"/>
      <c r="I171" s="25"/>
      <c r="J171" s="25"/>
      <c r="K171" s="25"/>
      <c r="L171" s="25"/>
      <c r="M171" s="25"/>
      <c r="N171" s="25"/>
      <c r="O171" s="25"/>
      <c r="P171" s="25"/>
      <c r="Q171" s="25"/>
      <c r="R171" s="25"/>
      <c r="S171" s="25"/>
    </row>
    <row r="172" spans="1:19" ht="15" customHeight="1" x14ac:dyDescent="0.45">
      <c r="B172" s="2"/>
      <c r="D172" s="31"/>
      <c r="E172" s="25"/>
      <c r="F172" s="25"/>
      <c r="G172" s="25"/>
      <c r="H172" s="25"/>
      <c r="I172" s="25"/>
      <c r="J172" s="25"/>
      <c r="K172" s="25"/>
      <c r="L172" s="25"/>
      <c r="M172" s="25"/>
      <c r="N172" s="25"/>
      <c r="O172" s="25"/>
      <c r="P172" s="25"/>
      <c r="Q172" s="25"/>
      <c r="R172" s="25"/>
      <c r="S172" s="25"/>
    </row>
    <row r="173" spans="1:19" ht="15" customHeight="1" x14ac:dyDescent="0.45">
      <c r="B173" s="2"/>
      <c r="D173" s="31"/>
      <c r="E173" s="25"/>
      <c r="F173" s="25"/>
      <c r="G173" s="25"/>
      <c r="H173" s="25"/>
      <c r="I173" s="25"/>
      <c r="J173" s="25"/>
      <c r="K173" s="25"/>
      <c r="L173" s="25"/>
      <c r="M173" s="25"/>
      <c r="N173" s="25"/>
      <c r="O173" s="25"/>
      <c r="P173" s="25"/>
      <c r="Q173" s="25"/>
      <c r="R173" s="25"/>
      <c r="S173" s="25"/>
    </row>
    <row r="174" spans="1:19" ht="15" customHeight="1" x14ac:dyDescent="0.45">
      <c r="B174" s="2"/>
      <c r="D174" s="31"/>
      <c r="E174" s="25"/>
      <c r="F174" s="25"/>
      <c r="G174" s="25"/>
      <c r="H174" s="25"/>
      <c r="I174" s="25"/>
      <c r="J174" s="25"/>
      <c r="K174" s="25"/>
      <c r="L174" s="25"/>
      <c r="M174" s="25"/>
      <c r="N174" s="25"/>
      <c r="O174" s="25"/>
      <c r="P174" s="25"/>
      <c r="Q174" s="25"/>
      <c r="R174" s="25"/>
      <c r="S174" s="25"/>
    </row>
    <row r="175" spans="1:19" ht="15" customHeight="1" x14ac:dyDescent="0.45">
      <c r="B175" s="2"/>
      <c r="D175" s="31"/>
      <c r="E175" s="25"/>
      <c r="F175" s="25"/>
      <c r="G175" s="25"/>
      <c r="H175" s="25"/>
      <c r="I175" s="25"/>
      <c r="J175" s="25"/>
      <c r="K175" s="25"/>
      <c r="L175" s="25"/>
      <c r="M175" s="25"/>
      <c r="N175" s="25"/>
      <c r="O175" s="25"/>
      <c r="P175" s="25"/>
      <c r="Q175" s="25"/>
      <c r="R175" s="25"/>
      <c r="S175" s="25"/>
    </row>
    <row r="176" spans="1:19" ht="15" customHeight="1" x14ac:dyDescent="0.45">
      <c r="B176" s="2"/>
      <c r="D176" s="31"/>
      <c r="E176" s="25"/>
      <c r="F176" s="25"/>
      <c r="G176" s="25"/>
      <c r="H176" s="25"/>
      <c r="I176" s="25"/>
      <c r="J176" s="25"/>
      <c r="K176" s="25"/>
      <c r="L176" s="25"/>
      <c r="M176" s="25"/>
      <c r="N176" s="25"/>
      <c r="O176" s="25"/>
      <c r="P176" s="25"/>
      <c r="Q176" s="25"/>
      <c r="R176" s="25"/>
      <c r="S176" s="25"/>
    </row>
    <row r="177" spans="2:19" ht="15" customHeight="1" x14ac:dyDescent="0.45">
      <c r="B177" s="2"/>
      <c r="D177" s="31"/>
      <c r="E177" s="25"/>
      <c r="F177" s="25"/>
      <c r="G177" s="25"/>
      <c r="H177" s="25"/>
      <c r="I177" s="25"/>
      <c r="J177" s="25"/>
      <c r="K177" s="25"/>
      <c r="L177" s="25"/>
      <c r="M177" s="25"/>
      <c r="N177" s="25"/>
      <c r="O177" s="25"/>
      <c r="P177" s="25"/>
      <c r="Q177" s="25"/>
      <c r="R177" s="25"/>
      <c r="S177" s="25"/>
    </row>
    <row r="178" spans="2:19" ht="15" customHeight="1" x14ac:dyDescent="0.45">
      <c r="B178" s="2"/>
      <c r="D178" s="31"/>
      <c r="E178" s="25"/>
      <c r="F178" s="25"/>
      <c r="G178" s="25"/>
      <c r="H178" s="25"/>
      <c r="I178" s="25"/>
      <c r="J178" s="25"/>
      <c r="K178" s="25"/>
      <c r="L178" s="25"/>
      <c r="M178" s="25"/>
      <c r="N178" s="25"/>
      <c r="O178" s="25"/>
      <c r="P178" s="25"/>
      <c r="Q178" s="25"/>
      <c r="R178" s="25"/>
      <c r="S178" s="25"/>
    </row>
    <row r="179" spans="2:19" ht="15" customHeight="1" x14ac:dyDescent="0.45">
      <c r="B179" s="2"/>
      <c r="D179" s="471"/>
      <c r="E179" s="470"/>
      <c r="F179" s="470"/>
      <c r="G179" s="470"/>
      <c r="H179" s="470"/>
      <c r="I179" s="470"/>
      <c r="J179" s="470"/>
      <c r="K179" s="470"/>
      <c r="L179" s="25"/>
      <c r="M179" s="25"/>
      <c r="N179" s="25"/>
      <c r="O179" s="25"/>
      <c r="P179" s="25"/>
      <c r="Q179" s="25"/>
      <c r="R179" s="25"/>
      <c r="S179" s="25"/>
    </row>
    <row r="180" spans="2:19" ht="15" customHeight="1" x14ac:dyDescent="0.45">
      <c r="B180" s="2"/>
      <c r="D180" s="468"/>
      <c r="G180" s="469"/>
      <c r="H180" s="469"/>
      <c r="I180" s="470"/>
      <c r="J180" s="469"/>
      <c r="K180" s="469"/>
      <c r="L180" s="469"/>
      <c r="M180" s="469"/>
      <c r="N180" s="25"/>
      <c r="O180" s="25"/>
      <c r="P180" s="25"/>
      <c r="Q180" s="25"/>
      <c r="R180" s="25"/>
      <c r="S180" s="25"/>
    </row>
    <row r="181" spans="2:19" ht="15" customHeight="1" x14ac:dyDescent="0.45">
      <c r="B181" s="2"/>
      <c r="D181" s="468"/>
      <c r="G181" s="469"/>
      <c r="H181" s="470"/>
      <c r="I181" s="470"/>
      <c r="J181" s="470"/>
      <c r="K181" s="470"/>
      <c r="L181" s="469"/>
      <c r="M181" s="469"/>
      <c r="N181" s="25"/>
      <c r="O181" s="25"/>
      <c r="P181" s="25"/>
      <c r="Q181" s="25"/>
      <c r="R181" s="25"/>
      <c r="S181" s="25"/>
    </row>
    <row r="182" spans="2:19" ht="15" customHeight="1" x14ac:dyDescent="0.45">
      <c r="B182" s="2"/>
      <c r="D182" s="31"/>
      <c r="E182" s="25"/>
      <c r="F182" s="25"/>
      <c r="G182" s="25"/>
      <c r="H182" s="25"/>
      <c r="I182" s="25"/>
      <c r="J182" s="25"/>
      <c r="K182" s="25"/>
      <c r="L182" s="25"/>
      <c r="M182" s="25"/>
      <c r="N182" s="25"/>
      <c r="O182" s="25"/>
      <c r="P182" s="25"/>
      <c r="Q182" s="25"/>
      <c r="R182" s="25"/>
      <c r="S182" s="25"/>
    </row>
    <row r="183" spans="2:19" ht="15" customHeight="1" x14ac:dyDescent="0.45">
      <c r="B183" s="2"/>
      <c r="D183" s="468"/>
      <c r="E183" s="25"/>
      <c r="F183" s="25"/>
      <c r="G183" s="25"/>
      <c r="H183" s="25"/>
      <c r="I183" s="25"/>
      <c r="J183" s="25"/>
      <c r="K183" s="25"/>
      <c r="L183" s="25"/>
      <c r="M183" s="25"/>
      <c r="N183" s="25"/>
      <c r="O183" s="25"/>
      <c r="P183" s="25"/>
      <c r="Q183" s="25"/>
      <c r="R183" s="25"/>
      <c r="S183" s="25"/>
    </row>
    <row r="184" spans="2:19" ht="15" customHeight="1" x14ac:dyDescent="0.45">
      <c r="B184" s="2"/>
      <c r="D184" s="468"/>
      <c r="E184" s="25"/>
      <c r="F184" s="25"/>
      <c r="G184" s="25"/>
      <c r="H184" s="25"/>
      <c r="I184" s="25"/>
      <c r="J184" s="25"/>
      <c r="K184" s="25"/>
      <c r="L184" s="25"/>
      <c r="M184" s="25"/>
      <c r="N184" s="25"/>
      <c r="O184" s="25"/>
      <c r="P184" s="25"/>
      <c r="Q184" s="25"/>
      <c r="R184" s="25"/>
      <c r="S184" s="25"/>
    </row>
    <row r="185" spans="2:19" ht="15" customHeight="1" x14ac:dyDescent="0.45">
      <c r="B185" s="2"/>
      <c r="D185" s="31"/>
      <c r="E185" s="25"/>
      <c r="F185" s="25"/>
      <c r="G185" s="25"/>
      <c r="H185" s="25"/>
      <c r="I185" s="25"/>
      <c r="J185" s="25"/>
      <c r="K185" s="25"/>
      <c r="L185" s="25"/>
      <c r="M185" s="25"/>
      <c r="N185" s="25"/>
      <c r="O185" s="25"/>
      <c r="P185" s="25"/>
      <c r="Q185" s="25"/>
      <c r="R185" s="25"/>
      <c r="S185" s="25"/>
    </row>
    <row r="186" spans="2:19" ht="15" customHeight="1" x14ac:dyDescent="0.45">
      <c r="B186" s="2"/>
      <c r="D186" s="31"/>
      <c r="E186" s="25"/>
      <c r="F186" s="25"/>
      <c r="G186" s="25"/>
      <c r="H186" s="25"/>
      <c r="I186" s="25"/>
      <c r="J186" s="25"/>
      <c r="K186" s="25"/>
      <c r="L186" s="25"/>
      <c r="M186" s="25"/>
      <c r="N186" s="25"/>
      <c r="O186" s="25"/>
      <c r="P186" s="25"/>
      <c r="Q186" s="25"/>
      <c r="R186" s="25"/>
      <c r="S186" s="25"/>
    </row>
    <row r="187" spans="2:19" ht="15" customHeight="1" x14ac:dyDescent="0.45">
      <c r="B187" s="2"/>
      <c r="E187" s="25"/>
      <c r="F187" s="25"/>
      <c r="G187" s="25"/>
      <c r="H187" s="25"/>
      <c r="I187" s="25"/>
      <c r="J187" s="25"/>
      <c r="K187" s="25"/>
      <c r="L187" s="25"/>
      <c r="M187" s="25"/>
      <c r="N187" s="25"/>
      <c r="O187" s="25"/>
      <c r="P187" s="25"/>
      <c r="Q187" s="25"/>
      <c r="R187" s="25"/>
      <c r="S187" s="25"/>
    </row>
    <row r="188" spans="2:19" ht="15" customHeight="1" x14ac:dyDescent="0.45">
      <c r="B188" s="2"/>
      <c r="D188" s="31"/>
      <c r="E188" s="25"/>
      <c r="F188" s="25"/>
      <c r="G188" s="25"/>
      <c r="H188" s="25"/>
      <c r="I188" s="25"/>
      <c r="J188" s="25"/>
      <c r="K188" s="25"/>
      <c r="L188" s="25"/>
      <c r="M188" s="25"/>
      <c r="N188" s="25"/>
      <c r="O188" s="25"/>
      <c r="P188" s="25"/>
      <c r="Q188" s="25"/>
      <c r="R188" s="25"/>
      <c r="S188" s="25"/>
    </row>
    <row r="189" spans="2:19" ht="15" customHeight="1" x14ac:dyDescent="0.45">
      <c r="B189" s="2"/>
      <c r="D189" s="31"/>
      <c r="E189" s="25"/>
      <c r="F189" s="25"/>
      <c r="G189" s="25"/>
      <c r="H189" s="25"/>
      <c r="I189" s="25"/>
      <c r="J189" s="25"/>
      <c r="K189" s="25"/>
      <c r="L189" s="25"/>
      <c r="M189" s="25"/>
      <c r="N189" s="25"/>
      <c r="O189" s="25"/>
      <c r="P189" s="25"/>
      <c r="Q189" s="25"/>
      <c r="R189" s="25"/>
      <c r="S189" s="25"/>
    </row>
    <row r="190" spans="2:19" ht="15" customHeight="1" x14ac:dyDescent="0.45">
      <c r="B190" s="2"/>
      <c r="D190" s="31"/>
      <c r="E190" s="25"/>
      <c r="F190" s="25"/>
      <c r="G190" s="25"/>
      <c r="H190" s="25"/>
      <c r="I190" s="25"/>
      <c r="J190" s="25"/>
      <c r="K190" s="25"/>
      <c r="L190" s="25"/>
      <c r="M190" s="25"/>
      <c r="N190" s="25"/>
      <c r="O190" s="25"/>
      <c r="P190" s="25"/>
      <c r="Q190" s="25"/>
      <c r="R190" s="25"/>
      <c r="S190" s="25"/>
    </row>
    <row r="191" spans="2:19" ht="15" customHeight="1" x14ac:dyDescent="0.45">
      <c r="B191" s="2"/>
      <c r="D191" s="31"/>
      <c r="E191" s="25"/>
      <c r="F191" s="25"/>
      <c r="G191" s="25"/>
      <c r="H191" s="25"/>
      <c r="I191" s="25"/>
      <c r="J191" s="25"/>
      <c r="K191" s="25"/>
      <c r="L191" s="25"/>
      <c r="M191" s="25"/>
      <c r="N191" s="25"/>
      <c r="O191" s="25"/>
      <c r="P191" s="25"/>
      <c r="Q191" s="25"/>
      <c r="R191" s="25"/>
      <c r="S191" s="25"/>
    </row>
    <row r="192" spans="2:19" ht="15" customHeight="1" x14ac:dyDescent="0.45">
      <c r="B192" s="2"/>
    </row>
    <row r="193" spans="2:19" ht="15" customHeight="1" x14ac:dyDescent="0.45">
      <c r="B193" s="2"/>
      <c r="D193" s="31"/>
      <c r="E193" s="25"/>
      <c r="F193" s="25"/>
      <c r="G193" s="25"/>
      <c r="H193" s="25"/>
      <c r="I193" s="25"/>
      <c r="J193" s="25"/>
      <c r="K193" s="25"/>
      <c r="L193" s="25"/>
      <c r="M193" s="25"/>
      <c r="N193" s="25"/>
      <c r="O193" s="25"/>
      <c r="P193" s="25"/>
      <c r="Q193" s="25"/>
      <c r="R193" s="25"/>
      <c r="S193" s="25"/>
    </row>
    <row r="194" spans="2:19" ht="15" customHeight="1" x14ac:dyDescent="0.45">
      <c r="B194" s="2"/>
      <c r="D194" s="31"/>
      <c r="E194" s="25"/>
      <c r="F194" s="25"/>
      <c r="G194" s="25"/>
      <c r="H194" s="25"/>
      <c r="I194" s="25"/>
      <c r="J194" s="25"/>
      <c r="K194" s="25"/>
      <c r="L194" s="25"/>
      <c r="M194" s="25"/>
      <c r="N194" s="25"/>
      <c r="O194" s="25"/>
      <c r="P194" s="25"/>
      <c r="Q194" s="25"/>
      <c r="R194" s="25"/>
      <c r="S194" s="25"/>
    </row>
    <row r="195" spans="2:19" ht="15" customHeight="1" x14ac:dyDescent="0.45">
      <c r="B195" s="2"/>
      <c r="D195" s="31"/>
      <c r="E195" s="25"/>
      <c r="F195" s="25"/>
      <c r="G195" s="25"/>
      <c r="H195" s="25"/>
      <c r="I195" s="25"/>
      <c r="J195" s="25"/>
      <c r="K195" s="25"/>
      <c r="L195" s="25"/>
      <c r="M195" s="25"/>
      <c r="N195" s="25"/>
      <c r="O195" s="25"/>
      <c r="P195" s="25"/>
      <c r="Q195" s="25"/>
      <c r="R195" s="25"/>
      <c r="S195" s="25"/>
    </row>
    <row r="196" spans="2:19" ht="15" customHeight="1" x14ac:dyDescent="0.45">
      <c r="B196" s="2"/>
      <c r="D196" s="31"/>
      <c r="E196" s="25"/>
      <c r="F196" s="25"/>
      <c r="G196" s="25"/>
      <c r="H196" s="25"/>
      <c r="I196" s="25"/>
      <c r="J196" s="25"/>
      <c r="K196" s="25"/>
      <c r="L196" s="25"/>
      <c r="M196" s="25"/>
      <c r="N196" s="25"/>
      <c r="O196" s="25"/>
      <c r="P196" s="25"/>
      <c r="Q196" s="25"/>
      <c r="R196" s="25"/>
      <c r="S196" s="25"/>
    </row>
    <row r="197" spans="2:19" ht="15" customHeight="1" x14ac:dyDescent="0.45">
      <c r="B197" s="2"/>
      <c r="D197" s="31"/>
      <c r="E197" s="25"/>
      <c r="F197" s="25"/>
      <c r="G197" s="25"/>
      <c r="H197" s="25"/>
      <c r="I197" s="25"/>
      <c r="J197" s="25"/>
      <c r="K197" s="25"/>
      <c r="L197" s="25"/>
      <c r="M197" s="25"/>
      <c r="N197" s="25"/>
      <c r="O197" s="25"/>
      <c r="P197" s="25"/>
      <c r="Q197" s="25"/>
      <c r="R197" s="25"/>
      <c r="S197" s="25"/>
    </row>
    <row r="198" spans="2:19" ht="15" customHeight="1" x14ac:dyDescent="0.45">
      <c r="B198" s="2"/>
      <c r="D198" s="31"/>
      <c r="E198" s="25"/>
      <c r="F198" s="25"/>
      <c r="G198" s="25"/>
      <c r="H198" s="25"/>
      <c r="I198" s="25"/>
      <c r="J198" s="25"/>
      <c r="K198" s="25"/>
      <c r="L198" s="25"/>
      <c r="M198" s="25"/>
      <c r="N198" s="25"/>
      <c r="O198" s="25"/>
      <c r="P198" s="25"/>
      <c r="Q198" s="25"/>
      <c r="R198" s="25"/>
      <c r="S198" s="25"/>
    </row>
    <row r="199" spans="2:19" ht="15" customHeight="1" x14ac:dyDescent="0.45">
      <c r="B199" s="2"/>
      <c r="D199" s="31"/>
      <c r="E199" s="25"/>
      <c r="F199" s="25"/>
      <c r="G199" s="25"/>
      <c r="H199" s="25"/>
      <c r="I199" s="25"/>
      <c r="J199" s="25"/>
      <c r="K199" s="25"/>
      <c r="L199" s="25"/>
      <c r="M199" s="25"/>
      <c r="N199" s="25"/>
      <c r="O199" s="25"/>
      <c r="P199" s="25"/>
      <c r="Q199" s="25"/>
      <c r="R199" s="25"/>
      <c r="S199" s="25"/>
    </row>
    <row r="200" spans="2:19" ht="15" customHeight="1" x14ac:dyDescent="0.45">
      <c r="B200" s="2"/>
      <c r="D200" s="31"/>
      <c r="E200" s="25"/>
      <c r="F200" s="25"/>
      <c r="G200" s="25"/>
      <c r="H200" s="25"/>
      <c r="I200" s="25"/>
      <c r="J200" s="25"/>
      <c r="K200" s="25"/>
      <c r="L200" s="25"/>
      <c r="M200" s="25"/>
      <c r="N200" s="25"/>
      <c r="O200" s="25"/>
      <c r="P200" s="25"/>
      <c r="Q200" s="25"/>
      <c r="R200" s="25"/>
      <c r="S200" s="25"/>
    </row>
    <row r="201" spans="2:19" ht="15" customHeight="1" x14ac:dyDescent="0.45">
      <c r="B201" s="2"/>
      <c r="D201" s="31"/>
      <c r="E201" s="25"/>
      <c r="F201" s="25"/>
      <c r="G201" s="25"/>
      <c r="H201" s="25"/>
      <c r="I201" s="25"/>
      <c r="J201" s="25"/>
      <c r="K201" s="25"/>
      <c r="L201" s="25"/>
      <c r="M201" s="25"/>
      <c r="N201" s="25"/>
      <c r="O201" s="25"/>
      <c r="P201" s="25"/>
      <c r="Q201" s="25"/>
      <c r="R201" s="25"/>
      <c r="S201" s="25"/>
    </row>
    <row r="202" spans="2:19" ht="15" customHeight="1" x14ac:dyDescent="0.45">
      <c r="B202" s="2"/>
      <c r="D202" s="31"/>
      <c r="E202" s="25"/>
      <c r="F202" s="25"/>
      <c r="G202" s="25"/>
      <c r="H202" s="25"/>
      <c r="I202" s="25"/>
      <c r="J202" s="25"/>
      <c r="K202" s="25"/>
      <c r="L202" s="25"/>
      <c r="M202" s="25"/>
      <c r="N202" s="25"/>
      <c r="O202" s="25"/>
      <c r="P202" s="25"/>
      <c r="Q202" s="25"/>
      <c r="R202" s="25"/>
      <c r="S202" s="25"/>
    </row>
    <row r="203" spans="2:19" ht="15" customHeight="1" x14ac:dyDescent="0.45">
      <c r="B203" s="2"/>
      <c r="D203" s="31"/>
      <c r="E203" s="25"/>
      <c r="F203" s="25"/>
      <c r="G203" s="25"/>
      <c r="H203" s="25"/>
      <c r="I203" s="25"/>
      <c r="J203" s="25"/>
      <c r="K203" s="25"/>
      <c r="L203" s="25"/>
      <c r="M203" s="25"/>
      <c r="N203" s="25"/>
      <c r="O203" s="25"/>
      <c r="P203" s="25"/>
      <c r="Q203" s="25"/>
      <c r="R203" s="25"/>
      <c r="S203" s="25"/>
    </row>
    <row r="204" spans="2:19" ht="15" customHeight="1" x14ac:dyDescent="0.45">
      <c r="B204" s="2"/>
      <c r="D204" s="31"/>
      <c r="E204" s="25"/>
      <c r="F204" s="25"/>
      <c r="G204" s="25"/>
      <c r="H204" s="25"/>
      <c r="I204" s="25"/>
      <c r="J204" s="25"/>
      <c r="K204" s="25"/>
      <c r="L204" s="25"/>
      <c r="M204" s="25"/>
      <c r="N204" s="25"/>
      <c r="O204" s="25"/>
      <c r="P204" s="25"/>
      <c r="Q204" s="25"/>
      <c r="R204" s="25"/>
      <c r="S204" s="25"/>
    </row>
    <row r="205" spans="2:19" ht="15" customHeight="1" x14ac:dyDescent="0.45">
      <c r="B205" s="2"/>
      <c r="D205" s="31"/>
      <c r="E205" s="25"/>
      <c r="F205" s="25"/>
      <c r="G205" s="25"/>
      <c r="H205" s="25"/>
      <c r="I205" s="25"/>
      <c r="J205" s="25"/>
      <c r="K205" s="25"/>
      <c r="L205" s="25"/>
      <c r="M205" s="25"/>
      <c r="N205" s="25"/>
      <c r="O205" s="25"/>
      <c r="P205" s="25"/>
      <c r="Q205" s="25"/>
      <c r="R205" s="25"/>
      <c r="S205" s="25"/>
    </row>
    <row r="206" spans="2:19" ht="15" customHeight="1" x14ac:dyDescent="0.45">
      <c r="B206" s="2"/>
      <c r="D206" s="31"/>
      <c r="E206" s="25"/>
      <c r="F206" s="25"/>
      <c r="G206" s="25"/>
      <c r="H206" s="25"/>
      <c r="I206" s="25"/>
      <c r="J206" s="25"/>
      <c r="K206" s="25"/>
      <c r="L206" s="25"/>
      <c r="M206" s="25"/>
      <c r="N206" s="25"/>
      <c r="O206" s="25"/>
      <c r="P206" s="25"/>
      <c r="Q206" s="25"/>
      <c r="R206" s="25"/>
      <c r="S206" s="25"/>
    </row>
    <row r="207" spans="2:19" ht="15" customHeight="1" x14ac:dyDescent="0.45">
      <c r="B207" s="2"/>
      <c r="D207" s="31"/>
      <c r="E207" s="25"/>
      <c r="F207" s="25"/>
      <c r="G207" s="25"/>
      <c r="H207" s="25"/>
      <c r="I207" s="25"/>
      <c r="J207" s="25"/>
      <c r="K207" s="25"/>
      <c r="L207" s="25"/>
      <c r="M207" s="25"/>
      <c r="N207" s="25"/>
      <c r="O207" s="25"/>
      <c r="P207" s="25"/>
      <c r="Q207" s="25"/>
      <c r="R207" s="25"/>
      <c r="S207" s="25"/>
    </row>
    <row r="208" spans="2:19" ht="15" customHeight="1" x14ac:dyDescent="0.45">
      <c r="B208" s="2"/>
      <c r="D208" s="31"/>
      <c r="E208" s="25"/>
      <c r="F208" s="25"/>
      <c r="G208" s="25"/>
      <c r="H208" s="25"/>
      <c r="I208" s="25"/>
      <c r="J208" s="25"/>
      <c r="K208" s="25"/>
      <c r="L208" s="25"/>
      <c r="M208" s="25"/>
      <c r="N208" s="25"/>
      <c r="O208" s="25"/>
      <c r="P208" s="25"/>
      <c r="Q208" s="25"/>
      <c r="R208" s="25"/>
      <c r="S208" s="25"/>
    </row>
    <row r="209" spans="2:19" ht="15" customHeight="1" x14ac:dyDescent="0.45">
      <c r="B209" s="2"/>
      <c r="D209" s="31"/>
      <c r="E209" s="25"/>
      <c r="F209" s="25"/>
      <c r="G209" s="25"/>
      <c r="H209" s="25"/>
      <c r="I209" s="25"/>
      <c r="J209" s="25"/>
      <c r="K209" s="25"/>
      <c r="L209" s="25"/>
      <c r="M209" s="25"/>
      <c r="N209" s="25"/>
      <c r="O209" s="25"/>
      <c r="P209" s="25"/>
      <c r="Q209" s="25"/>
      <c r="R209" s="25"/>
      <c r="S209" s="25"/>
    </row>
    <row r="210" spans="2:19" ht="15" customHeight="1" x14ac:dyDescent="0.45">
      <c r="B210" s="2"/>
      <c r="D210" s="31"/>
      <c r="E210" s="25"/>
      <c r="F210" s="25"/>
      <c r="G210" s="25"/>
      <c r="H210" s="25"/>
      <c r="I210" s="25"/>
      <c r="J210" s="25"/>
      <c r="K210" s="25"/>
      <c r="L210" s="25"/>
      <c r="M210" s="25"/>
      <c r="N210" s="25"/>
      <c r="O210" s="25"/>
      <c r="P210" s="25"/>
      <c r="Q210" s="25"/>
      <c r="R210" s="25"/>
      <c r="S210" s="25"/>
    </row>
    <row r="211" spans="2:19" ht="15" customHeight="1" x14ac:dyDescent="0.45">
      <c r="B211" s="2"/>
      <c r="D211" s="31"/>
      <c r="E211" s="25"/>
      <c r="F211" s="25"/>
      <c r="G211" s="25"/>
      <c r="H211" s="25"/>
      <c r="I211" s="25"/>
      <c r="J211" s="25"/>
      <c r="K211" s="25"/>
      <c r="L211" s="25"/>
      <c r="M211" s="25"/>
      <c r="N211" s="25"/>
      <c r="O211" s="25"/>
      <c r="P211" s="25"/>
      <c r="Q211" s="25"/>
      <c r="R211" s="25"/>
      <c r="S211" s="25"/>
    </row>
    <row r="212" spans="2:19" ht="15" customHeight="1" x14ac:dyDescent="0.45">
      <c r="B212" s="2"/>
      <c r="D212" s="31"/>
      <c r="E212" s="25"/>
      <c r="F212" s="25"/>
      <c r="G212" s="25"/>
      <c r="H212" s="25"/>
      <c r="I212" s="25"/>
      <c r="J212" s="25"/>
      <c r="K212" s="25"/>
      <c r="L212" s="25"/>
      <c r="M212" s="25"/>
      <c r="N212" s="25"/>
      <c r="O212" s="25"/>
      <c r="P212" s="25"/>
      <c r="Q212" s="25"/>
      <c r="R212" s="25"/>
      <c r="S212" s="25"/>
    </row>
    <row r="213" spans="2:19" ht="15" customHeight="1" x14ac:dyDescent="0.45">
      <c r="B213" s="2"/>
      <c r="D213" s="31"/>
      <c r="E213" s="25"/>
      <c r="F213" s="25"/>
      <c r="G213" s="25"/>
      <c r="H213" s="25"/>
      <c r="I213" s="25"/>
      <c r="J213" s="25"/>
      <c r="K213" s="25"/>
      <c r="L213" s="25"/>
      <c r="M213" s="25"/>
      <c r="N213" s="25"/>
      <c r="O213" s="25"/>
      <c r="P213" s="25"/>
      <c r="Q213" s="25"/>
      <c r="R213" s="25"/>
      <c r="S213" s="25"/>
    </row>
    <row r="214" spans="2:19" ht="15" customHeight="1" x14ac:dyDescent="0.45">
      <c r="B214" s="2"/>
      <c r="D214" s="31"/>
      <c r="E214" s="25"/>
      <c r="F214" s="25"/>
      <c r="G214" s="25"/>
      <c r="H214" s="25"/>
      <c r="I214" s="25"/>
      <c r="J214" s="25"/>
      <c r="K214" s="25"/>
      <c r="L214" s="25"/>
      <c r="M214" s="25"/>
      <c r="N214" s="25"/>
      <c r="O214" s="25"/>
      <c r="P214" s="25"/>
      <c r="Q214" s="25"/>
      <c r="R214" s="25"/>
      <c r="S214" s="25"/>
    </row>
    <row r="215" spans="2:19" ht="15" customHeight="1" x14ac:dyDescent="0.45">
      <c r="B215" s="2"/>
      <c r="D215" s="31"/>
      <c r="E215" s="25"/>
      <c r="F215" s="25"/>
      <c r="G215" s="25"/>
      <c r="H215" s="25"/>
      <c r="I215" s="25"/>
      <c r="J215" s="25"/>
      <c r="K215" s="25"/>
      <c r="L215" s="25"/>
      <c r="M215" s="25"/>
      <c r="N215" s="25"/>
      <c r="O215" s="25"/>
      <c r="P215" s="25"/>
      <c r="Q215" s="25"/>
      <c r="R215" s="25"/>
      <c r="S215" s="25"/>
    </row>
    <row r="216" spans="2:19" ht="15" customHeight="1" x14ac:dyDescent="0.45">
      <c r="B216" s="2"/>
      <c r="D216" s="31"/>
      <c r="E216" s="25"/>
      <c r="F216" s="25"/>
      <c r="G216" s="25"/>
      <c r="H216" s="25"/>
      <c r="I216" s="25"/>
      <c r="J216" s="25"/>
      <c r="K216" s="25"/>
      <c r="L216" s="25"/>
      <c r="M216" s="25"/>
      <c r="N216" s="25"/>
      <c r="O216" s="25"/>
      <c r="P216" s="25"/>
      <c r="Q216" s="25"/>
      <c r="R216" s="25"/>
      <c r="S216" s="25"/>
    </row>
    <row r="217" spans="2:19" ht="15" customHeight="1" x14ac:dyDescent="0.45">
      <c r="B217" s="2"/>
      <c r="D217" s="31"/>
      <c r="E217" s="25"/>
      <c r="F217" s="25"/>
      <c r="G217" s="25"/>
      <c r="H217" s="25"/>
      <c r="I217" s="25"/>
      <c r="J217" s="25"/>
      <c r="K217" s="25"/>
      <c r="L217" s="25"/>
      <c r="M217" s="25"/>
      <c r="N217" s="25"/>
      <c r="O217" s="25"/>
      <c r="P217" s="25"/>
      <c r="Q217" s="25"/>
      <c r="R217" s="25"/>
      <c r="S217" s="25"/>
    </row>
    <row r="218" spans="2:19" ht="15" customHeight="1" x14ac:dyDescent="0.45">
      <c r="B218" s="2"/>
      <c r="D218" s="31"/>
      <c r="E218" s="25"/>
      <c r="F218" s="25"/>
      <c r="G218" s="25"/>
      <c r="H218" s="25"/>
      <c r="I218" s="25"/>
      <c r="J218" s="25"/>
      <c r="K218" s="25"/>
      <c r="L218" s="25"/>
      <c r="M218" s="25"/>
      <c r="N218" s="25"/>
      <c r="O218" s="25"/>
      <c r="P218" s="25"/>
      <c r="Q218" s="25"/>
      <c r="R218" s="25"/>
      <c r="S218" s="25"/>
    </row>
    <row r="219" spans="2:19" ht="15" customHeight="1" x14ac:dyDescent="0.45">
      <c r="B219" s="2"/>
      <c r="D219" s="31"/>
      <c r="E219" s="25"/>
      <c r="F219" s="25"/>
      <c r="G219" s="25"/>
      <c r="H219" s="25"/>
      <c r="I219" s="25"/>
      <c r="J219" s="25"/>
      <c r="K219" s="25"/>
      <c r="L219" s="25"/>
      <c r="M219" s="25"/>
      <c r="N219" s="25"/>
      <c r="O219" s="25"/>
      <c r="P219" s="25"/>
      <c r="Q219" s="25"/>
      <c r="R219" s="25"/>
      <c r="S219" s="25"/>
    </row>
    <row r="220" spans="2:19" ht="15" customHeight="1" x14ac:dyDescent="0.45">
      <c r="B220" s="2"/>
      <c r="D220" s="31"/>
      <c r="E220" s="25"/>
      <c r="F220" s="25"/>
      <c r="G220" s="25"/>
      <c r="H220" s="25"/>
      <c r="I220" s="25"/>
      <c r="J220" s="25"/>
      <c r="K220" s="25"/>
      <c r="L220" s="25"/>
      <c r="M220" s="25"/>
      <c r="N220" s="25"/>
      <c r="O220" s="25"/>
      <c r="P220" s="25"/>
      <c r="Q220" s="25"/>
      <c r="R220" s="25"/>
      <c r="S220" s="25"/>
    </row>
    <row r="221" spans="2:19" ht="15" customHeight="1" x14ac:dyDescent="0.45">
      <c r="B221" s="2"/>
      <c r="D221" s="31"/>
      <c r="E221" s="25"/>
      <c r="F221" s="25"/>
      <c r="G221" s="25"/>
      <c r="H221" s="25"/>
      <c r="I221" s="25"/>
      <c r="J221" s="25"/>
      <c r="K221" s="25"/>
      <c r="L221" s="25"/>
      <c r="M221" s="25"/>
      <c r="N221" s="25"/>
      <c r="O221" s="25"/>
      <c r="P221" s="25"/>
      <c r="Q221" s="25"/>
      <c r="R221" s="25"/>
      <c r="S221" s="25"/>
    </row>
    <row r="222" spans="2:19" ht="15" customHeight="1" x14ac:dyDescent="0.45">
      <c r="B222" s="2"/>
      <c r="D222" s="31"/>
      <c r="E222" s="25"/>
      <c r="F222" s="25"/>
      <c r="G222" s="25"/>
      <c r="H222" s="25"/>
      <c r="I222" s="25"/>
      <c r="J222" s="25"/>
      <c r="K222" s="25"/>
      <c r="L222" s="25"/>
      <c r="M222" s="25"/>
      <c r="N222" s="25"/>
      <c r="O222" s="25"/>
      <c r="P222" s="25"/>
      <c r="Q222" s="25"/>
      <c r="R222" s="25"/>
      <c r="S222" s="25"/>
    </row>
    <row r="236" spans="1:19" s="467" customFormat="1" ht="15" customHeight="1" x14ac:dyDescent="0.45">
      <c r="A236" s="1"/>
      <c r="B236" s="2" t="s">
        <v>406</v>
      </c>
      <c r="C236" s="2"/>
      <c r="E236" s="24"/>
      <c r="F236" s="24"/>
      <c r="G236" s="24"/>
      <c r="H236" s="24"/>
      <c r="I236" s="24"/>
      <c r="J236" s="24"/>
      <c r="K236" s="24"/>
      <c r="L236" s="24"/>
      <c r="M236" s="24"/>
      <c r="N236" s="24"/>
      <c r="O236" s="24"/>
      <c r="P236" s="24"/>
      <c r="Q236" s="24"/>
      <c r="R236" s="24"/>
      <c r="S236" s="24"/>
    </row>
    <row r="237" spans="1:19" s="467" customFormat="1" ht="15" customHeight="1" x14ac:dyDescent="0.45">
      <c r="A237" s="1"/>
      <c r="B237" s="2" t="s">
        <v>267</v>
      </c>
      <c r="C237" s="2"/>
      <c r="E237" s="24"/>
      <c r="F237" s="24"/>
      <c r="G237" s="24"/>
      <c r="H237" s="24"/>
      <c r="I237" s="24"/>
      <c r="J237" s="24"/>
      <c r="K237" s="24"/>
      <c r="L237" s="24"/>
      <c r="M237" s="24"/>
      <c r="N237" s="24"/>
      <c r="O237" s="24"/>
      <c r="P237" s="24"/>
      <c r="Q237" s="24"/>
      <c r="R237" s="24"/>
      <c r="S237" s="24"/>
    </row>
    <row r="238" spans="1:19" s="467" customFormat="1" ht="15" customHeight="1" x14ac:dyDescent="0.45">
      <c r="A238" s="1"/>
      <c r="B238" s="2" t="s">
        <v>268</v>
      </c>
      <c r="C238" s="2"/>
      <c r="E238" s="24"/>
      <c r="F238" s="24"/>
      <c r="G238" s="24"/>
      <c r="H238" s="24"/>
      <c r="I238" s="24"/>
      <c r="J238" s="24"/>
      <c r="K238" s="24"/>
      <c r="L238" s="24"/>
      <c r="M238" s="24"/>
      <c r="N238" s="24"/>
      <c r="O238" s="24"/>
      <c r="P238" s="24"/>
      <c r="Q238" s="24"/>
      <c r="R238" s="24"/>
      <c r="S238" s="24"/>
    </row>
    <row r="239" spans="1:19" s="467" customFormat="1" ht="15" customHeight="1" x14ac:dyDescent="0.45">
      <c r="A239" s="1"/>
      <c r="B239" s="2" t="s">
        <v>269</v>
      </c>
      <c r="C239" s="2"/>
      <c r="E239" s="24"/>
      <c r="F239" s="24"/>
      <c r="G239" s="24"/>
      <c r="H239" s="24"/>
      <c r="I239" s="24"/>
      <c r="J239" s="24"/>
      <c r="K239" s="24"/>
      <c r="L239" s="24"/>
      <c r="M239" s="24"/>
      <c r="N239" s="24"/>
      <c r="O239" s="24"/>
      <c r="P239" s="24"/>
      <c r="Q239" s="24"/>
      <c r="R239" s="24"/>
      <c r="S239" s="24"/>
    </row>
    <row r="240" spans="1:19" s="467" customFormat="1" ht="15" customHeight="1" x14ac:dyDescent="0.45">
      <c r="A240" s="1"/>
      <c r="B240" s="2" t="s">
        <v>272</v>
      </c>
      <c r="C240" s="2"/>
      <c r="E240" s="24"/>
      <c r="F240" s="24"/>
      <c r="G240" s="24"/>
      <c r="H240" s="24"/>
      <c r="I240" s="24"/>
      <c r="J240" s="24"/>
      <c r="K240" s="24"/>
      <c r="L240" s="24"/>
      <c r="M240" s="24"/>
      <c r="N240" s="24"/>
      <c r="O240" s="24"/>
      <c r="P240" s="24"/>
      <c r="Q240" s="24"/>
      <c r="R240" s="24"/>
      <c r="S240" s="24"/>
    </row>
    <row r="241" spans="1:19" s="467" customFormat="1" ht="15" customHeight="1" x14ac:dyDescent="0.45">
      <c r="A241" s="1"/>
      <c r="B241" s="2" t="s">
        <v>273</v>
      </c>
      <c r="C241" s="2"/>
      <c r="E241" s="24"/>
      <c r="F241" s="24"/>
      <c r="G241" s="24"/>
      <c r="H241" s="24"/>
      <c r="I241" s="24"/>
      <c r="J241" s="24"/>
      <c r="K241" s="24"/>
      <c r="L241" s="24"/>
      <c r="M241" s="24"/>
      <c r="N241" s="24"/>
      <c r="O241" s="24"/>
      <c r="P241" s="24"/>
      <c r="Q241" s="24"/>
      <c r="R241" s="24"/>
      <c r="S241" s="24"/>
    </row>
    <row r="242" spans="1:19" s="467" customFormat="1" ht="15" customHeight="1" x14ac:dyDescent="0.45">
      <c r="A242" s="1"/>
      <c r="B242" s="2" t="s">
        <v>274</v>
      </c>
      <c r="C242" s="2"/>
      <c r="E242" s="24"/>
      <c r="F242" s="24"/>
      <c r="G242" s="24"/>
      <c r="H242" s="24"/>
      <c r="I242" s="24"/>
      <c r="J242" s="24"/>
      <c r="K242" s="24"/>
      <c r="L242" s="24"/>
      <c r="M242" s="24"/>
      <c r="N242" s="24"/>
      <c r="O242" s="24"/>
      <c r="P242" s="24"/>
      <c r="Q242" s="24"/>
      <c r="R242" s="24"/>
      <c r="S242" s="24"/>
    </row>
    <row r="243" spans="1:19" s="467" customFormat="1" ht="15" customHeight="1" x14ac:dyDescent="0.45">
      <c r="A243" s="1"/>
      <c r="B243" s="2" t="s">
        <v>270</v>
      </c>
      <c r="C243" s="2"/>
      <c r="E243" s="24"/>
      <c r="F243" s="24"/>
      <c r="G243" s="24"/>
      <c r="H243" s="24"/>
      <c r="I243" s="24"/>
      <c r="J243" s="24"/>
      <c r="K243" s="24"/>
      <c r="L243" s="24"/>
      <c r="M243" s="24"/>
      <c r="N243" s="24"/>
      <c r="O243" s="24"/>
      <c r="P243" s="24"/>
      <c r="Q243" s="24"/>
      <c r="R243" s="24"/>
      <c r="S243" s="24"/>
    </row>
    <row r="244" spans="1:19" s="467" customFormat="1" ht="15" customHeight="1" x14ac:dyDescent="0.45">
      <c r="A244" s="1"/>
      <c r="B244" s="2" t="s">
        <v>275</v>
      </c>
      <c r="C244" s="2"/>
      <c r="E244" s="24"/>
      <c r="F244" s="24"/>
      <c r="G244" s="24"/>
      <c r="H244" s="24"/>
      <c r="I244" s="24"/>
      <c r="J244" s="24"/>
      <c r="K244" s="24"/>
      <c r="L244" s="24"/>
      <c r="M244" s="24"/>
      <c r="N244" s="24"/>
      <c r="O244" s="24"/>
      <c r="P244" s="24"/>
      <c r="Q244" s="24"/>
      <c r="R244" s="24"/>
      <c r="S244" s="24"/>
    </row>
    <row r="245" spans="1:19" s="467" customFormat="1" ht="15" customHeight="1" x14ac:dyDescent="0.45">
      <c r="A245" s="1"/>
      <c r="B245" s="2" t="s">
        <v>255</v>
      </c>
      <c r="C245" s="2"/>
      <c r="E245" s="24"/>
      <c r="F245" s="24"/>
      <c r="G245" s="24"/>
      <c r="H245" s="24"/>
      <c r="I245" s="24"/>
      <c r="J245" s="24"/>
      <c r="K245" s="24"/>
      <c r="L245" s="24"/>
      <c r="M245" s="24"/>
      <c r="N245" s="24"/>
      <c r="O245" s="24"/>
      <c r="P245" s="24"/>
      <c r="Q245" s="24"/>
      <c r="R245" s="24"/>
      <c r="S245" s="24"/>
    </row>
    <row r="246" spans="1:19" s="467" customFormat="1" ht="15" customHeight="1" x14ac:dyDescent="0.45">
      <c r="A246" s="1"/>
      <c r="B246" s="2" t="s">
        <v>407</v>
      </c>
      <c r="C246" s="2"/>
      <c r="E246" s="24"/>
      <c r="F246" s="24"/>
      <c r="G246" s="24"/>
      <c r="H246" s="24"/>
      <c r="I246" s="24"/>
      <c r="J246" s="24"/>
      <c r="K246" s="24"/>
      <c r="L246" s="24"/>
      <c r="M246" s="24"/>
      <c r="N246" s="24"/>
      <c r="O246" s="24"/>
      <c r="P246" s="24"/>
      <c r="Q246" s="24"/>
      <c r="R246" s="24"/>
      <c r="S246" s="24"/>
    </row>
    <row r="247" spans="1:19" s="467" customFormat="1" ht="15" customHeight="1" x14ac:dyDescent="0.45">
      <c r="A247" s="1"/>
      <c r="B247" s="2" t="s">
        <v>408</v>
      </c>
      <c r="C247" s="2"/>
      <c r="E247" s="24"/>
      <c r="F247" s="24"/>
      <c r="G247" s="24"/>
      <c r="H247" s="24"/>
      <c r="I247" s="24"/>
      <c r="J247" s="24"/>
      <c r="K247" s="24"/>
      <c r="L247" s="24"/>
      <c r="M247" s="24"/>
      <c r="N247" s="24"/>
      <c r="O247" s="24"/>
      <c r="P247" s="24"/>
      <c r="Q247" s="24"/>
      <c r="R247" s="24"/>
      <c r="S247" s="24"/>
    </row>
    <row r="248" spans="1:19" s="467" customFormat="1" ht="15" customHeight="1" x14ac:dyDescent="0.45">
      <c r="A248" s="1"/>
      <c r="B248" s="2" t="s">
        <v>409</v>
      </c>
      <c r="C248" s="2"/>
      <c r="E248" s="24"/>
      <c r="F248" s="24"/>
      <c r="G248" s="24"/>
      <c r="H248" s="24"/>
      <c r="I248" s="24"/>
      <c r="J248" s="24"/>
      <c r="K248" s="24"/>
      <c r="L248" s="24"/>
      <c r="M248" s="24"/>
      <c r="N248" s="24"/>
      <c r="O248" s="24"/>
      <c r="P248" s="24"/>
      <c r="Q248" s="24"/>
      <c r="R248" s="24"/>
      <c r="S248" s="24"/>
    </row>
    <row r="249" spans="1:19" s="467" customFormat="1" ht="15" customHeight="1" x14ac:dyDescent="0.45">
      <c r="A249" s="1"/>
      <c r="B249" s="2" t="s">
        <v>410</v>
      </c>
      <c r="C249" s="2"/>
      <c r="E249" s="24"/>
      <c r="F249" s="24"/>
      <c r="G249" s="24"/>
      <c r="H249" s="24"/>
      <c r="I249" s="24"/>
      <c r="J249" s="24"/>
      <c r="K249" s="24"/>
      <c r="L249" s="24"/>
      <c r="M249" s="24"/>
      <c r="N249" s="24"/>
      <c r="O249" s="24"/>
      <c r="P249" s="24"/>
      <c r="Q249" s="24"/>
      <c r="R249" s="24"/>
      <c r="S249" s="24"/>
    </row>
    <row r="250" spans="1:19" s="467" customFormat="1" ht="15" customHeight="1" x14ac:dyDescent="0.45">
      <c r="A250" s="1"/>
      <c r="B250" s="2" t="s">
        <v>411</v>
      </c>
      <c r="C250" s="2"/>
      <c r="E250" s="24"/>
      <c r="F250" s="24"/>
      <c r="G250" s="24"/>
      <c r="H250" s="24"/>
      <c r="I250" s="24"/>
      <c r="J250" s="24"/>
      <c r="K250" s="24"/>
      <c r="L250" s="24"/>
      <c r="M250" s="24"/>
      <c r="N250" s="24"/>
      <c r="O250" s="24"/>
      <c r="P250" s="24"/>
      <c r="Q250" s="24"/>
      <c r="R250" s="24"/>
      <c r="S250" s="24"/>
    </row>
    <row r="251" spans="1:19" s="467" customFormat="1" ht="15" customHeight="1" x14ac:dyDescent="0.45">
      <c r="A251" s="1"/>
      <c r="B251" s="2" t="s">
        <v>263</v>
      </c>
      <c r="C251" s="2"/>
      <c r="E251" s="24"/>
      <c r="F251" s="24"/>
      <c r="G251" s="24"/>
      <c r="H251" s="24"/>
      <c r="I251" s="24"/>
      <c r="J251" s="24"/>
      <c r="K251" s="24"/>
      <c r="L251" s="24"/>
      <c r="M251" s="24"/>
      <c r="N251" s="24"/>
      <c r="O251" s="24"/>
      <c r="P251" s="24"/>
      <c r="Q251" s="24"/>
      <c r="R251" s="24"/>
      <c r="S251" s="24"/>
    </row>
    <row r="252" spans="1:19" s="467" customFormat="1" ht="15" customHeight="1" x14ac:dyDescent="0.45">
      <c r="A252" s="1"/>
      <c r="B252" s="2" t="s">
        <v>412</v>
      </c>
      <c r="C252" s="2"/>
      <c r="E252" s="24"/>
      <c r="F252" s="24"/>
      <c r="G252" s="24"/>
      <c r="H252" s="24"/>
      <c r="I252" s="24"/>
      <c r="J252" s="24"/>
      <c r="K252" s="24"/>
      <c r="L252" s="24"/>
      <c r="M252" s="24"/>
      <c r="N252" s="24"/>
      <c r="O252" s="24"/>
      <c r="P252" s="24"/>
      <c r="Q252" s="24"/>
      <c r="R252" s="24"/>
      <c r="S252" s="24"/>
    </row>
    <row r="254" spans="1:19" s="467" customFormat="1" ht="15" customHeight="1" x14ac:dyDescent="0.45">
      <c r="A254" s="1"/>
      <c r="B254" s="2" t="s">
        <v>285</v>
      </c>
      <c r="C254" s="1"/>
      <c r="E254" s="24"/>
      <c r="F254" s="24"/>
      <c r="G254" s="24"/>
      <c r="H254" s="24"/>
      <c r="I254" s="24"/>
      <c r="J254" s="24"/>
      <c r="K254" s="24"/>
      <c r="L254" s="24"/>
      <c r="M254" s="24"/>
      <c r="N254" s="24"/>
      <c r="O254" s="24"/>
      <c r="P254" s="24"/>
      <c r="Q254" s="24"/>
      <c r="R254" s="24"/>
      <c r="S254" s="24"/>
    </row>
    <row r="255" spans="1:19" s="467" customFormat="1" ht="15" customHeight="1" x14ac:dyDescent="0.45">
      <c r="A255" s="1"/>
      <c r="B255" s="2" t="s">
        <v>283</v>
      </c>
      <c r="C255" s="1"/>
      <c r="E255" s="24"/>
      <c r="F255" s="24"/>
      <c r="G255" s="24"/>
      <c r="H255" s="24"/>
      <c r="I255" s="24"/>
      <c r="J255" s="24"/>
      <c r="K255" s="24"/>
      <c r="L255" s="24"/>
      <c r="M255" s="24"/>
      <c r="N255" s="24"/>
      <c r="O255" s="24"/>
      <c r="P255" s="24"/>
      <c r="Q255" s="24"/>
      <c r="R255" s="24"/>
      <c r="S255" s="24"/>
    </row>
    <row r="256" spans="1:19" s="467" customFormat="1" ht="15" customHeight="1" x14ac:dyDescent="0.45">
      <c r="A256" s="1"/>
      <c r="B256" s="2" t="s">
        <v>136</v>
      </c>
      <c r="C256" s="1"/>
      <c r="E256" s="24"/>
      <c r="F256" s="24"/>
      <c r="G256" s="24"/>
      <c r="H256" s="24"/>
      <c r="I256" s="24"/>
      <c r="J256" s="24"/>
      <c r="K256" s="24"/>
      <c r="L256" s="24"/>
      <c r="M256" s="24"/>
      <c r="N256" s="24"/>
      <c r="O256" s="24"/>
      <c r="P256" s="24"/>
      <c r="Q256" s="24"/>
      <c r="R256" s="24"/>
      <c r="S256" s="24"/>
    </row>
    <row r="257" spans="1:19" s="467" customFormat="1" ht="15" customHeight="1" x14ac:dyDescent="0.45">
      <c r="A257" s="1"/>
      <c r="B257" s="2" t="s">
        <v>284</v>
      </c>
      <c r="C257" s="1"/>
      <c r="E257" s="24"/>
      <c r="F257" s="24"/>
      <c r="G257" s="24"/>
      <c r="H257" s="24"/>
      <c r="I257" s="24"/>
      <c r="J257" s="24"/>
      <c r="K257" s="24"/>
      <c r="L257" s="24"/>
      <c r="M257" s="24"/>
      <c r="N257" s="24"/>
      <c r="O257" s="24"/>
      <c r="P257" s="24"/>
      <c r="Q257" s="24"/>
      <c r="R257" s="24"/>
      <c r="S257" s="24"/>
    </row>
    <row r="258" spans="1:19" s="467" customFormat="1" ht="15" customHeight="1" x14ac:dyDescent="0.45">
      <c r="A258" s="1"/>
      <c r="B258" s="2" t="s">
        <v>278</v>
      </c>
      <c r="C258" s="1"/>
      <c r="E258" s="24"/>
      <c r="F258" s="24"/>
      <c r="G258" s="24"/>
      <c r="H258" s="24"/>
      <c r="I258" s="24"/>
      <c r="J258" s="24"/>
      <c r="K258" s="24"/>
      <c r="L258" s="24"/>
      <c r="M258" s="24"/>
      <c r="N258" s="24"/>
      <c r="O258" s="24"/>
      <c r="P258" s="24"/>
      <c r="Q258" s="24"/>
      <c r="R258" s="24"/>
      <c r="S258" s="24"/>
    </row>
    <row r="259" spans="1:19" s="467" customFormat="1" ht="15" customHeight="1" x14ac:dyDescent="0.45">
      <c r="A259" s="1"/>
      <c r="B259" s="2" t="s">
        <v>279</v>
      </c>
      <c r="C259" s="1"/>
      <c r="E259" s="24"/>
      <c r="F259" s="24"/>
      <c r="G259" s="24"/>
      <c r="H259" s="24"/>
      <c r="I259" s="24"/>
      <c r="J259" s="24"/>
      <c r="K259" s="24"/>
      <c r="L259" s="24"/>
      <c r="M259" s="24"/>
      <c r="N259" s="24"/>
      <c r="O259" s="24"/>
      <c r="P259" s="24"/>
      <c r="Q259" s="24"/>
      <c r="R259" s="24"/>
      <c r="S259" s="24"/>
    </row>
    <row r="260" spans="1:19" s="467" customFormat="1" ht="15" customHeight="1" x14ac:dyDescent="0.45">
      <c r="A260" s="1"/>
      <c r="B260" s="2" t="s">
        <v>544</v>
      </c>
      <c r="C260" s="1"/>
      <c r="E260" s="24"/>
      <c r="F260" s="24"/>
      <c r="G260" s="24"/>
      <c r="H260" s="24"/>
      <c r="I260" s="24"/>
      <c r="J260" s="24"/>
      <c r="K260" s="24"/>
      <c r="L260" s="24"/>
      <c r="M260" s="24"/>
      <c r="N260" s="24"/>
      <c r="O260" s="24"/>
      <c r="P260" s="24"/>
      <c r="Q260" s="24"/>
      <c r="R260" s="24"/>
      <c r="S260" s="24"/>
    </row>
    <row r="261" spans="1:19" s="467" customFormat="1" ht="15" customHeight="1" x14ac:dyDescent="0.45">
      <c r="A261" s="1"/>
      <c r="B261" s="2" t="s">
        <v>280</v>
      </c>
      <c r="C261" s="1"/>
      <c r="E261" s="24"/>
      <c r="F261" s="24"/>
      <c r="G261" s="24"/>
      <c r="H261" s="24"/>
      <c r="I261" s="24"/>
      <c r="J261" s="24"/>
      <c r="K261" s="24"/>
      <c r="L261" s="24"/>
      <c r="M261" s="24"/>
      <c r="N261" s="24"/>
      <c r="O261" s="24"/>
      <c r="P261" s="24"/>
      <c r="Q261" s="24"/>
      <c r="R261" s="24"/>
      <c r="S261" s="24"/>
    </row>
    <row r="262" spans="1:19" s="467" customFormat="1" ht="15" customHeight="1" x14ac:dyDescent="0.45">
      <c r="A262" s="1"/>
      <c r="B262" s="2" t="s">
        <v>281</v>
      </c>
      <c r="C262" s="1"/>
      <c r="E262" s="24"/>
      <c r="F262" s="24"/>
      <c r="G262" s="24"/>
      <c r="H262" s="24"/>
      <c r="I262" s="24"/>
      <c r="J262" s="24"/>
      <c r="K262" s="24"/>
      <c r="L262" s="24"/>
      <c r="M262" s="24"/>
      <c r="N262" s="24"/>
      <c r="O262" s="24"/>
      <c r="P262" s="24"/>
      <c r="Q262" s="24"/>
      <c r="R262" s="24"/>
      <c r="S262" s="24"/>
    </row>
    <row r="263" spans="1:19" s="1" customFormat="1" ht="15" customHeight="1" x14ac:dyDescent="0.45">
      <c r="B263" s="2" t="s">
        <v>545</v>
      </c>
      <c r="D263" s="467"/>
      <c r="E263" s="24"/>
      <c r="F263" s="24"/>
      <c r="G263" s="24"/>
      <c r="H263" s="24"/>
      <c r="I263" s="24"/>
      <c r="J263" s="24"/>
      <c r="K263" s="24"/>
      <c r="L263" s="24"/>
      <c r="M263" s="24"/>
      <c r="N263" s="24"/>
      <c r="O263" s="24"/>
      <c r="P263" s="24"/>
      <c r="Q263" s="24"/>
      <c r="R263" s="24"/>
      <c r="S263" s="24"/>
    </row>
    <row r="264" spans="1:19" s="1" customFormat="1" ht="15" customHeight="1" x14ac:dyDescent="0.45">
      <c r="B264" s="2" t="s">
        <v>546</v>
      </c>
      <c r="D264" s="467"/>
      <c r="E264" s="24"/>
      <c r="F264" s="24"/>
      <c r="G264" s="24"/>
      <c r="H264" s="24"/>
      <c r="I264" s="24"/>
      <c r="J264" s="24"/>
      <c r="K264" s="24"/>
      <c r="L264" s="24"/>
      <c r="M264" s="24"/>
      <c r="N264" s="24"/>
      <c r="O264" s="24"/>
      <c r="P264" s="24"/>
      <c r="Q264" s="24"/>
      <c r="R264" s="24"/>
      <c r="S264" s="24"/>
    </row>
    <row r="265" spans="1:19" s="1" customFormat="1" ht="15" customHeight="1" x14ac:dyDescent="0.45">
      <c r="B265" s="2" t="s">
        <v>287</v>
      </c>
      <c r="D265" s="467"/>
      <c r="E265" s="24"/>
      <c r="F265" s="24"/>
      <c r="G265" s="24"/>
      <c r="H265" s="24"/>
      <c r="I265" s="24"/>
      <c r="J265" s="24"/>
      <c r="K265" s="24"/>
      <c r="L265" s="24"/>
      <c r="M265" s="24"/>
      <c r="N265" s="24"/>
      <c r="O265" s="24"/>
      <c r="P265" s="24"/>
      <c r="Q265" s="24"/>
      <c r="R265" s="24"/>
      <c r="S265" s="24"/>
    </row>
    <row r="266" spans="1:19" s="1" customFormat="1" ht="15" customHeight="1" x14ac:dyDescent="0.45">
      <c r="B266" s="2" t="s">
        <v>298</v>
      </c>
      <c r="D266" s="467"/>
      <c r="E266" s="24"/>
      <c r="F266" s="24"/>
      <c r="G266" s="24"/>
      <c r="H266" s="24"/>
      <c r="I266" s="24"/>
      <c r="J266" s="24"/>
      <c r="K266" s="24"/>
      <c r="L266" s="24"/>
      <c r="M266" s="24"/>
      <c r="N266" s="24"/>
      <c r="O266" s="24"/>
      <c r="P266" s="24"/>
      <c r="Q266" s="24"/>
      <c r="R266" s="24"/>
      <c r="S266" s="24"/>
    </row>
    <row r="267" spans="1:19" s="1" customFormat="1" ht="15" customHeight="1" x14ac:dyDescent="0.45">
      <c r="B267" s="2" t="s">
        <v>296</v>
      </c>
      <c r="D267" s="467"/>
      <c r="E267" s="24"/>
      <c r="F267" s="24"/>
      <c r="G267" s="24"/>
      <c r="H267" s="24"/>
      <c r="I267" s="24"/>
      <c r="J267" s="24"/>
      <c r="K267" s="24"/>
      <c r="L267" s="24"/>
      <c r="M267" s="24"/>
      <c r="N267" s="24"/>
      <c r="O267" s="24"/>
      <c r="P267" s="24"/>
      <c r="Q267" s="24"/>
      <c r="R267" s="24"/>
      <c r="S267" s="24"/>
    </row>
    <row r="268" spans="1:19" s="1" customFormat="1" ht="15" customHeight="1" x14ac:dyDescent="0.45">
      <c r="B268" s="2" t="s">
        <v>297</v>
      </c>
      <c r="D268" s="467"/>
      <c r="E268" s="24"/>
      <c r="F268" s="24"/>
      <c r="G268" s="24"/>
      <c r="H268" s="24"/>
      <c r="I268" s="24"/>
      <c r="J268" s="24"/>
      <c r="K268" s="24"/>
      <c r="L268" s="24"/>
      <c r="M268" s="24"/>
      <c r="N268" s="24"/>
      <c r="O268" s="24"/>
      <c r="P268" s="24"/>
      <c r="Q268" s="24"/>
      <c r="R268" s="24"/>
      <c r="S268" s="24"/>
    </row>
    <row r="269" spans="1:19" s="1" customFormat="1" ht="15" customHeight="1" x14ac:dyDescent="0.45">
      <c r="B269" s="2" t="s">
        <v>292</v>
      </c>
      <c r="D269" s="467"/>
      <c r="E269" s="24"/>
      <c r="F269" s="24"/>
      <c r="G269" s="24"/>
      <c r="H269" s="24"/>
      <c r="I269" s="24"/>
      <c r="J269" s="24"/>
      <c r="K269" s="24"/>
      <c r="L269" s="24"/>
      <c r="M269" s="24"/>
      <c r="N269" s="24"/>
      <c r="O269" s="24"/>
      <c r="P269" s="24"/>
      <c r="Q269" s="24"/>
      <c r="R269" s="24"/>
      <c r="S269" s="24"/>
    </row>
    <row r="270" spans="1:19" s="1" customFormat="1" ht="15" customHeight="1" x14ac:dyDescent="0.45">
      <c r="B270" s="2" t="s">
        <v>293</v>
      </c>
      <c r="D270" s="467"/>
      <c r="E270" s="24"/>
      <c r="F270" s="24"/>
      <c r="G270" s="24"/>
      <c r="H270" s="24"/>
      <c r="I270" s="24"/>
      <c r="J270" s="24"/>
      <c r="K270" s="24"/>
      <c r="L270" s="24"/>
      <c r="M270" s="24"/>
      <c r="N270" s="24"/>
      <c r="O270" s="24"/>
      <c r="P270" s="24"/>
      <c r="Q270" s="24"/>
      <c r="R270" s="24"/>
      <c r="S270" s="24"/>
    </row>
    <row r="271" spans="1:19" s="1" customFormat="1" ht="15" customHeight="1" x14ac:dyDescent="0.45">
      <c r="B271" s="2" t="s">
        <v>547</v>
      </c>
      <c r="D271" s="467"/>
      <c r="E271" s="24"/>
      <c r="F271" s="24"/>
      <c r="G271" s="24"/>
      <c r="H271" s="24"/>
      <c r="I271" s="24"/>
      <c r="J271" s="24"/>
      <c r="K271" s="24"/>
      <c r="L271" s="24"/>
      <c r="M271" s="24"/>
      <c r="N271" s="24"/>
      <c r="O271" s="24"/>
      <c r="P271" s="24"/>
      <c r="Q271" s="24"/>
      <c r="R271" s="24"/>
      <c r="S271" s="24"/>
    </row>
    <row r="272" spans="1:19" s="1" customFormat="1" ht="15" customHeight="1" x14ac:dyDescent="0.45">
      <c r="B272" s="2" t="s">
        <v>294</v>
      </c>
      <c r="D272" s="467"/>
      <c r="E272" s="24"/>
      <c r="F272" s="24"/>
      <c r="G272" s="24"/>
      <c r="H272" s="24"/>
      <c r="I272" s="24"/>
      <c r="J272" s="24"/>
      <c r="K272" s="24"/>
      <c r="L272" s="24"/>
      <c r="M272" s="24"/>
      <c r="N272" s="24"/>
      <c r="O272" s="24"/>
      <c r="P272" s="24"/>
      <c r="Q272" s="24"/>
      <c r="R272" s="24"/>
      <c r="S272" s="24"/>
    </row>
    <row r="273" spans="2:19" s="1" customFormat="1" ht="15" customHeight="1" x14ac:dyDescent="0.45">
      <c r="B273" s="2" t="s">
        <v>291</v>
      </c>
      <c r="D273" s="467"/>
      <c r="E273" s="24"/>
      <c r="F273" s="24"/>
      <c r="G273" s="24"/>
      <c r="H273" s="24"/>
      <c r="I273" s="24"/>
      <c r="J273" s="24"/>
      <c r="K273" s="24"/>
      <c r="L273" s="24"/>
      <c r="M273" s="24"/>
      <c r="N273" s="24"/>
      <c r="O273" s="24"/>
      <c r="P273" s="24"/>
      <c r="Q273" s="24"/>
      <c r="R273" s="24"/>
      <c r="S273" s="24"/>
    </row>
    <row r="274" spans="2:19" s="1" customFormat="1" ht="15" customHeight="1" x14ac:dyDescent="0.45">
      <c r="B274" s="2" t="s">
        <v>290</v>
      </c>
      <c r="D274" s="467"/>
      <c r="E274" s="24"/>
      <c r="F274" s="24"/>
      <c r="G274" s="24"/>
      <c r="H274" s="24"/>
      <c r="I274" s="24"/>
      <c r="J274" s="24"/>
      <c r="K274" s="24"/>
      <c r="L274" s="24"/>
      <c r="M274" s="24"/>
      <c r="N274" s="24"/>
      <c r="O274" s="24"/>
      <c r="P274" s="24"/>
      <c r="Q274" s="24"/>
      <c r="R274" s="24"/>
      <c r="S274" s="24"/>
    </row>
    <row r="275" spans="2:19" s="1" customFormat="1" ht="15" customHeight="1" x14ac:dyDescent="0.45">
      <c r="B275" s="2" t="s">
        <v>289</v>
      </c>
      <c r="D275" s="467"/>
      <c r="E275" s="24"/>
      <c r="F275" s="24"/>
      <c r="G275" s="24"/>
      <c r="H275" s="24"/>
      <c r="I275" s="24"/>
      <c r="J275" s="24"/>
      <c r="K275" s="24"/>
      <c r="L275" s="24"/>
      <c r="M275" s="24"/>
      <c r="N275" s="24"/>
      <c r="O275" s="24"/>
      <c r="P275" s="24"/>
      <c r="Q275" s="24"/>
      <c r="R275" s="24"/>
      <c r="S275" s="24"/>
    </row>
    <row r="276" spans="2:19" s="1" customFormat="1" ht="15" customHeight="1" x14ac:dyDescent="0.45">
      <c r="B276" s="2" t="s">
        <v>548</v>
      </c>
      <c r="D276" s="467"/>
      <c r="E276" s="24"/>
      <c r="F276" s="24"/>
      <c r="G276" s="24"/>
      <c r="H276" s="24"/>
      <c r="I276" s="24"/>
      <c r="J276" s="24"/>
      <c r="K276" s="24"/>
      <c r="L276" s="24"/>
      <c r="M276" s="24"/>
      <c r="N276" s="24"/>
      <c r="O276" s="24"/>
      <c r="P276" s="24"/>
      <c r="Q276" s="24"/>
      <c r="R276" s="24"/>
      <c r="S276" s="24"/>
    </row>
    <row r="277" spans="2:19" s="1" customFormat="1" ht="15" customHeight="1" x14ac:dyDescent="0.45">
      <c r="B277" s="2" t="s">
        <v>300</v>
      </c>
      <c r="D277" s="467"/>
      <c r="E277" s="24"/>
      <c r="F277" s="24"/>
      <c r="G277" s="24"/>
      <c r="H277" s="24"/>
      <c r="I277" s="24"/>
      <c r="J277" s="24"/>
      <c r="K277" s="24"/>
      <c r="L277" s="24"/>
      <c r="M277" s="24"/>
      <c r="N277" s="24"/>
      <c r="O277" s="24"/>
      <c r="P277" s="24"/>
      <c r="Q277" s="24"/>
      <c r="R277" s="24"/>
      <c r="S277" s="24"/>
    </row>
    <row r="279" spans="2:19" s="1" customFormat="1" ht="15" customHeight="1" x14ac:dyDescent="0.45">
      <c r="B279" s="2" t="s">
        <v>303</v>
      </c>
      <c r="D279" s="467"/>
      <c r="E279" s="24"/>
      <c r="F279" s="24"/>
      <c r="G279" s="24"/>
      <c r="H279" s="24"/>
      <c r="I279" s="24"/>
      <c r="J279" s="24"/>
      <c r="K279" s="24"/>
      <c r="L279" s="24"/>
      <c r="M279" s="24"/>
      <c r="N279" s="24"/>
      <c r="O279" s="24"/>
      <c r="P279" s="24"/>
      <c r="Q279" s="24"/>
      <c r="R279" s="24"/>
      <c r="S279" s="24"/>
    </row>
    <row r="280" spans="2:19" s="1" customFormat="1" ht="15" customHeight="1" x14ac:dyDescent="0.45">
      <c r="B280" s="2" t="s">
        <v>304</v>
      </c>
      <c r="D280" s="467"/>
      <c r="E280" s="24"/>
      <c r="F280" s="24"/>
      <c r="G280" s="24"/>
      <c r="H280" s="24"/>
      <c r="I280" s="24"/>
      <c r="J280" s="24"/>
      <c r="K280" s="24"/>
      <c r="L280" s="24"/>
      <c r="M280" s="24"/>
      <c r="N280" s="24"/>
      <c r="O280" s="24"/>
      <c r="P280" s="24"/>
      <c r="Q280" s="24"/>
      <c r="R280" s="24"/>
      <c r="S280" s="24"/>
    </row>
    <row r="281" spans="2:19" s="1" customFormat="1" ht="15" customHeight="1" x14ac:dyDescent="0.45">
      <c r="B281" s="2" t="s">
        <v>314</v>
      </c>
      <c r="D281" s="467"/>
      <c r="E281" s="24"/>
      <c r="F281" s="24"/>
      <c r="G281" s="24"/>
      <c r="H281" s="24"/>
      <c r="I281" s="24"/>
      <c r="J281" s="24"/>
      <c r="K281" s="24"/>
      <c r="L281" s="24"/>
      <c r="M281" s="24"/>
      <c r="N281" s="24"/>
      <c r="O281" s="24"/>
      <c r="P281" s="24"/>
      <c r="Q281" s="24"/>
      <c r="R281" s="24"/>
      <c r="S281" s="24"/>
    </row>
    <row r="282" spans="2:19" s="1" customFormat="1" ht="15" customHeight="1" x14ac:dyDescent="0.45">
      <c r="B282" s="2" t="s">
        <v>310</v>
      </c>
      <c r="D282" s="467"/>
      <c r="E282" s="24"/>
      <c r="F282" s="24"/>
      <c r="G282" s="24"/>
      <c r="H282" s="24"/>
      <c r="I282" s="24"/>
      <c r="J282" s="24"/>
      <c r="K282" s="24"/>
      <c r="L282" s="24"/>
      <c r="M282" s="24"/>
      <c r="N282" s="24"/>
      <c r="O282" s="24"/>
      <c r="P282" s="24"/>
      <c r="Q282" s="24"/>
      <c r="R282" s="24"/>
      <c r="S282" s="24"/>
    </row>
    <row r="283" spans="2:19" s="1" customFormat="1" ht="15" customHeight="1" x14ac:dyDescent="0.45">
      <c r="B283" s="2" t="s">
        <v>311</v>
      </c>
      <c r="D283" s="467"/>
      <c r="E283" s="24"/>
      <c r="F283" s="24"/>
      <c r="G283" s="24"/>
      <c r="H283" s="24"/>
      <c r="I283" s="24"/>
      <c r="J283" s="24"/>
      <c r="K283" s="24"/>
      <c r="L283" s="24"/>
      <c r="M283" s="24"/>
      <c r="N283" s="24"/>
      <c r="O283" s="24"/>
      <c r="P283" s="24"/>
      <c r="Q283" s="24"/>
      <c r="R283" s="24"/>
      <c r="S283" s="24"/>
    </row>
    <row r="284" spans="2:19" s="1" customFormat="1" ht="15" customHeight="1" x14ac:dyDescent="0.45">
      <c r="B284" s="2" t="s">
        <v>305</v>
      </c>
      <c r="D284" s="467"/>
      <c r="E284" s="24"/>
      <c r="F284" s="24"/>
      <c r="G284" s="24"/>
      <c r="H284" s="24"/>
      <c r="I284" s="24"/>
      <c r="J284" s="24"/>
      <c r="K284" s="24"/>
      <c r="L284" s="24"/>
      <c r="M284" s="24"/>
      <c r="N284" s="24"/>
      <c r="O284" s="24"/>
      <c r="P284" s="24"/>
      <c r="Q284" s="24"/>
      <c r="R284" s="24"/>
      <c r="S284" s="24"/>
    </row>
    <row r="285" spans="2:19" s="1" customFormat="1" ht="15" customHeight="1" x14ac:dyDescent="0.45">
      <c r="B285" s="2" t="s">
        <v>306</v>
      </c>
      <c r="D285" s="467"/>
      <c r="E285" s="24"/>
      <c r="F285" s="24"/>
      <c r="G285" s="24"/>
      <c r="H285" s="24"/>
      <c r="I285" s="24"/>
      <c r="J285" s="24"/>
      <c r="K285" s="24"/>
      <c r="L285" s="24"/>
      <c r="M285" s="24"/>
      <c r="N285" s="24"/>
      <c r="O285" s="24"/>
      <c r="P285" s="24"/>
      <c r="Q285" s="24"/>
      <c r="R285" s="24"/>
      <c r="S285" s="24"/>
    </row>
    <row r="286" spans="2:19" s="1" customFormat="1" ht="15" customHeight="1" x14ac:dyDescent="0.45">
      <c r="B286" s="2" t="s">
        <v>308</v>
      </c>
      <c r="D286" s="467"/>
      <c r="E286" s="24"/>
      <c r="F286" s="24"/>
      <c r="G286" s="24"/>
      <c r="H286" s="24"/>
      <c r="I286" s="24"/>
      <c r="J286" s="24"/>
      <c r="K286" s="24"/>
      <c r="L286" s="24"/>
      <c r="M286" s="24"/>
      <c r="N286" s="24"/>
      <c r="O286" s="24"/>
      <c r="P286" s="24"/>
      <c r="Q286" s="24"/>
      <c r="R286" s="24"/>
      <c r="S286" s="24"/>
    </row>
    <row r="287" spans="2:19" s="1" customFormat="1" ht="15" customHeight="1" x14ac:dyDescent="0.45">
      <c r="B287" s="2" t="s">
        <v>312</v>
      </c>
      <c r="D287" s="467"/>
      <c r="E287" s="24"/>
      <c r="F287" s="24"/>
      <c r="G287" s="24"/>
      <c r="H287" s="24"/>
      <c r="I287" s="24"/>
      <c r="J287" s="24"/>
      <c r="K287" s="24"/>
      <c r="L287" s="24"/>
      <c r="M287" s="24"/>
      <c r="N287" s="24"/>
      <c r="O287" s="24"/>
      <c r="P287" s="24"/>
      <c r="Q287" s="24"/>
      <c r="R287" s="24"/>
      <c r="S287" s="24"/>
    </row>
    <row r="288" spans="2:19" s="1" customFormat="1" ht="15" customHeight="1" x14ac:dyDescent="0.45">
      <c r="B288" s="2" t="s">
        <v>315</v>
      </c>
      <c r="D288" s="467"/>
      <c r="E288" s="24"/>
      <c r="F288" s="24"/>
      <c r="G288" s="24"/>
      <c r="H288" s="24"/>
      <c r="I288" s="24"/>
      <c r="J288" s="24"/>
      <c r="K288" s="24"/>
      <c r="L288" s="24"/>
      <c r="M288" s="24"/>
      <c r="N288" s="24"/>
      <c r="O288" s="24"/>
      <c r="P288" s="24"/>
      <c r="Q288" s="24"/>
      <c r="R288" s="24"/>
      <c r="S288" s="24"/>
    </row>
    <row r="289" spans="2:19" s="1" customFormat="1" ht="15" customHeight="1" x14ac:dyDescent="0.45">
      <c r="B289" s="2" t="s">
        <v>317</v>
      </c>
      <c r="D289" s="467"/>
      <c r="E289" s="24"/>
      <c r="F289" s="24"/>
      <c r="G289" s="24"/>
      <c r="H289" s="24"/>
      <c r="I289" s="24"/>
      <c r="J289" s="24"/>
      <c r="K289" s="24"/>
      <c r="L289" s="24"/>
      <c r="M289" s="24"/>
      <c r="N289" s="24"/>
      <c r="O289" s="24"/>
      <c r="P289" s="24"/>
      <c r="Q289" s="24"/>
      <c r="R289" s="24"/>
      <c r="S289" s="24"/>
    </row>
    <row r="290" spans="2:19" s="1" customFormat="1" ht="15" customHeight="1" x14ac:dyDescent="0.45">
      <c r="B290" s="2" t="s">
        <v>418</v>
      </c>
      <c r="D290" s="467"/>
      <c r="E290" s="24"/>
      <c r="F290" s="24"/>
      <c r="G290" s="24"/>
      <c r="H290" s="24"/>
      <c r="I290" s="24"/>
      <c r="J290" s="24"/>
      <c r="K290" s="24"/>
      <c r="L290" s="24"/>
      <c r="M290" s="24"/>
      <c r="N290" s="24"/>
      <c r="O290" s="24"/>
      <c r="P290" s="24"/>
      <c r="Q290" s="24"/>
      <c r="R290" s="24"/>
      <c r="S290" s="24"/>
    </row>
    <row r="291" spans="2:19" s="1" customFormat="1" ht="15" customHeight="1" x14ac:dyDescent="0.45">
      <c r="B291" s="2"/>
      <c r="D291" s="467"/>
      <c r="E291" s="24"/>
      <c r="F291" s="24"/>
      <c r="G291" s="24"/>
      <c r="H291" s="24"/>
      <c r="I291" s="24"/>
      <c r="J291" s="24"/>
      <c r="K291" s="24"/>
      <c r="L291" s="24"/>
      <c r="M291" s="24"/>
      <c r="N291" s="24"/>
      <c r="O291" s="24"/>
      <c r="P291" s="24"/>
      <c r="Q291" s="24"/>
      <c r="R291" s="24"/>
      <c r="S291" s="24"/>
    </row>
    <row r="292" spans="2:19" s="1" customFormat="1" ht="15" customHeight="1" x14ac:dyDescent="0.45">
      <c r="B292" s="2"/>
      <c r="D292" s="467"/>
      <c r="E292" s="24"/>
      <c r="F292" s="24"/>
      <c r="G292" s="24"/>
      <c r="H292" s="24"/>
      <c r="I292" s="24"/>
      <c r="J292" s="24"/>
      <c r="K292" s="24"/>
      <c r="L292" s="24"/>
      <c r="M292" s="24"/>
      <c r="N292" s="24"/>
      <c r="O292" s="24"/>
      <c r="P292" s="24"/>
      <c r="Q292" s="24"/>
      <c r="R292" s="24"/>
      <c r="S292" s="24"/>
    </row>
  </sheetData>
  <dataValidations count="3">
    <dataValidation type="list" allowBlank="1" showInputMessage="1" showErrorMessage="1" sqref="B110:B166 B169:B222" xr:uid="{FC98D292-526E-C840-9381-DD882506A17E}">
      <formula1>$B$279:$B$293</formula1>
    </dataValidation>
    <dataValidation type="list" allowBlank="1" showInputMessage="1" showErrorMessage="1" sqref="B58:B106" xr:uid="{7CBEE48D-CA5F-DE48-98D6-F5672652194F}">
      <formula1>$B$254:$B$277</formula1>
    </dataValidation>
    <dataValidation type="list" allowBlank="1" showInputMessage="1" showErrorMessage="1" sqref="B33:B38 B21:B31 B19 B8:B17 B41:B54" xr:uid="{E0AA0BA0-B9D7-7F40-8345-1DB32B6497F3}">
      <formula1>B$236:B$253</formula1>
    </dataValidation>
  </dataValidations>
  <pageMargins left="0.75" right="0.75" top="1" bottom="1" header="0.5" footer="0.5"/>
  <pageSetup orientation="portrait" horizontalDpi="4294967293" verticalDpi="0" r:id="rId1"/>
  <headerFooter alignWithMargins="0"/>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7797-8BB2-4F51-AC93-082346C65230}">
  <dimension ref="A2:BX272"/>
  <sheetViews>
    <sheetView showGridLines="0" topLeftCell="A129" workbookViewId="0">
      <selection activeCell="D57" sqref="D57"/>
    </sheetView>
  </sheetViews>
  <sheetFormatPr defaultColWidth="9.1328125" defaultRowHeight="15" customHeight="1" x14ac:dyDescent="0.45"/>
  <cols>
    <col min="1" max="1" width="3.46484375" style="1" customWidth="1"/>
    <col min="2" max="2" width="29.6640625" style="1" customWidth="1"/>
    <col min="3" max="3" width="3.46484375" style="1" customWidth="1"/>
    <col min="4" max="4" width="43.1328125" style="467" bestFit="1" customWidth="1"/>
    <col min="5" max="11" width="10.6640625" style="24" bestFit="1" customWidth="1"/>
    <col min="12" max="13" width="10.6640625" style="24" customWidth="1"/>
    <col min="14" max="17" width="10.6640625" style="24" bestFit="1" customWidth="1"/>
    <col min="18" max="19" width="10.1328125" style="24" bestFit="1" customWidth="1"/>
    <col min="20" max="16384" width="9.1328125" style="24"/>
  </cols>
  <sheetData>
    <row r="2" spans="1:19" ht="15" customHeight="1" x14ac:dyDescent="0.45">
      <c r="B2" s="495" t="s">
        <v>420</v>
      </c>
      <c r="C2" s="494"/>
      <c r="D2" s="493">
        <f>SUM(F103:M103)</f>
        <v>5.0000000082945917E-3</v>
      </c>
    </row>
    <row r="3" spans="1:19" s="1" customFormat="1" ht="15" customHeight="1" x14ac:dyDescent="0.45">
      <c r="D3" s="467"/>
    </row>
    <row r="4" spans="1:19" s="1" customFormat="1" ht="15" customHeight="1" x14ac:dyDescent="0.45">
      <c r="B4" s="1" t="s">
        <v>421</v>
      </c>
      <c r="D4" s="467" t="s">
        <v>422</v>
      </c>
    </row>
    <row r="5" spans="1:19" s="1" customFormat="1" ht="15" customHeight="1" x14ac:dyDescent="0.45">
      <c r="B5" s="1" t="s">
        <v>423</v>
      </c>
      <c r="D5" s="492">
        <v>1000</v>
      </c>
    </row>
    <row r="6" spans="1:19" s="1" customFormat="1" ht="15" customHeight="1" x14ac:dyDescent="0.45">
      <c r="D6" s="467"/>
      <c r="E6" s="21">
        <v>2015</v>
      </c>
      <c r="F6" s="21">
        <f t="shared" ref="F6:S6" si="0">E6+1</f>
        <v>2016</v>
      </c>
      <c r="G6" s="21">
        <f t="shared" si="0"/>
        <v>2017</v>
      </c>
      <c r="H6" s="21">
        <f t="shared" si="0"/>
        <v>2018</v>
      </c>
      <c r="I6" s="21">
        <f t="shared" si="0"/>
        <v>2019</v>
      </c>
      <c r="J6" s="21">
        <f t="shared" si="0"/>
        <v>2020</v>
      </c>
      <c r="K6" s="21">
        <f t="shared" si="0"/>
        <v>2021</v>
      </c>
      <c r="L6" s="21">
        <f t="shared" si="0"/>
        <v>2022</v>
      </c>
      <c r="M6" s="21">
        <f t="shared" si="0"/>
        <v>2023</v>
      </c>
      <c r="N6" s="21">
        <f t="shared" si="0"/>
        <v>2024</v>
      </c>
      <c r="O6" s="22">
        <f t="shared" si="0"/>
        <v>2025</v>
      </c>
      <c r="P6" s="22">
        <f t="shared" si="0"/>
        <v>2026</v>
      </c>
      <c r="Q6" s="22">
        <f t="shared" si="0"/>
        <v>2027</v>
      </c>
      <c r="R6" s="22">
        <f t="shared" si="0"/>
        <v>2028</v>
      </c>
      <c r="S6" s="22">
        <f t="shared" si="0"/>
        <v>2029</v>
      </c>
    </row>
    <row r="7" spans="1:19" s="1" customFormat="1" ht="15" customHeight="1" x14ac:dyDescent="0.45">
      <c r="B7" s="3" t="s">
        <v>405</v>
      </c>
      <c r="C7" s="3"/>
      <c r="D7" s="485" t="s">
        <v>424</v>
      </c>
    </row>
    <row r="8" spans="1:19" ht="15" customHeight="1" x14ac:dyDescent="0.45">
      <c r="B8" s="2"/>
      <c r="D8" s="485"/>
      <c r="E8" s="23"/>
      <c r="F8" s="23"/>
      <c r="G8" s="23"/>
      <c r="H8" s="23"/>
      <c r="I8" s="23"/>
      <c r="J8" s="23"/>
      <c r="K8" s="23"/>
      <c r="L8" s="23"/>
      <c r="M8" s="23"/>
      <c r="N8" s="23"/>
      <c r="O8" s="23"/>
      <c r="P8" s="23"/>
      <c r="Q8" s="23"/>
      <c r="R8" s="23"/>
      <c r="S8" s="23"/>
    </row>
    <row r="9" spans="1:19" ht="15" customHeight="1" x14ac:dyDescent="0.45">
      <c r="B9" s="2" t="s">
        <v>406</v>
      </c>
      <c r="D9" s="492" t="s">
        <v>655</v>
      </c>
      <c r="E9" s="25">
        <f>+Takeda!B21/$D$5</f>
        <v>13639.87</v>
      </c>
      <c r="F9" s="25">
        <f>+Takeda!C21/$D$5</f>
        <v>14415.663</v>
      </c>
      <c r="G9" s="25">
        <f>+Takeda!D21/$D$5</f>
        <v>14123.2</v>
      </c>
      <c r="H9" s="25">
        <f>+Takeda!E21/$D$5</f>
        <v>13667.179</v>
      </c>
      <c r="I9" s="25">
        <f>+Takeda!F21/$D$5</f>
        <v>26529.163</v>
      </c>
      <c r="J9" s="25">
        <f>+Takeda!G21/$D$5</f>
        <v>26275.955000000002</v>
      </c>
      <c r="K9" s="25">
        <f>+Takeda!H21/$D$5</f>
        <v>26697.043000000001</v>
      </c>
      <c r="L9" s="25">
        <f>+Takeda!I21/$D$5</f>
        <v>28619.871999999999</v>
      </c>
      <c r="M9" s="25">
        <f>+Takeda!J21/$D$5</f>
        <v>27494.555</v>
      </c>
      <c r="N9" s="25">
        <f>+Takeda!K21/$D$5</f>
        <v>27970.201000000001</v>
      </c>
      <c r="O9" s="23"/>
      <c r="P9" s="23"/>
      <c r="Q9" s="23"/>
      <c r="R9" s="23"/>
      <c r="S9" s="23"/>
    </row>
    <row r="10" spans="1:19" s="30" customFormat="1" ht="15" customHeight="1" x14ac:dyDescent="0.45">
      <c r="A10" s="4"/>
      <c r="B10" s="2"/>
      <c r="C10" s="4"/>
      <c r="D10" s="478" t="s">
        <v>428</v>
      </c>
      <c r="E10" s="477">
        <f t="shared" ref="E10:N10" si="1">SUM(E9:E9)</f>
        <v>13639.87</v>
      </c>
      <c r="F10" s="477">
        <f t="shared" si="1"/>
        <v>14415.663</v>
      </c>
      <c r="G10" s="477">
        <f t="shared" si="1"/>
        <v>14123.2</v>
      </c>
      <c r="H10" s="477">
        <f t="shared" si="1"/>
        <v>13667.179</v>
      </c>
      <c r="I10" s="477">
        <f t="shared" si="1"/>
        <v>26529.163</v>
      </c>
      <c r="J10" s="477">
        <f t="shared" si="1"/>
        <v>26275.955000000002</v>
      </c>
      <c r="K10" s="477">
        <f t="shared" si="1"/>
        <v>26697.043000000001</v>
      </c>
      <c r="L10" s="477">
        <f t="shared" si="1"/>
        <v>28619.871999999999</v>
      </c>
      <c r="M10" s="477">
        <f t="shared" si="1"/>
        <v>27494.555</v>
      </c>
      <c r="N10" s="477">
        <f t="shared" si="1"/>
        <v>27970.201000000001</v>
      </c>
      <c r="O10" s="477"/>
      <c r="P10" s="477"/>
      <c r="Q10" s="477"/>
      <c r="R10" s="477"/>
      <c r="S10" s="477"/>
    </row>
    <row r="11" spans="1:19" s="26" customFormat="1" ht="15" customHeight="1" x14ac:dyDescent="0.45">
      <c r="A11" s="4"/>
      <c r="B11" s="2"/>
      <c r="C11" s="4"/>
      <c r="D11" s="479"/>
      <c r="E11" s="23"/>
      <c r="F11" s="23"/>
      <c r="G11" s="23"/>
      <c r="H11" s="23"/>
      <c r="I11" s="23"/>
      <c r="J11" s="23"/>
      <c r="K11" s="23"/>
      <c r="L11" s="23"/>
      <c r="M11" s="23"/>
      <c r="N11" s="23"/>
      <c r="O11" s="23"/>
      <c r="P11" s="23"/>
      <c r="Q11" s="23"/>
      <c r="R11" s="23"/>
      <c r="S11" s="23"/>
    </row>
    <row r="12" spans="1:19" s="26" customFormat="1" ht="15" customHeight="1" x14ac:dyDescent="0.45">
      <c r="A12" s="4"/>
      <c r="B12" s="2" t="s">
        <v>267</v>
      </c>
      <c r="C12" s="4"/>
      <c r="D12" s="487" t="s">
        <v>659</v>
      </c>
      <c r="E12" s="25">
        <f>-Takeda!B23/$D$5</f>
        <v>-4000.2950000000001</v>
      </c>
      <c r="F12" s="25">
        <f>-Takeda!C23/$D$5</f>
        <v>-4643.4989999999998</v>
      </c>
      <c r="G12" s="25">
        <f>-Takeda!D23/$D$5</f>
        <v>-4155.6989999999996</v>
      </c>
      <c r="H12" s="25">
        <f>-Takeda!E23/$D$5</f>
        <v>-3591.2860000000001</v>
      </c>
      <c r="I12" s="25">
        <f>-Takeda!F23/$D$5</f>
        <v>-7400.0429999999997</v>
      </c>
      <c r="J12" s="25">
        <f>-Takeda!G23/$D$5</f>
        <v>-9466.2890000000007</v>
      </c>
      <c r="K12" s="25">
        <f>-Takeda!H23/$D$5</f>
        <v>-8258.4969999999994</v>
      </c>
      <c r="L12" s="25">
        <f>-Takeda!I23/$D$5</f>
        <v>-9212.4519999999993</v>
      </c>
      <c r="M12" s="25">
        <f>-Takeda!J23/$D$5</f>
        <v>-8863.9449999999997</v>
      </c>
      <c r="N12" s="25">
        <f>-Takeda!K23/$D$5</f>
        <v>-9684.5660000000007</v>
      </c>
      <c r="O12" s="23"/>
      <c r="P12" s="23"/>
      <c r="Q12" s="23"/>
      <c r="R12" s="23"/>
      <c r="S12" s="23"/>
    </row>
    <row r="13" spans="1:19" s="29" customFormat="1" ht="15" customHeight="1" x14ac:dyDescent="0.45">
      <c r="A13" s="1"/>
      <c r="B13" s="2"/>
      <c r="C13" s="1"/>
      <c r="D13" s="478" t="s">
        <v>430</v>
      </c>
      <c r="E13" s="477">
        <f t="shared" ref="E13:N13" si="2">SUM(E10,E12)</f>
        <v>9639.5750000000007</v>
      </c>
      <c r="F13" s="477">
        <f t="shared" si="2"/>
        <v>9772.1640000000007</v>
      </c>
      <c r="G13" s="477">
        <f t="shared" si="2"/>
        <v>9967.5010000000002</v>
      </c>
      <c r="H13" s="477">
        <f t="shared" si="2"/>
        <v>10075.893</v>
      </c>
      <c r="I13" s="477">
        <f t="shared" si="2"/>
        <v>19129.120000000003</v>
      </c>
      <c r="J13" s="477">
        <f t="shared" si="2"/>
        <v>16809.666000000001</v>
      </c>
      <c r="K13" s="477">
        <f t="shared" si="2"/>
        <v>18438.546000000002</v>
      </c>
      <c r="L13" s="477">
        <f t="shared" si="2"/>
        <v>19407.419999999998</v>
      </c>
      <c r="M13" s="477">
        <f t="shared" si="2"/>
        <v>18630.61</v>
      </c>
      <c r="N13" s="477">
        <f t="shared" si="2"/>
        <v>18285.635000000002</v>
      </c>
      <c r="O13" s="477"/>
      <c r="P13" s="477"/>
      <c r="Q13" s="477"/>
      <c r="R13" s="477"/>
      <c r="S13" s="477"/>
    </row>
    <row r="14" spans="1:19" ht="15" customHeight="1" x14ac:dyDescent="0.45">
      <c r="B14" s="2"/>
      <c r="D14" s="479"/>
      <c r="E14" s="23"/>
      <c r="F14" s="23"/>
      <c r="G14" s="23"/>
      <c r="H14" s="23"/>
      <c r="I14" s="23"/>
      <c r="J14" s="23"/>
      <c r="K14" s="23"/>
      <c r="L14" s="23"/>
      <c r="M14" s="23"/>
      <c r="N14" s="23"/>
      <c r="O14" s="23"/>
      <c r="P14" s="23"/>
      <c r="Q14" s="23"/>
      <c r="R14" s="23"/>
      <c r="S14" s="23"/>
    </row>
    <row r="15" spans="1:19" s="26" customFormat="1" ht="15" customHeight="1" x14ac:dyDescent="0.45">
      <c r="A15" s="4"/>
      <c r="B15" s="2" t="s">
        <v>268</v>
      </c>
      <c r="C15" s="4"/>
      <c r="D15" s="509" t="s">
        <v>586</v>
      </c>
      <c r="E15" s="25">
        <f>-IFERROR(Takeda!B26/$D$5,0)</f>
        <v>-4842.63</v>
      </c>
      <c r="F15" s="25">
        <f>-IFERROR(Takeda!C26/$D$5,0)</f>
        <v>-5117.9660000000003</v>
      </c>
      <c r="G15" s="25">
        <f>-IFERROR(Takeda!D26/$D$5,0)</f>
        <v>-5004.9070000000002</v>
      </c>
      <c r="H15" s="25">
        <f>-IFERROR(Takeda!E26/$D$5,0)</f>
        <v>-4669.1809999999996</v>
      </c>
      <c r="I15" s="25">
        <f>-IFERROR(Takeda!F26/$D$5,0)</f>
        <v>-7913.84</v>
      </c>
      <c r="J15" s="25">
        <f>-IFERROR(Takeda!G26/$D$5,0)</f>
        <v>-7354.6130000000003</v>
      </c>
      <c r="K15" s="25">
        <f>-IFERROR(Takeda!H26/$D$5,0)</f>
        <v>-6910.5240000000003</v>
      </c>
      <c r="L15" s="25">
        <f>-IFERROR(Takeda!I26/$D$5,0)</f>
        <v>-7008.0829999999996</v>
      </c>
      <c r="M15" s="25">
        <f>-IFERROR(Takeda!J26/$D$5,0)</f>
        <v>-6748.6239999999998</v>
      </c>
      <c r="N15" s="25">
        <f>-IFERROR(Takeda!K26/$D$5,0)</f>
        <v>-6683.3389999999999</v>
      </c>
      <c r="O15" s="23"/>
      <c r="P15" s="23"/>
      <c r="Q15" s="23"/>
      <c r="R15" s="23"/>
      <c r="S15" s="23"/>
    </row>
    <row r="16" spans="1:19" s="26" customFormat="1" ht="15" customHeight="1" x14ac:dyDescent="0.45">
      <c r="A16" s="4"/>
      <c r="B16" s="2" t="s">
        <v>269</v>
      </c>
      <c r="C16" s="4"/>
      <c r="D16" s="509" t="s">
        <v>630</v>
      </c>
      <c r="E16" s="25">
        <f>-IFERROR(Takeda!B27/$D$5,0)</f>
        <v>-2881.0349999999999</v>
      </c>
      <c r="F16" s="25">
        <f>-IFERROR(Takeda!C27/$D$5,0)</f>
        <v>-2601.11</v>
      </c>
      <c r="G16" s="25">
        <f>-IFERROR(Takeda!D27/$D$5,0)</f>
        <v>-2566.2649999999999</v>
      </c>
      <c r="H16" s="25">
        <f>-IFERROR(Takeda!E27/$D$5,0)</f>
        <v>-2437.8319999999999</v>
      </c>
      <c r="I16" s="25">
        <f>-IFERROR(Takeda!F27/$D$5,0)</f>
        <v>-3981.2719999999999</v>
      </c>
      <c r="J16" s="25">
        <f>-IFERROR(Takeda!G27/$D$5,0)</f>
        <v>-3997.029</v>
      </c>
      <c r="K16" s="25">
        <f>-IFERROR(Takeda!H27/$D$5,0)</f>
        <v>-3818.011</v>
      </c>
      <c r="L16" s="25">
        <f>-IFERROR(Takeda!I27/$D$5,0)</f>
        <v>-4469.4139999999998</v>
      </c>
      <c r="M16" s="25">
        <f>-IFERROR(Takeda!J27/$D$5,0)</f>
        <v>-4583.55</v>
      </c>
      <c r="N16" s="25">
        <f>-IFERROR(Takeda!K27/$D$5,0)</f>
        <v>-4329.3999999999996</v>
      </c>
      <c r="O16" s="23"/>
      <c r="P16" s="23"/>
      <c r="Q16" s="23"/>
      <c r="R16" s="23"/>
      <c r="S16" s="23"/>
    </row>
    <row r="17" spans="1:19" s="26" customFormat="1" ht="15" customHeight="1" x14ac:dyDescent="0.45">
      <c r="A17" s="4"/>
      <c r="B17" s="2" t="s">
        <v>274</v>
      </c>
      <c r="C17" s="4"/>
      <c r="D17" s="509" t="s">
        <v>556</v>
      </c>
      <c r="E17" s="25">
        <f>-IFERROR(Takeda!B28/$D$5,0)</f>
        <v>-1065.1279999999999</v>
      </c>
      <c r="F17" s="25">
        <f>-IFERROR(Takeda!C28/$D$5,0)</f>
        <v>-75.813000000000002</v>
      </c>
      <c r="G17" s="25">
        <f>-IFERROR(Takeda!D28/$D$5,0)</f>
        <v>0</v>
      </c>
      <c r="H17" s="25">
        <f>-IFERROR(Takeda!E28/$D$5,0)</f>
        <v>0</v>
      </c>
      <c r="I17" s="25">
        <f>-IFERROR(Takeda!F28/$D$5,0)</f>
        <v>0</v>
      </c>
      <c r="J17" s="25">
        <f>-IFERROR(Takeda!G28/$D$5,0)</f>
        <v>0</v>
      </c>
      <c r="K17" s="25">
        <f>-IFERROR(Takeda!H28/$D$5,0)</f>
        <v>0</v>
      </c>
      <c r="L17" s="25">
        <f>-IFERROR(Takeda!I28/$D$5,0)</f>
        <v>0</v>
      </c>
      <c r="M17" s="25">
        <f>-IFERROR(Takeda!J28/$D$5,0)</f>
        <v>0</v>
      </c>
      <c r="N17" s="25">
        <f>-IFERROR(Takeda!K28/$D$5,0)</f>
        <v>0</v>
      </c>
      <c r="O17" s="23"/>
      <c r="P17" s="23"/>
      <c r="Q17" s="23"/>
      <c r="R17" s="23"/>
      <c r="S17" s="23"/>
    </row>
    <row r="18" spans="1:19" s="26" customFormat="1" ht="15" customHeight="1" x14ac:dyDescent="0.45">
      <c r="A18" s="4"/>
      <c r="B18" s="2" t="s">
        <v>274</v>
      </c>
      <c r="C18" s="4"/>
      <c r="D18" s="509" t="s">
        <v>560</v>
      </c>
      <c r="E18" s="25">
        <f>-IFERROR(Takeda!B29/$D$5,0)</f>
        <v>0</v>
      </c>
      <c r="F18" s="25">
        <f>-IFERROR(Takeda!C29/$D$5,0)</f>
        <v>-989.52499999999998</v>
      </c>
      <c r="G18" s="25">
        <f>-IFERROR(Takeda!D29/$D$5,0)</f>
        <v>-999.58500000000004</v>
      </c>
      <c r="H18" s="25">
        <f>-IFERROR(Takeda!E29/$D$5,0)</f>
        <v>-732.59699999999998</v>
      </c>
      <c r="I18" s="25">
        <f>-IFERROR(Takeda!F29/$D$5,0)</f>
        <v>-3343.93</v>
      </c>
      <c r="J18" s="25">
        <f>-IFERROR(Takeda!G29/$D$5,0)</f>
        <v>-3301.4140000000002</v>
      </c>
      <c r="K18" s="25">
        <f>-IFERROR(Takeda!H29/$D$5,0)</f>
        <v>-3268.1320000000001</v>
      </c>
      <c r="L18" s="25">
        <f>-IFERROR(Takeda!I29/$D$5,0)</f>
        <v>-3354.9639999999999</v>
      </c>
      <c r="M18" s="25">
        <f>-IFERROR(Takeda!J29/$D$5,0)</f>
        <v>-3334.096</v>
      </c>
      <c r="N18" s="25">
        <f>-IFERROR(Takeda!K29/$D$5,0)</f>
        <v>-3331.9749999999999</v>
      </c>
      <c r="O18" s="23"/>
      <c r="P18" s="23"/>
      <c r="Q18" s="23"/>
      <c r="R18" s="23"/>
      <c r="S18" s="23"/>
    </row>
    <row r="19" spans="1:19" s="26" customFormat="1" ht="15" customHeight="1" x14ac:dyDescent="0.45">
      <c r="A19" s="4"/>
      <c r="B19" s="2" t="s">
        <v>270</v>
      </c>
      <c r="C19" s="4"/>
      <c r="D19" s="509" t="s">
        <v>631</v>
      </c>
      <c r="E19" s="25">
        <f>-IFERROR(Takeda!B30/$D$5,0)</f>
        <v>-55.353999999999999</v>
      </c>
      <c r="F19" s="25">
        <f>-IFERROR(Takeda!C30/$D$5,0)</f>
        <v>768.31100000000004</v>
      </c>
      <c r="G19" s="25">
        <f>-IFERROR(Takeda!D30/$D$5,0)</f>
        <v>102.48099999999999</v>
      </c>
      <c r="H19" s="25">
        <f>-IFERROR(Takeda!E30/$D$5,0)</f>
        <v>-318.31700000000001</v>
      </c>
      <c r="I19" s="25">
        <f>-IFERROR(Takeda!F30/$D$5,0)</f>
        <v>-219.23599999999999</v>
      </c>
      <c r="J19" s="25">
        <f>-IFERROR(Takeda!G30/$D$5,0)</f>
        <v>-171.64699999999999</v>
      </c>
      <c r="K19" s="25">
        <f>-IFERROR(Takeda!H30/$D$5,0)</f>
        <v>-7.6260000000000003</v>
      </c>
      <c r="L19" s="25">
        <f>-IFERROR(Takeda!I30/$D$5,0)</f>
        <v>-505.52199999999999</v>
      </c>
      <c r="M19" s="25">
        <f>-IFERROR(Takeda!J30/$D$5,0)</f>
        <v>-793.98900000000003</v>
      </c>
      <c r="N19" s="25">
        <f>-IFERROR(Takeda!K30/$D$5,0)</f>
        <v>-338.762</v>
      </c>
      <c r="O19" s="23"/>
      <c r="P19" s="23"/>
      <c r="Q19" s="23"/>
      <c r="R19" s="23"/>
      <c r="S19" s="23"/>
    </row>
    <row r="20" spans="1:19" s="30" customFormat="1" ht="15" customHeight="1" x14ac:dyDescent="0.45">
      <c r="A20" s="4"/>
      <c r="B20" s="4"/>
      <c r="C20" s="4"/>
      <c r="D20" s="478" t="s">
        <v>254</v>
      </c>
      <c r="E20" s="30">
        <f t="shared" ref="E20:N20" si="3">SUM(E13,E15:E19)</f>
        <v>795.42800000000079</v>
      </c>
      <c r="F20" s="30">
        <f t="shared" si="3"/>
        <v>1756.0610000000001</v>
      </c>
      <c r="G20" s="30">
        <f t="shared" si="3"/>
        <v>1499.2250000000001</v>
      </c>
      <c r="H20" s="30">
        <f t="shared" si="3"/>
        <v>1917.9660000000003</v>
      </c>
      <c r="I20" s="30">
        <f t="shared" si="3"/>
        <v>3670.8420000000028</v>
      </c>
      <c r="J20" s="30">
        <f t="shared" si="3"/>
        <v>1984.9629999999993</v>
      </c>
      <c r="K20" s="30">
        <f t="shared" si="3"/>
        <v>4434.2530000000006</v>
      </c>
      <c r="L20" s="30">
        <f t="shared" si="3"/>
        <v>4069.4369999999999</v>
      </c>
      <c r="M20" s="30">
        <f t="shared" si="3"/>
        <v>3170.3510000000006</v>
      </c>
      <c r="N20" s="30">
        <f t="shared" si="3"/>
        <v>3602.1590000000024</v>
      </c>
    </row>
    <row r="21" spans="1:19" ht="15" customHeight="1" x14ac:dyDescent="0.45">
      <c r="B21" s="2"/>
      <c r="D21" s="479"/>
      <c r="E21" s="23"/>
      <c r="F21" s="23"/>
      <c r="G21" s="23"/>
      <c r="H21" s="23"/>
      <c r="I21" s="23"/>
      <c r="J21" s="23"/>
      <c r="K21" s="23"/>
      <c r="L21" s="23"/>
      <c r="M21" s="23"/>
      <c r="N21" s="23"/>
      <c r="O21" s="23"/>
      <c r="P21" s="23"/>
      <c r="Q21" s="23"/>
      <c r="R21" s="23"/>
      <c r="S21" s="23"/>
    </row>
    <row r="22" spans="1:19" ht="15" customHeight="1" x14ac:dyDescent="0.45">
      <c r="B22" s="24"/>
      <c r="C22" s="24"/>
      <c r="D22" s="490"/>
      <c r="E22" s="23"/>
      <c r="F22" s="23"/>
      <c r="I22" s="23"/>
      <c r="J22" s="23"/>
      <c r="K22" s="23"/>
      <c r="L22" s="23"/>
      <c r="M22" s="23"/>
      <c r="N22" s="23"/>
      <c r="O22" s="23"/>
      <c r="P22" s="23"/>
      <c r="Q22" s="23"/>
      <c r="R22" s="23"/>
      <c r="S22" s="23"/>
    </row>
    <row r="23" spans="1:19" ht="15" customHeight="1" x14ac:dyDescent="0.45">
      <c r="B23" s="2" t="s">
        <v>408</v>
      </c>
      <c r="D23" s="31" t="s">
        <v>408</v>
      </c>
      <c r="E23" s="25">
        <f>+IFERROR(Takeda!B34/$D$5,0)</f>
        <v>-64.463999999999999</v>
      </c>
      <c r="F23" s="25">
        <f>+IFERROR(Takeda!C34/$D$5,0)</f>
        <v>-23.69</v>
      </c>
      <c r="G23" s="25">
        <f>+IFERROR(Takeda!D34/$D$5,0)</f>
        <v>-197.09399999999999</v>
      </c>
      <c r="H23" s="25">
        <f>+IFERROR(Takeda!E34/$D$5,0)</f>
        <v>-82.058000000000007</v>
      </c>
      <c r="I23" s="25">
        <f>+IFERROR(Takeda!F34/$D$5,0)</f>
        <v>-1087.617</v>
      </c>
      <c r="J23" s="25">
        <f>+IFERROR(Takeda!G34/$D$5,0)</f>
        <v>-1761.269</v>
      </c>
      <c r="K23" s="25">
        <f>+IFERROR(Takeda!H34/$D$5,0)</f>
        <v>-877.2</v>
      </c>
      <c r="L23" s="25">
        <f>+IFERROR(Takeda!I34/$D$5,0)</f>
        <v>-766.59500000000003</v>
      </c>
      <c r="M23" s="25">
        <f>+IFERROR(Takeda!J34/$D$5,0)</f>
        <v>-1095.5419999999999</v>
      </c>
      <c r="N23" s="25">
        <f>+IFERROR(Takeda!K34/$D$5,0)</f>
        <v>-548.15</v>
      </c>
      <c r="O23" s="25"/>
      <c r="P23" s="25"/>
      <c r="Q23" s="25"/>
      <c r="R23" s="25"/>
      <c r="S23" s="25"/>
    </row>
    <row r="24" spans="1:19" ht="15" customHeight="1" x14ac:dyDescent="0.45">
      <c r="B24" s="2" t="s">
        <v>407</v>
      </c>
      <c r="D24" s="31" t="s">
        <v>558</v>
      </c>
      <c r="E24" s="25">
        <f>+IFERROR(Takeda!B35/$D$5,0)</f>
        <v>59.048000000000002</v>
      </c>
      <c r="F24" s="25">
        <f>+IFERROR(Takeda!C35/$D$5,0)</f>
        <v>69.13</v>
      </c>
      <c r="G24" s="25">
        <f>+IFERROR(Takeda!D35/$D$5,0)</f>
        <v>51.082000000000001</v>
      </c>
      <c r="H24" s="25">
        <f>+IFERROR(Takeda!E35/$D$5,0)</f>
        <v>78.888999999999996</v>
      </c>
      <c r="I24" s="25">
        <f>+IFERROR(Takeda!F35/$D$5,0)</f>
        <v>264.84899999999999</v>
      </c>
      <c r="J24" s="25">
        <f>+IFERROR(Takeda!G35/$D$5,0)</f>
        <v>313.40699999999998</v>
      </c>
      <c r="K24" s="25">
        <f>+IFERROR(Takeda!H35/$D$5,0)</f>
        <v>0</v>
      </c>
      <c r="L24" s="25">
        <f>+IFERROR(Takeda!I35/$D$5,0)</f>
        <v>122.93600000000001</v>
      </c>
      <c r="M24" s="25">
        <f>+IFERROR(Takeda!J35/$D$5,0)</f>
        <v>0</v>
      </c>
      <c r="N24" s="25">
        <f>+IFERROR(Takeda!K35/$D$5,0)</f>
        <v>0</v>
      </c>
      <c r="O24" s="25"/>
      <c r="P24" s="25"/>
      <c r="Q24" s="25"/>
      <c r="R24" s="25"/>
      <c r="S24" s="25"/>
    </row>
    <row r="25" spans="1:19" ht="15" customHeight="1" x14ac:dyDescent="0.45">
      <c r="B25" s="2" t="s">
        <v>255</v>
      </c>
      <c r="D25" s="31" t="s">
        <v>632</v>
      </c>
      <c r="E25" s="25">
        <f>+IFERROR(Takeda!B37/$D$5,0)</f>
        <v>3.3969999999999998</v>
      </c>
      <c r="F25" s="25">
        <f>+IFERROR(Takeda!C37/$D$5,0)</f>
        <v>-6.8250000000000002</v>
      </c>
      <c r="G25" s="25">
        <f>+IFERROR(Takeda!D37/$D$5,0)</f>
        <v>-272.93799999999999</v>
      </c>
      <c r="H25" s="25">
        <f>+IFERROR(Takeda!E37/$D$5,0)</f>
        <v>-328.58499999999998</v>
      </c>
      <c r="I25" s="25">
        <f>+IFERROR(Takeda!F37/$D$5,0)</f>
        <v>-121.01900000000001</v>
      </c>
      <c r="J25" s="25">
        <f>+IFERROR(Takeda!G37/$D$5,0)</f>
        <v>-138.81899999999999</v>
      </c>
      <c r="K25" s="25">
        <f>+IFERROR(Takeda!H37/$D$5,0)</f>
        <v>21.829000000000001</v>
      </c>
      <c r="L25" s="25">
        <f>+IFERROR(Takeda!I37/$D$5,0)</f>
        <v>-96.097999999999999</v>
      </c>
      <c r="M25" s="25">
        <f>+IFERROR(Takeda!J37/$D$5,0)</f>
        <v>-18.242000000000001</v>
      </c>
      <c r="N25" s="25">
        <f>+IFERROR(Takeda!K37/$D$5,0)</f>
        <v>3.3170000000000002</v>
      </c>
      <c r="O25" s="25"/>
      <c r="P25" s="25"/>
      <c r="Q25" s="25"/>
      <c r="R25" s="25"/>
      <c r="S25" s="25"/>
    </row>
    <row r="26" spans="1:19" ht="15" customHeight="1" x14ac:dyDescent="0.45">
      <c r="B26" s="2" t="s">
        <v>409</v>
      </c>
      <c r="D26" s="31" t="s">
        <v>633</v>
      </c>
      <c r="E26" s="25">
        <f>+IFERROR(Takeda!B38/$D$5,0)</f>
        <v>-8.5139999999999993</v>
      </c>
      <c r="F26" s="25">
        <f>+IFERROR(Takeda!C38/$D$5,0)</f>
        <v>-74.13</v>
      </c>
      <c r="G26" s="25">
        <f>+IFERROR(Takeda!D38/$D$5,0)</f>
        <v>15.003</v>
      </c>
      <c r="H26" s="25">
        <f>+IFERROR(Takeda!E38/$D$5,0)</f>
        <v>-78.881</v>
      </c>
      <c r="I26" s="25">
        <f>+IFERROR(Takeda!F38/$D$5,0)</f>
        <v>57.432000000000002</v>
      </c>
      <c r="J26" s="25">
        <f>+IFERROR(Takeda!G38/$D$5,0)</f>
        <v>90.173000000000002</v>
      </c>
      <c r="K26" s="25">
        <f>+IFERROR(Takeda!H38/$D$5,0)</f>
        <v>-749.60699999999997</v>
      </c>
      <c r="L26" s="25">
        <f>+IFERROR(Takeda!I38/$D$5,0)</f>
        <v>-28.318000000000001</v>
      </c>
      <c r="M26" s="25">
        <f>+IFERROR(Takeda!J38/$D$5,0)</f>
        <v>-64.162000000000006</v>
      </c>
      <c r="N26" s="25">
        <f>+IFERROR(Takeda!K38/$D$5,0)</f>
        <v>-83.147000000000006</v>
      </c>
      <c r="O26" s="25"/>
      <c r="P26" s="25"/>
      <c r="Q26" s="25"/>
      <c r="R26" s="25"/>
      <c r="S26" s="25"/>
    </row>
    <row r="27" spans="1:19" ht="15" customHeight="1" x14ac:dyDescent="0.45">
      <c r="B27" s="2" t="s">
        <v>409</v>
      </c>
      <c r="D27" s="31" t="s">
        <v>634</v>
      </c>
      <c r="E27" s="25">
        <f>+IFERROR(Takeda!B39/$D$5,0)</f>
        <v>-118.119</v>
      </c>
      <c r="F27" s="25">
        <f>+IFERROR(Takeda!C39/$D$5,0)</f>
        <v>-57.322000000000003</v>
      </c>
      <c r="G27" s="25">
        <f>+IFERROR(Takeda!D39/$D$5,0)</f>
        <v>-24.658999999999999</v>
      </c>
      <c r="H27" s="25">
        <f>+IFERROR(Takeda!E39/$D$5,0)</f>
        <v>-0.223</v>
      </c>
      <c r="I27" s="25">
        <f>+IFERROR(Takeda!F39/$D$5,0)</f>
        <v>-213.786</v>
      </c>
      <c r="J27" s="25">
        <f>+IFERROR(Takeda!G39/$D$5,0)</f>
        <v>6.3159999999999998</v>
      </c>
      <c r="K27" s="25">
        <f>+IFERROR(Takeda!H39/$D$5,0)</f>
        <v>640.61500000000001</v>
      </c>
      <c r="L27" s="25">
        <f>+IFERROR(Takeda!I39/$D$5,0)</f>
        <v>-181.93</v>
      </c>
      <c r="M27" s="25">
        <f>+IFERROR(Takeda!J39/$D$5,0)</f>
        <v>26.215</v>
      </c>
      <c r="N27" s="25">
        <f>+IFERROR(Takeda!K39/$D$5,0)</f>
        <v>-192.541</v>
      </c>
      <c r="O27" s="25"/>
      <c r="P27" s="25"/>
      <c r="Q27" s="25"/>
      <c r="R27" s="25"/>
      <c r="S27" s="25"/>
    </row>
    <row r="28" spans="1:19" ht="15" customHeight="1" x14ac:dyDescent="0.45">
      <c r="B28" s="2" t="s">
        <v>409</v>
      </c>
      <c r="D28" s="31" t="s">
        <v>635</v>
      </c>
      <c r="E28" s="25">
        <f>+IFERROR(Takeda!B41/$D$5,0)</f>
        <v>-232.22300000000001</v>
      </c>
      <c r="F28" s="25">
        <f>+IFERROR(Takeda!C41/$D$5,0)</f>
        <v>-214.65600000000001</v>
      </c>
      <c r="G28" s="25">
        <f>+IFERROR(Takeda!D41/$D$5,0)</f>
        <v>-355.04700000000003</v>
      </c>
      <c r="H28" s="25">
        <f>+IFERROR(Takeda!E41/$D$5,0)</f>
        <v>-192.095</v>
      </c>
      <c r="I28" s="25">
        <f>+IFERROR(Takeda!F41/$D$5,0)</f>
        <v>-191.48400000000001</v>
      </c>
      <c r="J28" s="25">
        <f>+IFERROR(Takeda!G41/$D$5,0)</f>
        <v>-1091.2529999999999</v>
      </c>
      <c r="K28" s="25">
        <f>+IFERROR(Takeda!H41/$D$5,0)</f>
        <v>-682.00099999999998</v>
      </c>
      <c r="L28" s="25">
        <f>+IFERROR(Takeda!I41/$D$5,0)</f>
        <v>-458.59399999999999</v>
      </c>
      <c r="M28" s="25">
        <f>+IFERROR(Takeda!J41/$D$5,0)</f>
        <v>-136.917</v>
      </c>
      <c r="N28" s="25">
        <f>+IFERROR(Takeda!K41/$D$5,0)</f>
        <v>-496.96199999999999</v>
      </c>
      <c r="O28" s="25"/>
      <c r="P28" s="25"/>
      <c r="Q28" s="25"/>
      <c r="R28" s="25"/>
      <c r="S28" s="25"/>
    </row>
    <row r="29" spans="1:19" ht="15" customHeight="1" x14ac:dyDescent="0.45">
      <c r="B29" s="2" t="s">
        <v>409</v>
      </c>
      <c r="D29" s="31" t="s">
        <v>636</v>
      </c>
      <c r="E29" s="25">
        <f>+IFERROR(Takeda!B42/$D$5,0)</f>
        <v>0</v>
      </c>
      <c r="F29" s="25">
        <f>+IFERROR(Takeda!C42/$D$5,0)</f>
        <v>0</v>
      </c>
      <c r="G29" s="25">
        <f>+IFERROR(Takeda!D42/$D$5,0)</f>
        <v>-25.26</v>
      </c>
      <c r="H29" s="25">
        <f>+IFERROR(Takeda!E42/$D$5,0)</f>
        <v>-331.51600000000002</v>
      </c>
      <c r="I29" s="25">
        <f>+IFERROR(Takeda!F42/$D$5,0)</f>
        <v>-3290.998</v>
      </c>
      <c r="J29" s="25">
        <f>+IFERROR(Takeda!G42/$D$5,0)</f>
        <v>1093.175</v>
      </c>
      <c r="K29" s="25">
        <f>+IFERROR(Takeda!H42/$D$5,0)</f>
        <v>0</v>
      </c>
      <c r="L29" s="25">
        <f>+IFERROR(Takeda!I42/$D$5,0)</f>
        <v>0</v>
      </c>
      <c r="M29" s="25">
        <f>+IFERROR(Takeda!J42/$D$5,0)</f>
        <v>0</v>
      </c>
      <c r="N29" s="25">
        <f>+IFERROR(Takeda!K42/$D$5,0)</f>
        <v>0</v>
      </c>
      <c r="O29" s="25"/>
      <c r="P29" s="25"/>
      <c r="Q29" s="25"/>
      <c r="R29" s="25"/>
      <c r="S29" s="25"/>
    </row>
    <row r="30" spans="1:19" ht="15" customHeight="1" x14ac:dyDescent="0.45">
      <c r="B30" s="2" t="s">
        <v>255</v>
      </c>
      <c r="D30" s="31" t="s">
        <v>637</v>
      </c>
      <c r="E30" s="25">
        <f>+IFERROR(Takeda!B43/$D$5,0)</f>
        <v>53.915999999999997</v>
      </c>
      <c r="F30" s="25">
        <f>+IFERROR(Takeda!C43/$D$5,0)</f>
        <v>105.986</v>
      </c>
      <c r="G30" s="25">
        <f>+IFERROR(Takeda!D43/$D$5,0)</f>
        <v>137.46199999999999</v>
      </c>
      <c r="H30" s="25">
        <f>+IFERROR(Takeda!E43/$D$5,0)</f>
        <v>58.866999999999997</v>
      </c>
      <c r="I30" s="25">
        <f>+IFERROR(Takeda!F43/$D$5,0)</f>
        <v>17.670999999999999</v>
      </c>
      <c r="J30" s="25">
        <f>+IFERROR(Takeda!G43/$D$5,0)</f>
        <v>-17.707999999999998</v>
      </c>
      <c r="K30" s="25">
        <f>+IFERROR(Takeda!H43/$D$5,0)</f>
        <v>0</v>
      </c>
      <c r="L30" s="25">
        <f>+IFERROR(Takeda!I43/$D$5,0)</f>
        <v>61.540999999999997</v>
      </c>
      <c r="M30" s="25">
        <f>+IFERROR(Takeda!J43/$D$5,0)</f>
        <v>147.83199999999999</v>
      </c>
      <c r="N30" s="25">
        <f>+IFERROR(Takeda!K43/$D$5,0)</f>
        <v>-118.502</v>
      </c>
      <c r="O30" s="25"/>
      <c r="P30" s="25"/>
      <c r="Q30" s="25"/>
      <c r="R30" s="25"/>
      <c r="S30" s="25"/>
    </row>
    <row r="31" spans="1:19" ht="15" customHeight="1" x14ac:dyDescent="0.45">
      <c r="B31" s="2" t="s">
        <v>409</v>
      </c>
      <c r="D31" s="31" t="s">
        <v>638</v>
      </c>
      <c r="E31" s="25">
        <f>+IFERROR(Takeda!B44/$D$5,0)</f>
        <v>244.44</v>
      </c>
      <c r="F31" s="25">
        <f>+IFERROR(Takeda!C44/$D$5,0)</f>
        <v>29.565000000000001</v>
      </c>
      <c r="G31" s="25">
        <f>+IFERROR(Takeda!D44/$D$5,0)</f>
        <v>1067.758</v>
      </c>
      <c r="H31" s="25">
        <f>+IFERROR(Takeda!E44/$D$5,0)</f>
        <v>203.99</v>
      </c>
      <c r="I31" s="25">
        <f>+IFERROR(Takeda!F44/$D$5,0)</f>
        <v>769.64700000000005</v>
      </c>
      <c r="J31" s="25">
        <f>+IFERROR(Takeda!G44/$D$5,0)</f>
        <v>379.99099999999999</v>
      </c>
      <c r="K31" s="25">
        <f>+IFERROR(Takeda!H44/$D$5,0)</f>
        <v>1524.4469999999999</v>
      </c>
      <c r="L31" s="25">
        <f>+IFERROR(Takeda!I44/$D$5,0)</f>
        <v>59.232999999999997</v>
      </c>
      <c r="M31" s="25">
        <f>+IFERROR(Takeda!J44/$D$5,0)</f>
        <v>58.701000000000001</v>
      </c>
      <c r="N31" s="25">
        <f>+IFERROR(Takeda!K44/$D$5,0)</f>
        <v>85.974999999999994</v>
      </c>
      <c r="O31" s="25"/>
      <c r="P31" s="25"/>
      <c r="Q31" s="25"/>
      <c r="R31" s="25"/>
      <c r="S31" s="25"/>
    </row>
    <row r="32" spans="1:19" ht="15" customHeight="1" x14ac:dyDescent="0.45">
      <c r="B32" s="2" t="s">
        <v>409</v>
      </c>
      <c r="D32" s="31" t="s">
        <v>639</v>
      </c>
      <c r="E32" s="25">
        <f>+IFERROR(Takeda!B45/$D$5,0)</f>
        <v>-20.343</v>
      </c>
      <c r="F32" s="25">
        <f>+IFERROR(Takeda!C45/$D$5,0)</f>
        <v>-111.536</v>
      </c>
      <c r="G32" s="25">
        <f>+IFERROR(Takeda!D45/$D$5,0)</f>
        <v>-128.643</v>
      </c>
      <c r="H32" s="25">
        <f>+IFERROR(Takeda!E45/$D$5,0)</f>
        <v>-154.06299999999999</v>
      </c>
      <c r="I32" s="25">
        <f>+IFERROR(Takeda!F45/$D$5,0)</f>
        <v>-170.714</v>
      </c>
      <c r="J32" s="25">
        <f>+IFERROR(Takeda!G45/$D$5,0)</f>
        <v>-367.73700000000002</v>
      </c>
      <c r="K32" s="25">
        <f>+IFERROR(Takeda!H45/$D$5,0)</f>
        <v>-111.849</v>
      </c>
      <c r="L32" s="25">
        <f>+IFERROR(Takeda!I45/$D$5,0)</f>
        <v>-699.351</v>
      </c>
      <c r="M32" s="25">
        <f>+IFERROR(Takeda!J45/$D$5,0)</f>
        <v>-922.06899999999996</v>
      </c>
      <c r="N32" s="25">
        <f>+IFERROR(Takeda!K45/$D$5,0)</f>
        <v>-299.363</v>
      </c>
      <c r="O32" s="25"/>
      <c r="P32" s="25"/>
      <c r="Q32" s="25"/>
      <c r="R32" s="25"/>
      <c r="S32" s="25"/>
    </row>
    <row r="33" spans="1:19" ht="15" customHeight="1" x14ac:dyDescent="0.45">
      <c r="B33" s="2" t="s">
        <v>409</v>
      </c>
      <c r="D33" s="31" t="s">
        <v>660</v>
      </c>
      <c r="E33" s="25">
        <f>+IFERROR(Takeda!B46/$D$5,0)</f>
        <v>0</v>
      </c>
      <c r="F33" s="25">
        <f>+IFERROR(Takeda!C46/$D$5,0)</f>
        <v>0</v>
      </c>
      <c r="G33" s="25">
        <f>+IFERROR(Takeda!D46/$D$5,0)</f>
        <v>0</v>
      </c>
      <c r="H33" s="25">
        <f>+IFERROR(Takeda!E46/$D$5,0)</f>
        <v>0</v>
      </c>
      <c r="I33" s="25">
        <f>+IFERROR(Takeda!F46/$D$5,0)</f>
        <v>74.021000000000001</v>
      </c>
      <c r="J33" s="25">
        <f>+IFERROR(Takeda!G46/$D$5,0)</f>
        <v>0.38600000000000001</v>
      </c>
      <c r="K33" s="25">
        <f>+IFERROR(Takeda!H46/$D$5,0)</f>
        <v>3.69</v>
      </c>
      <c r="L33" s="25">
        <f>+IFERROR(Takeda!I46/$D$5,0)</f>
        <v>0</v>
      </c>
      <c r="M33" s="25">
        <f>+IFERROR(Takeda!J46/$D$5,0)</f>
        <v>0</v>
      </c>
      <c r="N33" s="25">
        <f>+IFERROR(Takeda!K46/$D$5,0)</f>
        <v>0</v>
      </c>
      <c r="O33" s="25"/>
      <c r="P33" s="25"/>
      <c r="Q33" s="25"/>
      <c r="R33" s="25"/>
      <c r="S33" s="25"/>
    </row>
    <row r="34" spans="1:19" ht="15" customHeight="1" x14ac:dyDescent="0.45">
      <c r="B34" s="2" t="s">
        <v>409</v>
      </c>
      <c r="D34" s="31" t="s">
        <v>640</v>
      </c>
      <c r="E34" s="25">
        <f>+IFERROR(Takeda!B47/$D$5,0)</f>
        <v>-2041.4480000000001</v>
      </c>
      <c r="F34" s="25">
        <f>+IFERROR(Takeda!C47/$D$5,0)</f>
        <v>0</v>
      </c>
      <c r="G34" s="25">
        <f>+IFERROR(Takeda!D47/$D$5,0)</f>
        <v>0</v>
      </c>
      <c r="H34" s="25">
        <f>+IFERROR(Takeda!E47/$D$5,0)</f>
        <v>0</v>
      </c>
      <c r="I34" s="25">
        <f>+IFERROR(Takeda!F47/$D$5,0)</f>
        <v>0</v>
      </c>
      <c r="J34" s="25">
        <f>+IFERROR(Takeda!G47/$D$5,0)</f>
        <v>0</v>
      </c>
      <c r="K34" s="25">
        <f>+IFERROR(Takeda!H47/$D$5,0)</f>
        <v>-134.03200000000001</v>
      </c>
      <c r="L34" s="25">
        <f>+IFERROR(Takeda!I47/$D$5,0)</f>
        <v>-147.423</v>
      </c>
      <c r="M34" s="25">
        <f>+IFERROR(Takeda!J47/$D$5,0)</f>
        <v>-108.51900000000001</v>
      </c>
      <c r="N34" s="25">
        <f>+IFERROR(Takeda!K47/$D$5,0)</f>
        <v>-276.17</v>
      </c>
      <c r="O34" s="25"/>
      <c r="P34" s="25"/>
      <c r="Q34" s="25"/>
      <c r="R34" s="25"/>
      <c r="S34" s="25"/>
    </row>
    <row r="35" spans="1:19" ht="15" customHeight="1" x14ac:dyDescent="0.45">
      <c r="B35" s="2" t="s">
        <v>409</v>
      </c>
      <c r="D35" s="487" t="s">
        <v>641</v>
      </c>
      <c r="E35" s="25">
        <f>+IFERROR(Takeda!B48/$D$5,0)</f>
        <v>0</v>
      </c>
      <c r="F35" s="25">
        <f>+IFERROR(Takeda!C48/$D$5,0)</f>
        <v>-16.408000000000001</v>
      </c>
      <c r="G35" s="25">
        <f>+IFERROR(Takeda!D48/$D$5,0)</f>
        <v>-7.8449999999999998</v>
      </c>
      <c r="H35" s="25">
        <f>+IFERROR(Takeda!E48/$D$5,0)</f>
        <v>-35.637999999999998</v>
      </c>
      <c r="I35" s="25">
        <f>+IFERROR(Takeda!F48/$D$5,0)</f>
        <v>18.221</v>
      </c>
      <c r="J35" s="25">
        <f>+IFERROR(Takeda!G48/$D$5,0)</f>
        <v>482.41800000000001</v>
      </c>
      <c r="K35" s="25">
        <f>+IFERROR(Takeda!H48/$D$5,0)</f>
        <v>-315.17399999999998</v>
      </c>
      <c r="L35" s="25">
        <f>+IFERROR(Takeda!I48/$D$5,0)</f>
        <v>46.826999999999998</v>
      </c>
      <c r="M35" s="25">
        <f>+IFERROR(Takeda!J48/$D$5,0)</f>
        <v>-80.094999999999999</v>
      </c>
      <c r="N35" s="25">
        <f>+IFERROR(Takeda!K48/$D$5,0)</f>
        <v>-242.006</v>
      </c>
      <c r="O35" s="25"/>
      <c r="P35" s="25"/>
      <c r="Q35" s="25"/>
      <c r="R35" s="25"/>
      <c r="S35" s="25"/>
    </row>
    <row r="36" spans="1:19" s="30" customFormat="1" ht="15" customHeight="1" x14ac:dyDescent="0.45">
      <c r="A36" s="4"/>
      <c r="B36" s="5"/>
      <c r="C36" s="4"/>
      <c r="D36" s="478" t="s">
        <v>438</v>
      </c>
      <c r="E36" s="477">
        <f t="shared" ref="E36:N36" si="4">SUM(E20,E23:E35)</f>
        <v>-1328.8819999999992</v>
      </c>
      <c r="F36" s="477">
        <f t="shared" si="4"/>
        <v>1456.1750000000004</v>
      </c>
      <c r="G36" s="477">
        <f t="shared" si="4"/>
        <v>1759.0439999999999</v>
      </c>
      <c r="H36" s="477">
        <f t="shared" si="4"/>
        <v>1056.6530000000002</v>
      </c>
      <c r="I36" s="477">
        <f t="shared" si="4"/>
        <v>-202.9349999999971</v>
      </c>
      <c r="J36" s="477">
        <f t="shared" si="4"/>
        <v>974.04299999999932</v>
      </c>
      <c r="K36" s="477">
        <f t="shared" si="4"/>
        <v>3754.9710000000005</v>
      </c>
      <c r="L36" s="477">
        <f t="shared" si="4"/>
        <v>1981.665</v>
      </c>
      <c r="M36" s="477">
        <f t="shared" si="4"/>
        <v>977.55300000000034</v>
      </c>
      <c r="N36" s="477">
        <f t="shared" si="4"/>
        <v>1434.6100000000019</v>
      </c>
      <c r="O36" s="477"/>
      <c r="P36" s="477"/>
      <c r="Q36" s="477"/>
      <c r="R36" s="477"/>
      <c r="S36" s="477"/>
    </row>
    <row r="37" spans="1:19" ht="15" customHeight="1" x14ac:dyDescent="0.45">
      <c r="B37" s="24"/>
      <c r="D37" s="31"/>
      <c r="E37" s="25"/>
      <c r="F37" s="25"/>
      <c r="G37" s="25"/>
      <c r="H37" s="25"/>
      <c r="I37" s="25"/>
      <c r="J37" s="25"/>
      <c r="K37" s="25"/>
      <c r="L37" s="25"/>
      <c r="M37" s="25"/>
      <c r="N37" s="25"/>
      <c r="O37" s="25"/>
      <c r="P37" s="25"/>
      <c r="Q37" s="25"/>
      <c r="R37" s="25"/>
      <c r="S37" s="25"/>
    </row>
    <row r="38" spans="1:19" ht="15" customHeight="1" x14ac:dyDescent="0.45">
      <c r="B38" s="2" t="s">
        <v>410</v>
      </c>
      <c r="D38" s="487" t="s">
        <v>559</v>
      </c>
      <c r="E38" s="25">
        <f>-Takeda!B51/$D$5</f>
        <v>516.83500000000004</v>
      </c>
      <c r="F38" s="25">
        <f>-Takeda!C51/$D$5</f>
        <v>-329.983</v>
      </c>
      <c r="G38" s="25">
        <f>-Takeda!D51/$D$5</f>
        <v>-270.89800000000002</v>
      </c>
      <c r="H38" s="25">
        <f>-Takeda!E51/$D$5</f>
        <v>-209.65299999999999</v>
      </c>
      <c r="I38" s="25">
        <f>-Takeda!F51/$D$5</f>
        <v>313.21600000000001</v>
      </c>
      <c r="J38" s="25">
        <f>-Takeda!G51/$D$5</f>
        <v>509.16800000000001</v>
      </c>
      <c r="K38" s="25">
        <f>-Takeda!H51/$D$5</f>
        <v>-375.97</v>
      </c>
      <c r="L38" s="25">
        <f>-Takeda!I51/$D$5</f>
        <v>10.15</v>
      </c>
      <c r="M38" s="25">
        <f>-Takeda!J51/$D$5</f>
        <v>198.501</v>
      </c>
      <c r="N38" s="25">
        <f>-Takeda!K51/$D$5</f>
        <v>-162.56700000000001</v>
      </c>
      <c r="O38" s="25"/>
      <c r="P38" s="25"/>
      <c r="Q38" s="25"/>
      <c r="R38" s="25"/>
      <c r="S38" s="25"/>
    </row>
    <row r="39" spans="1:19" ht="15" customHeight="1" x14ac:dyDescent="0.45">
      <c r="B39" s="2" t="s">
        <v>411</v>
      </c>
      <c r="D39" s="487" t="s">
        <v>642</v>
      </c>
      <c r="E39" s="25">
        <f>+Takeda!B54/$D$5</f>
        <v>-21.303999999999998</v>
      </c>
      <c r="F39" s="25">
        <f>+Takeda!C54/$D$5</f>
        <v>-24.632000000000001</v>
      </c>
      <c r="G39" s="25">
        <f>+Takeda!D54/$D$5</f>
        <v>15.872999999999999</v>
      </c>
      <c r="H39" s="25">
        <f>+Takeda!E54/$D$5</f>
        <v>0.315</v>
      </c>
      <c r="I39" s="25">
        <f>+Takeda!F54/$D$5</f>
        <v>-1.4750000000000001</v>
      </c>
      <c r="J39" s="25">
        <f>+Takeda!G54/$D$5</f>
        <v>0.34499999999999997</v>
      </c>
      <c r="K39" s="25">
        <f>+Takeda!H54/$D$5</f>
        <v>-1.3089999999999999</v>
      </c>
      <c r="L39" s="25">
        <f>+Takeda!I54/$D$5</f>
        <v>-1.4999999999999999E-2</v>
      </c>
      <c r="M39" s="25">
        <f>+Takeda!J54/$D$5</f>
        <v>-0.71199999999999997</v>
      </c>
      <c r="N39" s="25">
        <f>+Takeda!K54/$D$5</f>
        <v>-1.1120000000000001</v>
      </c>
      <c r="O39" s="25"/>
      <c r="P39" s="25"/>
      <c r="Q39" s="25"/>
      <c r="R39" s="25"/>
      <c r="S39" s="25"/>
    </row>
    <row r="40" spans="1:19" s="29" customFormat="1" ht="15" customHeight="1" x14ac:dyDescent="0.45">
      <c r="A40" s="1"/>
      <c r="B40" s="2" t="s">
        <v>412</v>
      </c>
      <c r="C40" s="1"/>
      <c r="D40" s="478" t="s">
        <v>441</v>
      </c>
      <c r="E40" s="477">
        <f t="shared" ref="E40:N40" si="5">SUM(E36,E38:E39)</f>
        <v>-833.35099999999909</v>
      </c>
      <c r="F40" s="477">
        <f t="shared" si="5"/>
        <v>1101.5600000000004</v>
      </c>
      <c r="G40" s="477">
        <f t="shared" si="5"/>
        <v>1504.0189999999998</v>
      </c>
      <c r="H40" s="477">
        <f t="shared" si="5"/>
        <v>847.31500000000028</v>
      </c>
      <c r="I40" s="477">
        <f t="shared" si="5"/>
        <v>108.80600000000291</v>
      </c>
      <c r="J40" s="477">
        <f t="shared" si="5"/>
        <v>1483.5559999999994</v>
      </c>
      <c r="K40" s="477">
        <f t="shared" si="5"/>
        <v>3377.692</v>
      </c>
      <c r="L40" s="477">
        <f t="shared" si="5"/>
        <v>1991.8</v>
      </c>
      <c r="M40" s="477">
        <f t="shared" si="5"/>
        <v>1175.3420000000003</v>
      </c>
      <c r="N40" s="477">
        <f t="shared" si="5"/>
        <v>1270.9310000000019</v>
      </c>
      <c r="O40" s="477"/>
      <c r="P40" s="477"/>
      <c r="Q40" s="477"/>
      <c r="R40" s="477"/>
      <c r="S40" s="477"/>
    </row>
    <row r="41" spans="1:19" ht="15" customHeight="1" x14ac:dyDescent="0.45">
      <c r="B41" s="2"/>
    </row>
    <row r="42" spans="1:19" ht="15" customHeight="1" x14ac:dyDescent="0.45">
      <c r="B42" s="2"/>
      <c r="D42" s="31"/>
      <c r="E42" s="25"/>
      <c r="F42" s="25"/>
      <c r="G42" s="25"/>
      <c r="H42" s="25"/>
      <c r="I42" s="25"/>
      <c r="J42" s="25"/>
      <c r="K42" s="25"/>
      <c r="L42" s="25"/>
      <c r="M42" s="25"/>
      <c r="N42" s="25"/>
      <c r="O42" s="25"/>
      <c r="P42" s="25"/>
      <c r="Q42" s="25"/>
      <c r="R42" s="25"/>
      <c r="S42" s="25"/>
    </row>
    <row r="44" spans="1:19" ht="15" customHeight="1" x14ac:dyDescent="0.45">
      <c r="B44" s="5"/>
      <c r="D44" s="485" t="s">
        <v>442</v>
      </c>
      <c r="E44" s="23"/>
      <c r="F44" s="23"/>
      <c r="G44" s="23"/>
      <c r="H44" s="23"/>
      <c r="I44" s="23"/>
      <c r="J44" s="23"/>
      <c r="K44" s="23"/>
      <c r="L44" s="23"/>
      <c r="M44" s="23"/>
      <c r="N44" s="23"/>
      <c r="O44" s="23"/>
      <c r="P44" s="23"/>
      <c r="Q44" s="23"/>
      <c r="R44" s="23"/>
      <c r="S44" s="23"/>
    </row>
    <row r="45" spans="1:19" ht="15" customHeight="1" x14ac:dyDescent="0.45">
      <c r="B45" s="2"/>
      <c r="D45" s="509" t="s">
        <v>549</v>
      </c>
      <c r="E45" s="25">
        <f>+IFERROR(Takeda!B79/$D$5,0)</f>
        <v>843.31799999999998</v>
      </c>
      <c r="F45" s="25">
        <f>+IFERROR(Takeda!C79/$D$5,0)</f>
        <v>1008.741</v>
      </c>
      <c r="G45" s="25">
        <f>+IFERROR(Takeda!D79/$D$5,0)</f>
        <v>0</v>
      </c>
      <c r="H45" s="25">
        <f>+IFERROR(Takeda!E79/$D$5,0)</f>
        <v>0</v>
      </c>
      <c r="I45" s="25">
        <f>+IFERROR(Takeda!F79/$D$5,0)</f>
        <v>0</v>
      </c>
      <c r="J45" s="25">
        <f>+IFERROR(Takeda!G79/$D$5,0)</f>
        <v>0</v>
      </c>
      <c r="K45" s="25">
        <f>+IFERROR(Takeda!H79/$D$5,0)</f>
        <v>0</v>
      </c>
      <c r="L45" s="25">
        <f>+IFERROR(Takeda!I79/$D$5,0)</f>
        <v>0</v>
      </c>
      <c r="M45" s="25">
        <f>+IFERROR(Takeda!J79/$D$5,0)</f>
        <v>0</v>
      </c>
      <c r="N45" s="25">
        <f>+IFERROR(Takeda!K79/$D$5,0)</f>
        <v>0</v>
      </c>
      <c r="O45" s="25"/>
      <c r="P45" s="25"/>
      <c r="Q45" s="25"/>
      <c r="R45" s="25"/>
      <c r="S45" s="25"/>
    </row>
    <row r="46" spans="1:19" ht="15" customHeight="1" x14ac:dyDescent="0.45">
      <c r="B46" s="2"/>
      <c r="D46" s="509" t="s">
        <v>550</v>
      </c>
      <c r="E46" s="25">
        <f>+IFERROR(Takeda!B80/$D$5,0)</f>
        <v>2881.0650000000001</v>
      </c>
      <c r="F46" s="25">
        <f>+IFERROR(Takeda!C80/$D$5,0)</f>
        <v>2631.7669999999998</v>
      </c>
      <c r="G46" s="25">
        <f>+IFERROR(Takeda!D80/$D$5,0)</f>
        <v>2571.627</v>
      </c>
      <c r="H46" s="25">
        <f>+IFERROR(Takeda!E80/$D$5,0)</f>
        <v>2437.8319999999999</v>
      </c>
      <c r="I46" s="25">
        <f>+IFERROR(Takeda!F80/$D$5,0)</f>
        <v>4036.5230000000001</v>
      </c>
      <c r="J46" s="25">
        <f>+IFERROR(Takeda!G80/$D$5,0)</f>
        <v>3957.549</v>
      </c>
      <c r="K46" s="25">
        <f>+IFERROR(Takeda!H80/$D$5,0)</f>
        <v>3818.5340000000001</v>
      </c>
      <c r="L46" s="25">
        <f>+IFERROR(Takeda!I80/$D$5,0)</f>
        <v>4469.4139999999998</v>
      </c>
      <c r="M46" s="25">
        <f>+IFERROR(Takeda!J80/$D$5,0)</f>
        <v>4583.55</v>
      </c>
      <c r="N46" s="25">
        <f>+IFERROR(Takeda!K80/$D$5,0)</f>
        <v>4337.3829999999998</v>
      </c>
      <c r="O46" s="25"/>
      <c r="P46" s="25"/>
      <c r="Q46" s="25"/>
      <c r="R46" s="25"/>
      <c r="S46" s="25"/>
    </row>
    <row r="47" spans="1:19" ht="15" customHeight="1" x14ac:dyDescent="0.45">
      <c r="B47" s="2"/>
      <c r="D47" s="509" t="s">
        <v>593</v>
      </c>
      <c r="E47" s="25">
        <f>+IFERROR(Takeda!B81/$D$5,0)</f>
        <v>0</v>
      </c>
      <c r="F47" s="25">
        <f>+IFERROR(Takeda!C81/$D$5,0)</f>
        <v>0</v>
      </c>
      <c r="G47" s="25">
        <f>+IFERROR(Takeda!D81/$D$5,0)</f>
        <v>0</v>
      </c>
      <c r="H47" s="25">
        <f>+IFERROR(Takeda!E81/$D$5,0)</f>
        <v>170.148</v>
      </c>
      <c r="I47" s="25">
        <f>+IFERROR(Takeda!F81/$D$5,0)</f>
        <v>153.98500000000001</v>
      </c>
      <c r="J47" s="25">
        <f>+IFERROR(Takeda!G81/$D$5,0)</f>
        <v>0</v>
      </c>
      <c r="K47" s="25">
        <f>+IFERROR(Takeda!H81/$D$5,0)</f>
        <v>0</v>
      </c>
      <c r="L47" s="25">
        <f>+IFERROR(Takeda!I81/$D$5,0)</f>
        <v>0</v>
      </c>
      <c r="M47" s="25">
        <f>+IFERROR(Takeda!J81/$D$5,0)</f>
        <v>0</v>
      </c>
      <c r="N47" s="25">
        <f>+IFERROR(Takeda!K81/$D$5,0)</f>
        <v>0</v>
      </c>
      <c r="O47" s="25"/>
      <c r="P47" s="25"/>
      <c r="Q47" s="25"/>
      <c r="R47" s="25"/>
      <c r="S47" s="25"/>
    </row>
    <row r="48" spans="1:19" ht="15" customHeight="1" x14ac:dyDescent="0.45">
      <c r="B48" s="2"/>
      <c r="D48" s="509" t="s">
        <v>554</v>
      </c>
      <c r="E48" s="25">
        <f>+IFERROR(Takeda!B82/$D$5,0)</f>
        <v>0</v>
      </c>
      <c r="F48" s="25">
        <f>+IFERROR(Takeda!C82/$D$5,0)</f>
        <v>122.61</v>
      </c>
      <c r="G48" s="25">
        <f>+IFERROR(Takeda!D82/$D$5,0)</f>
        <v>245.977</v>
      </c>
      <c r="H48" s="25">
        <f>+IFERROR(Takeda!E82/$D$5,0)</f>
        <v>9.2010000000000005</v>
      </c>
      <c r="I48" s="25">
        <f>+IFERROR(Takeda!F82/$D$5,0)</f>
        <v>51.85</v>
      </c>
      <c r="J48" s="25">
        <f>+IFERROR(Takeda!G82/$D$5,0)</f>
        <v>303.24700000000001</v>
      </c>
      <c r="K48" s="25">
        <f>+IFERROR(Takeda!H82/$D$5,0)</f>
        <v>334.03</v>
      </c>
      <c r="L48" s="25">
        <f>+IFERROR(Takeda!I82/$D$5,0)</f>
        <v>417.15899999999999</v>
      </c>
      <c r="M48" s="25">
        <f>+IFERROR(Takeda!J82/$D$5,0)</f>
        <v>447.69</v>
      </c>
      <c r="N48" s="25">
        <f>+IFERROR(Takeda!K82/$D$5,0)</f>
        <v>452.42599999999999</v>
      </c>
      <c r="O48" s="25"/>
      <c r="P48" s="25"/>
      <c r="Q48" s="25"/>
      <c r="R48" s="25"/>
      <c r="S48" s="25"/>
    </row>
    <row r="49" spans="2:19" ht="15" customHeight="1" x14ac:dyDescent="0.45">
      <c r="B49" s="2"/>
      <c r="D49" s="31" t="s">
        <v>556</v>
      </c>
      <c r="E49" s="25">
        <f>+Takeda!B111/$D$5</f>
        <v>1682.8820000000001</v>
      </c>
      <c r="F49" s="25">
        <f>+Takeda!C111/$D$5</f>
        <v>466.61</v>
      </c>
      <c r="G49" s="25">
        <f>+Takeda!D111/$D$5</f>
        <v>1267.77</v>
      </c>
      <c r="H49" s="25">
        <f>+Takeda!E111/$D$5</f>
        <v>399.78399999999999</v>
      </c>
      <c r="I49" s="25">
        <f>+Takeda!F111/$D$5</f>
        <v>1208.489</v>
      </c>
      <c r="J49" s="25">
        <f>+Takeda!G111/$D$5</f>
        <v>1039.075</v>
      </c>
      <c r="K49" s="25">
        <f>+Takeda!H111/$D$5</f>
        <v>906</v>
      </c>
      <c r="L49" s="25">
        <f>+Takeda!I111/$D$5</f>
        <v>1191.509</v>
      </c>
      <c r="M49" s="25">
        <f>+Takeda!J111/$D$5</f>
        <v>342.00599999999997</v>
      </c>
      <c r="N49" s="25">
        <f>+Takeda!K111/$D$5</f>
        <v>1652.598</v>
      </c>
      <c r="O49" s="25"/>
      <c r="P49" s="25"/>
      <c r="Q49" s="25"/>
      <c r="R49" s="25"/>
      <c r="S49" s="25"/>
    </row>
    <row r="50" spans="2:19" ht="15" customHeight="1" x14ac:dyDescent="0.45">
      <c r="B50" s="2"/>
      <c r="D50" s="31" t="s">
        <v>555</v>
      </c>
      <c r="E50" s="25">
        <f>+Takeda!B125/$D$5</f>
        <v>1516.27</v>
      </c>
      <c r="F50" s="25">
        <f>+Takeda!C125/$D$5</f>
        <v>-68.13</v>
      </c>
      <c r="G50" s="25">
        <f>+Takeda!D125/$D$5</f>
        <v>2978.16</v>
      </c>
      <c r="H50" s="25">
        <f>+Takeda!E125/$D$5</f>
        <v>2584.152</v>
      </c>
      <c r="I50" s="25">
        <f>+Takeda!F125/$D$5</f>
        <v>4932.5590000000002</v>
      </c>
      <c r="J50" s="25">
        <f>+Takeda!G125/$D$5</f>
        <v>6532.8339999999998</v>
      </c>
      <c r="K50" s="25">
        <f>+Takeda!H125/$D$5</f>
        <v>8846.2569999999996</v>
      </c>
      <c r="L50" s="25">
        <f>+Takeda!I125/$D$5</f>
        <v>7683.8469999999998</v>
      </c>
      <c r="M50" s="25">
        <f>+Takeda!J125/$D$5</f>
        <v>4823.8490000000002</v>
      </c>
      <c r="N50" s="25">
        <f>+Takeda!K125/$D$5</f>
        <v>6802.3109999999997</v>
      </c>
      <c r="O50" s="25"/>
      <c r="P50" s="25"/>
      <c r="Q50" s="25"/>
      <c r="R50" s="25"/>
      <c r="S50" s="25"/>
    </row>
    <row r="51" spans="2:19" ht="15" customHeight="1" x14ac:dyDescent="0.45">
      <c r="B51" s="2"/>
      <c r="D51" s="31"/>
      <c r="E51" s="25"/>
      <c r="F51" s="25"/>
      <c r="G51" s="25"/>
      <c r="H51" s="25"/>
      <c r="I51" s="25"/>
      <c r="J51" s="25"/>
      <c r="K51" s="25"/>
      <c r="L51" s="25"/>
      <c r="M51" s="25"/>
      <c r="N51" s="25"/>
      <c r="O51" s="25"/>
      <c r="P51" s="25"/>
      <c r="Q51" s="25"/>
      <c r="R51" s="25"/>
      <c r="S51" s="25"/>
    </row>
    <row r="52" spans="2:19" ht="15" customHeight="1" x14ac:dyDescent="0.45">
      <c r="B52" s="2"/>
      <c r="D52" s="31"/>
      <c r="E52" s="25"/>
      <c r="F52" s="25"/>
      <c r="G52" s="25"/>
      <c r="H52" s="25"/>
      <c r="I52" s="25"/>
      <c r="J52" s="25"/>
      <c r="K52" s="25"/>
      <c r="L52" s="25"/>
      <c r="M52" s="25"/>
      <c r="N52" s="25"/>
      <c r="O52" s="25"/>
      <c r="P52" s="25"/>
      <c r="Q52" s="25"/>
      <c r="R52" s="25"/>
      <c r="S52" s="25"/>
    </row>
    <row r="53" spans="2:19" ht="15" customHeight="1" x14ac:dyDescent="0.45">
      <c r="B53" s="2"/>
      <c r="D53" s="31"/>
      <c r="E53" s="25"/>
      <c r="F53" s="25"/>
      <c r="G53" s="25"/>
      <c r="H53" s="25"/>
      <c r="I53" s="25"/>
      <c r="J53" s="25"/>
      <c r="K53" s="25"/>
      <c r="L53" s="25"/>
      <c r="M53" s="25"/>
      <c r="N53" s="25"/>
      <c r="O53" s="25"/>
      <c r="P53" s="25"/>
      <c r="Q53" s="25"/>
      <c r="R53" s="25"/>
      <c r="S53" s="25"/>
    </row>
    <row r="54" spans="2:19" ht="15" customHeight="1" x14ac:dyDescent="0.45">
      <c r="B54" s="2"/>
      <c r="D54" s="31"/>
      <c r="E54" s="25"/>
      <c r="F54" s="25"/>
      <c r="G54" s="25"/>
      <c r="H54" s="25"/>
      <c r="I54" s="25"/>
      <c r="J54" s="25"/>
      <c r="K54" s="25"/>
      <c r="L54" s="25"/>
      <c r="M54" s="25"/>
      <c r="N54" s="25"/>
      <c r="O54" s="25"/>
      <c r="P54" s="25"/>
      <c r="Q54" s="25"/>
      <c r="R54" s="25"/>
      <c r="S54" s="25"/>
    </row>
    <row r="55" spans="2:19" ht="15" customHeight="1" x14ac:dyDescent="0.45">
      <c r="B55" s="2"/>
      <c r="D55" s="31"/>
      <c r="E55" s="25"/>
      <c r="F55" s="25"/>
      <c r="G55" s="25"/>
      <c r="H55" s="25"/>
      <c r="I55" s="25"/>
      <c r="J55" s="25"/>
      <c r="K55" s="25"/>
      <c r="L55" s="25"/>
      <c r="M55" s="25"/>
      <c r="N55" s="25"/>
      <c r="O55" s="25"/>
      <c r="P55" s="25"/>
      <c r="Q55" s="25"/>
      <c r="R55" s="25"/>
      <c r="S55" s="25"/>
    </row>
    <row r="56" spans="2:19" ht="15" customHeight="1" x14ac:dyDescent="0.45">
      <c r="B56" s="2"/>
      <c r="D56" s="31"/>
      <c r="E56" s="25"/>
      <c r="F56" s="25"/>
      <c r="G56" s="25"/>
      <c r="H56" s="25"/>
      <c r="I56" s="25"/>
      <c r="J56" s="25"/>
      <c r="K56" s="25"/>
      <c r="L56" s="25"/>
      <c r="M56" s="25"/>
      <c r="N56" s="25"/>
      <c r="O56" s="25"/>
      <c r="P56" s="25"/>
      <c r="Q56" s="25"/>
      <c r="R56" s="25"/>
      <c r="S56" s="25"/>
    </row>
    <row r="57" spans="2:19" ht="15" customHeight="1" x14ac:dyDescent="0.45">
      <c r="B57" s="2"/>
      <c r="D57" s="31"/>
      <c r="E57" s="25"/>
      <c r="F57" s="25"/>
      <c r="G57" s="25"/>
      <c r="H57" s="25"/>
      <c r="I57" s="25"/>
      <c r="J57" s="25"/>
      <c r="K57" s="25"/>
      <c r="L57" s="25"/>
      <c r="M57" s="25"/>
      <c r="N57" s="25"/>
      <c r="O57" s="25"/>
      <c r="P57" s="25"/>
      <c r="Q57" s="25"/>
      <c r="R57" s="25"/>
      <c r="S57" s="25"/>
    </row>
    <row r="58" spans="2:19" ht="15" customHeight="1" x14ac:dyDescent="0.45">
      <c r="B58" s="2"/>
      <c r="D58" s="31"/>
      <c r="E58" s="25"/>
      <c r="F58" s="25"/>
      <c r="G58" s="25"/>
      <c r="H58" s="25"/>
      <c r="I58" s="25"/>
      <c r="J58" s="25"/>
      <c r="K58" s="25"/>
      <c r="L58" s="25"/>
      <c r="M58" s="25"/>
      <c r="N58" s="25"/>
      <c r="O58" s="25"/>
      <c r="P58" s="25"/>
      <c r="Q58" s="25"/>
      <c r="R58" s="25"/>
      <c r="S58" s="25"/>
    </row>
    <row r="60" spans="2:19" ht="15" customHeight="1" x14ac:dyDescent="0.45">
      <c r="B60" s="3"/>
      <c r="D60" s="485" t="s">
        <v>448</v>
      </c>
      <c r="E60" s="23"/>
      <c r="F60" s="23"/>
      <c r="G60" s="23"/>
      <c r="H60" s="23"/>
      <c r="I60" s="23"/>
      <c r="J60" s="23"/>
      <c r="K60" s="23"/>
      <c r="L60" s="23"/>
      <c r="M60" s="23"/>
      <c r="N60" s="23"/>
      <c r="O60" s="23"/>
      <c r="P60" s="23"/>
      <c r="Q60" s="23"/>
      <c r="R60" s="23"/>
      <c r="S60" s="23"/>
    </row>
    <row r="61" spans="2:19" ht="15" customHeight="1" x14ac:dyDescent="0.45">
      <c r="D61" s="488"/>
      <c r="E61" s="23"/>
      <c r="F61" s="23"/>
      <c r="G61" s="23"/>
      <c r="H61" s="23"/>
      <c r="I61" s="23"/>
      <c r="J61" s="23"/>
      <c r="K61" s="23"/>
      <c r="L61" s="23"/>
      <c r="M61" s="23"/>
      <c r="N61" s="23"/>
      <c r="O61" s="23"/>
      <c r="P61" s="23"/>
      <c r="Q61" s="23"/>
      <c r="R61" s="23"/>
      <c r="S61" s="23"/>
    </row>
    <row r="62" spans="2:19" ht="15" customHeight="1" x14ac:dyDescent="0.45">
      <c r="B62" s="2" t="s">
        <v>278</v>
      </c>
      <c r="D62" s="510" t="s">
        <v>594</v>
      </c>
      <c r="E62" s="25">
        <f>+IFERROR(Takeda!B188/$D$5,0)</f>
        <v>3954.7640000000001</v>
      </c>
      <c r="F62" s="25">
        <f>+IFERROR(Takeda!C188/$D$5,0)</f>
        <v>4254.0240000000003</v>
      </c>
      <c r="G62" s="25">
        <f>+IFERROR(Takeda!D188/$D$5,0)</f>
        <v>4005.13</v>
      </c>
      <c r="H62" s="25">
        <f>+IFERROR(Takeda!E188/$D$5,0)</f>
        <v>4790.4970000000003</v>
      </c>
      <c r="I62" s="25">
        <f>+IFERROR(Takeda!F188/$D$5,0)</f>
        <v>12043.81</v>
      </c>
      <c r="J62" s="25">
        <f>+IFERROR(Takeda!G188/$D$5,0)</f>
        <v>10797.405000000001</v>
      </c>
      <c r="K62" s="25">
        <f>+IFERROR(Takeda!H188/$D$5,0)</f>
        <v>11406.407999999999</v>
      </c>
      <c r="L62" s="25">
        <f>+IFERROR(Takeda!I188/$D$5,0)</f>
        <v>11753.039000000001</v>
      </c>
      <c r="M62" s="25">
        <f>+IFERROR(Takeda!J188/$D$5,0)</f>
        <v>11818.816999999999</v>
      </c>
      <c r="N62" s="25">
        <f>+IFERROR(Takeda!K188/$D$5,0)</f>
        <v>12396.45</v>
      </c>
      <c r="O62" s="25"/>
      <c r="P62" s="25"/>
      <c r="Q62" s="25"/>
      <c r="R62" s="25"/>
      <c r="S62" s="25"/>
    </row>
    <row r="63" spans="2:19" ht="15" customHeight="1" x14ac:dyDescent="0.45">
      <c r="B63" s="2" t="s">
        <v>280</v>
      </c>
      <c r="D63" s="509" t="s">
        <v>595</v>
      </c>
      <c r="E63" s="25">
        <f>+IFERROR(Takeda!B189/$D$5,0)</f>
        <v>2662.136</v>
      </c>
      <c r="F63" s="25">
        <f>+IFERROR(Takeda!C189/$D$5,0)</f>
        <v>2803.9470000000001</v>
      </c>
      <c r="G63" s="25">
        <f>+IFERROR(Takeda!D189/$D$5,0)</f>
        <v>2313.518</v>
      </c>
      <c r="H63" s="25">
        <f>+IFERROR(Takeda!E189/$D$5,0)</f>
        <v>2251.703</v>
      </c>
      <c r="I63" s="25">
        <f>+IFERROR(Takeda!F189/$D$5,0)</f>
        <v>3234.9760000000001</v>
      </c>
      <c r="J63" s="25">
        <f>+IFERROR(Takeda!G189/$D$5,0)</f>
        <v>826.40300000000002</v>
      </c>
      <c r="K63" s="25">
        <f>+IFERROR(Takeda!H189/$D$5,0)</f>
        <v>798.11199999999997</v>
      </c>
      <c r="L63" s="25">
        <f>+IFERROR(Takeda!I189/$D$5,0)</f>
        <v>669.99599999999998</v>
      </c>
      <c r="M63" s="25">
        <f>+IFERROR(Takeda!J189/$D$5,0)</f>
        <v>663.06100000000004</v>
      </c>
      <c r="N63" s="25">
        <f>+IFERROR(Takeda!K189/$D$5,0)</f>
        <v>77.968999999999994</v>
      </c>
      <c r="O63" s="25"/>
      <c r="P63" s="25"/>
      <c r="Q63" s="25"/>
      <c r="R63" s="25"/>
      <c r="S63" s="25"/>
    </row>
    <row r="64" spans="2:19" ht="15" customHeight="1" x14ac:dyDescent="0.45">
      <c r="B64" s="2" t="s">
        <v>279</v>
      </c>
      <c r="D64" s="509" t="s">
        <v>453</v>
      </c>
      <c r="E64" s="25">
        <f>+IFERROR(Takeda!B190/$D$5,0)</f>
        <v>6266.3329999999996</v>
      </c>
      <c r="F64" s="25">
        <f>+IFERROR(Takeda!C190/$D$5,0)</f>
        <v>6319.0360000000001</v>
      </c>
      <c r="G64" s="25">
        <f>+IFERROR(Takeda!D190/$D$5,0)</f>
        <v>7972.2550000000001</v>
      </c>
      <c r="H64" s="25">
        <f>+IFERROR(Takeda!E190/$D$5,0)</f>
        <v>8386.5660000000007</v>
      </c>
      <c r="I64" s="25">
        <f>+IFERROR(Takeda!F190/$D$5,0)</f>
        <v>33652.089</v>
      </c>
      <c r="J64" s="25">
        <f>+IFERROR(Takeda!G190/$D$5,0)</f>
        <v>30296.173999999999</v>
      </c>
      <c r="K64" s="25">
        <f>+IFERROR(Takeda!H190/$D$5,0)</f>
        <v>31830.639999999999</v>
      </c>
      <c r="L64" s="25">
        <f>+IFERROR(Takeda!I190/$D$5,0)</f>
        <v>33284.455000000002</v>
      </c>
      <c r="M64" s="25">
        <f>+IFERROR(Takeda!J190/$D$5,0)</f>
        <v>32804.453000000001</v>
      </c>
      <c r="N64" s="25">
        <f>+IFERROR(Takeda!K190/$D$5,0)</f>
        <v>33925.760000000002</v>
      </c>
      <c r="O64" s="25"/>
      <c r="P64" s="25"/>
      <c r="Q64" s="25"/>
      <c r="R64" s="25"/>
      <c r="S64" s="25"/>
    </row>
    <row r="65" spans="1:19" ht="15" customHeight="1" x14ac:dyDescent="0.45">
      <c r="B65" s="2" t="s">
        <v>279</v>
      </c>
      <c r="D65" s="509" t="s">
        <v>596</v>
      </c>
      <c r="E65" s="25">
        <f>+IFERROR(Takeda!B191/$D$5,0)</f>
        <v>6110.1540000000005</v>
      </c>
      <c r="F65" s="25">
        <f>+IFERROR(Takeda!C191/$D$5,0)</f>
        <v>5567.24</v>
      </c>
      <c r="G65" s="25">
        <f>+IFERROR(Takeda!D191/$D$5,0)</f>
        <v>7937.009</v>
      </c>
      <c r="H65" s="25">
        <f>+IFERROR(Takeda!E191/$D$5,0)</f>
        <v>8121.5569999999998</v>
      </c>
      <c r="I65" s="25">
        <f>+IFERROR(Takeda!F191/$D$5,0)</f>
        <v>35326.792999999998</v>
      </c>
      <c r="J65" s="25">
        <f>+IFERROR(Takeda!G191/$D$5,0)</f>
        <v>29756.906999999999</v>
      </c>
      <c r="K65" s="25">
        <f>+IFERROR(Takeda!H191/$D$5,0)</f>
        <v>28958.256000000001</v>
      </c>
      <c r="L65" s="25">
        <f>+IFERROR(Takeda!I191/$D$5,0)</f>
        <v>26719.79</v>
      </c>
      <c r="M65" s="25">
        <f>+IFERROR(Takeda!J191/$D$5,0)</f>
        <v>26294.858</v>
      </c>
      <c r="N65" s="25">
        <f>+IFERROR(Takeda!K191/$D$5,0)</f>
        <v>24279.827000000001</v>
      </c>
      <c r="O65" s="25"/>
      <c r="P65" s="25"/>
      <c r="Q65" s="25"/>
      <c r="R65" s="25"/>
      <c r="S65" s="25"/>
    </row>
    <row r="66" spans="1:19" ht="15" customHeight="1" x14ac:dyDescent="0.45">
      <c r="B66" s="2" t="s">
        <v>281</v>
      </c>
      <c r="D66" s="509" t="s">
        <v>597</v>
      </c>
      <c r="E66" s="25">
        <f>+IFERROR(Takeda!B192/$D$5,0)</f>
        <v>1213.451</v>
      </c>
      <c r="F66" s="25">
        <f>+IFERROR(Takeda!C192/$D$5,0)</f>
        <v>1262.606</v>
      </c>
      <c r="G66" s="25">
        <f>+IFERROR(Takeda!D192/$D$5,0)</f>
        <v>589.39599999999996</v>
      </c>
      <c r="H66" s="25">
        <f>+IFERROR(Takeda!E192/$D$5,0)</f>
        <v>394.46499999999997</v>
      </c>
      <c r="I66" s="25">
        <f>+IFERROR(Takeda!F192/$D$5,0)</f>
        <v>1213.604</v>
      </c>
      <c r="J66" s="25">
        <f>+IFERROR(Takeda!G192/$D$5,0)</f>
        <v>1998.0820000000001</v>
      </c>
      <c r="K66" s="25">
        <f>+IFERROR(Takeda!H192/$D$5,0)</f>
        <v>2693.6570000000002</v>
      </c>
      <c r="L66" s="25">
        <f>+IFERROR(Takeda!I192/$D$5,0)</f>
        <v>2550.06</v>
      </c>
      <c r="M66" s="25">
        <f>+IFERROR(Takeda!J192/$D$5,0)</f>
        <v>2032.5229999999999</v>
      </c>
      <c r="N66" s="25">
        <f>+IFERROR(Takeda!K192/$D$5,0)</f>
        <v>2311.623</v>
      </c>
      <c r="O66" s="25"/>
      <c r="P66" s="25"/>
      <c r="Q66" s="25"/>
      <c r="R66" s="25"/>
      <c r="S66" s="25"/>
    </row>
    <row r="67" spans="1:19" ht="15" customHeight="1" x14ac:dyDescent="0.45">
      <c r="B67" s="2" t="s">
        <v>278</v>
      </c>
      <c r="D67" s="509" t="s">
        <v>598</v>
      </c>
      <c r="E67" s="25">
        <f>+IFERROR(Takeda!B193/$D$5,0)</f>
        <v>0</v>
      </c>
      <c r="F67" s="25">
        <f>+IFERROR(Takeda!C193/$D$5,0)</f>
        <v>8.0000000000000002E-3</v>
      </c>
      <c r="G67" s="25">
        <f>+IFERROR(Takeda!D193/$D$5,0)</f>
        <v>433.06900000000002</v>
      </c>
      <c r="H67" s="25">
        <f>+IFERROR(Takeda!E193/$D$5,0)</f>
        <v>710.47</v>
      </c>
      <c r="I67" s="25">
        <f>+IFERROR(Takeda!F193/$D$5,0)</f>
        <v>715.34299999999996</v>
      </c>
      <c r="J67" s="25">
        <f>+IFERROR(Takeda!G193/$D$5,0)</f>
        <v>2917.2</v>
      </c>
      <c r="K67" s="25">
        <f>+IFERROR(Takeda!H193/$D$5,0)</f>
        <v>2367.0569999999998</v>
      </c>
      <c r="L67" s="25">
        <f>+IFERROR(Takeda!I193/$D$5,0)</f>
        <v>2425.357</v>
      </c>
      <c r="M67" s="25">
        <f>+IFERROR(Takeda!J193/$D$5,0)</f>
        <v>2081.422</v>
      </c>
      <c r="N67" s="25">
        <f>+IFERROR(Takeda!K193/$D$5,0)</f>
        <v>2897.7919999999999</v>
      </c>
      <c r="O67" s="25"/>
      <c r="P67" s="25"/>
      <c r="Q67" s="25"/>
      <c r="R67" s="25"/>
      <c r="S67" s="25"/>
    </row>
    <row r="68" spans="1:19" s="29" customFormat="1" ht="15" customHeight="1" x14ac:dyDescent="0.45">
      <c r="A68" s="1"/>
      <c r="B68" s="2"/>
      <c r="C68" s="1"/>
      <c r="D68" s="478" t="s">
        <v>460</v>
      </c>
      <c r="E68" s="477">
        <f t="shared" ref="E68:N68" si="6">SUM(E62:E67)</f>
        <v>20206.838000000003</v>
      </c>
      <c r="F68" s="477">
        <f t="shared" si="6"/>
        <v>20206.861000000004</v>
      </c>
      <c r="G68" s="477">
        <f t="shared" si="6"/>
        <v>23250.377</v>
      </c>
      <c r="H68" s="477">
        <f t="shared" si="6"/>
        <v>24655.258000000002</v>
      </c>
      <c r="I68" s="477">
        <f t="shared" si="6"/>
        <v>86186.615000000005</v>
      </c>
      <c r="J68" s="477">
        <f t="shared" si="6"/>
        <v>76592.170999999988</v>
      </c>
      <c r="K68" s="477">
        <f t="shared" si="6"/>
        <v>78054.13</v>
      </c>
      <c r="L68" s="477">
        <f t="shared" si="6"/>
        <v>77402.697</v>
      </c>
      <c r="M68" s="477">
        <f t="shared" si="6"/>
        <v>75695.134000000005</v>
      </c>
      <c r="N68" s="477">
        <f t="shared" si="6"/>
        <v>75889.421000000017</v>
      </c>
      <c r="O68" s="477"/>
      <c r="P68" s="477"/>
      <c r="Q68" s="477"/>
      <c r="R68" s="477"/>
      <c r="S68" s="477"/>
    </row>
    <row r="69" spans="1:19" ht="15" customHeight="1" x14ac:dyDescent="0.45">
      <c r="B69" s="2"/>
      <c r="D69" s="31"/>
      <c r="E69" s="25"/>
      <c r="F69" s="25"/>
      <c r="G69" s="25"/>
      <c r="H69" s="25"/>
      <c r="I69" s="25"/>
      <c r="J69" s="25"/>
      <c r="K69" s="25"/>
      <c r="L69" s="25"/>
      <c r="M69" s="25"/>
      <c r="N69" s="25"/>
      <c r="O69" s="25"/>
      <c r="P69" s="25"/>
      <c r="Q69" s="25"/>
      <c r="R69" s="25"/>
      <c r="S69" s="25"/>
    </row>
    <row r="70" spans="1:19" ht="15" customHeight="1" x14ac:dyDescent="0.45">
      <c r="B70" s="2" t="s">
        <v>285</v>
      </c>
      <c r="D70" s="509" t="s">
        <v>599</v>
      </c>
      <c r="E70" s="25">
        <f>+IFERROR(Takeda!B179/$D$5,0)</f>
        <v>4293.3140000000003</v>
      </c>
      <c r="F70" s="25">
        <f>+IFERROR(Takeda!C179/$D$5,0)</f>
        <v>4545.4650000000001</v>
      </c>
      <c r="G70" s="25">
        <f>+IFERROR(Takeda!D179/$D$5,0)</f>
        <v>3255.14</v>
      </c>
      <c r="H70" s="25">
        <f>+IFERROR(Takeda!E179/$D$5,0)</f>
        <v>2371.2550000000001</v>
      </c>
      <c r="I70" s="25">
        <f>+IFERROR(Takeda!F179/$D$5,0)</f>
        <v>4659.6189999999997</v>
      </c>
      <c r="J70" s="25">
        <f>+IFERROR(Takeda!G179/$D$5,0)</f>
        <v>4892.2709999999997</v>
      </c>
      <c r="K70" s="25">
        <f>+IFERROR(Takeda!H179/$D$5,0)</f>
        <v>5531.7359999999999</v>
      </c>
      <c r="L70" s="25">
        <f>+IFERROR(Takeda!I179/$D$5,0)</f>
        <v>4861.393</v>
      </c>
      <c r="M70" s="25">
        <f>+IFERROR(Takeda!J179/$D$5,0)</f>
        <v>1850.7</v>
      </c>
      <c r="N70" s="25">
        <f>+IFERROR(Takeda!K179/$D$5,0)</f>
        <v>3035.723</v>
      </c>
      <c r="O70" s="25"/>
      <c r="P70" s="25"/>
      <c r="Q70" s="25"/>
      <c r="R70" s="25"/>
      <c r="S70" s="25"/>
    </row>
    <row r="71" spans="1:19" ht="15" customHeight="1" x14ac:dyDescent="0.45">
      <c r="B71" s="2" t="s">
        <v>285</v>
      </c>
      <c r="D71" s="509" t="s">
        <v>600</v>
      </c>
      <c r="E71" s="25">
        <f>+IFERROR(Takeda!B180/$D$5,0)</f>
        <v>0</v>
      </c>
      <c r="F71" s="25">
        <f>+IFERROR(Takeda!C180/$D$5,0)</f>
        <v>0</v>
      </c>
      <c r="G71" s="25">
        <f>+IFERROR(Takeda!D180/$D$5,0)</f>
        <v>193.917</v>
      </c>
      <c r="H71" s="25">
        <f>+IFERROR(Takeda!E180/$D$5,0)</f>
        <v>98.807000000000002</v>
      </c>
      <c r="I71" s="25">
        <f>+IFERROR(Takeda!F180/$D$5,0)</f>
        <v>165.17099999999999</v>
      </c>
      <c r="J71" s="25">
        <f>+IFERROR(Takeda!G180/$D$5,0)</f>
        <v>0</v>
      </c>
      <c r="K71" s="25">
        <f>+IFERROR(Takeda!H180/$D$5,0)</f>
        <v>0</v>
      </c>
      <c r="L71" s="25">
        <f>+IFERROR(Takeda!I180/$D$5,0)</f>
        <v>0</v>
      </c>
      <c r="M71" s="25">
        <f>+IFERROR(Takeda!J180/$D$5,0)</f>
        <v>0</v>
      </c>
      <c r="N71" s="25">
        <f>+IFERROR(Takeda!K180/$D$5,0)</f>
        <v>0</v>
      </c>
      <c r="O71" s="25"/>
      <c r="P71" s="25"/>
      <c r="Q71" s="25"/>
      <c r="R71" s="25"/>
      <c r="S71" s="25"/>
    </row>
    <row r="72" spans="1:19" ht="15" customHeight="1" x14ac:dyDescent="0.45">
      <c r="B72" s="2" t="s">
        <v>283</v>
      </c>
      <c r="D72" s="509" t="s">
        <v>602</v>
      </c>
      <c r="E72" s="25">
        <f>+IFERROR(Takeda!B182/$D$5,0)</f>
        <v>3703.4110000000001</v>
      </c>
      <c r="F72" s="25">
        <f>+IFERROR(Takeda!C182/$D$5,0)</f>
        <v>3985.6529999999998</v>
      </c>
      <c r="G72" s="25">
        <f>+IFERROR(Takeda!D182/$D$5,0)</f>
        <v>3783.2049999999999</v>
      </c>
      <c r="H72" s="25">
        <f>+IFERROR(Takeda!E182/$D$5,0)</f>
        <v>4055.9540000000002</v>
      </c>
      <c r="I72" s="25">
        <f>+IFERROR(Takeda!F182/$D$5,0)</f>
        <v>6729.4340000000002</v>
      </c>
      <c r="J72" s="25">
        <f>+IFERROR(Takeda!G182/$D$5,0)</f>
        <v>6269.2929999999997</v>
      </c>
      <c r="K72" s="25">
        <f>+IFERROR(Takeda!H182/$D$5,0)</f>
        <v>5464.3329999999996</v>
      </c>
      <c r="L72" s="25">
        <f>+IFERROR(Takeda!I182/$D$5,0)</f>
        <v>5018.7489999999998</v>
      </c>
      <c r="M72" s="25">
        <f>+IFERROR(Takeda!J182/$D$5,0)</f>
        <v>4596.7939999999999</v>
      </c>
      <c r="N72" s="25">
        <f>+IFERROR(Takeda!K182/$D$5,0)</f>
        <v>4370.6819999999998</v>
      </c>
      <c r="O72" s="25"/>
      <c r="P72" s="25"/>
      <c r="Q72" s="25"/>
      <c r="R72" s="25"/>
      <c r="S72" s="25"/>
    </row>
    <row r="73" spans="1:19" ht="15" customHeight="1" x14ac:dyDescent="0.45">
      <c r="B73" s="2" t="s">
        <v>284</v>
      </c>
      <c r="D73" s="509" t="s">
        <v>603</v>
      </c>
      <c r="E73" s="25">
        <f>+IFERROR(Takeda!B183/$D$5,0)</f>
        <v>75.441999999999993</v>
      </c>
      <c r="F73" s="25">
        <f>+IFERROR(Takeda!C183/$D$5,0)</f>
        <v>53.359000000000002</v>
      </c>
      <c r="G73" s="25">
        <f>+IFERROR(Takeda!D183/$D$5,0)</f>
        <v>51.844999999999999</v>
      </c>
      <c r="H73" s="25">
        <f>+IFERROR(Takeda!E183/$D$5,0)</f>
        <v>50.064</v>
      </c>
      <c r="I73" s="25">
        <f>+IFERROR(Takeda!F183/$D$5,0)</f>
        <v>257.613</v>
      </c>
      <c r="J73" s="25">
        <f>+IFERROR(Takeda!G183/$D$5,0)</f>
        <v>296.73599999999999</v>
      </c>
      <c r="K73" s="25">
        <f>+IFERROR(Takeda!H183/$D$5,0)</f>
        <v>310.07400000000001</v>
      </c>
      <c r="L73" s="25">
        <f>+IFERROR(Takeda!I183/$D$5,0)</f>
        <v>514.80399999999997</v>
      </c>
      <c r="M73" s="25">
        <f>+IFERROR(Takeda!J183/$D$5,0)</f>
        <v>172.31800000000001</v>
      </c>
      <c r="N73" s="25">
        <f>+IFERROR(Takeda!K183/$D$5,0)</f>
        <v>145.27199999999999</v>
      </c>
      <c r="O73" s="25"/>
      <c r="P73" s="25"/>
      <c r="Q73" s="25"/>
      <c r="R73" s="25"/>
      <c r="S73" s="25"/>
    </row>
    <row r="74" spans="1:19" ht="15" customHeight="1" x14ac:dyDescent="0.45">
      <c r="B74" s="2" t="s">
        <v>136</v>
      </c>
      <c r="D74" s="509" t="s">
        <v>605</v>
      </c>
      <c r="E74" s="25">
        <f>+IFERROR(Takeda!B185/$D$5,0)</f>
        <v>2056.8420000000001</v>
      </c>
      <c r="F74" s="25">
        <f>+IFERROR(Takeda!C185/$D$5,0)</f>
        <v>1812.037</v>
      </c>
      <c r="G74" s="25">
        <f>+IFERROR(Takeda!D185/$D$5,0)</f>
        <v>1664.35</v>
      </c>
      <c r="H74" s="25">
        <f>+IFERROR(Takeda!E185/$D$5,0)</f>
        <v>1778.3879999999999</v>
      </c>
      <c r="I74" s="25">
        <f>+IFERROR(Takeda!F185/$D$5,0)</f>
        <v>6570.6170000000002</v>
      </c>
      <c r="J74" s="25">
        <f>+IFERROR(Takeda!G185/$D$5,0)</f>
        <v>5856.3879999999999</v>
      </c>
      <c r="K74" s="25">
        <f>+IFERROR(Takeda!H185/$D$5,0)</f>
        <v>6196.0190000000002</v>
      </c>
      <c r="L74" s="25">
        <f>+IFERROR(Takeda!I185/$D$5,0)</f>
        <v>6579.5240000000003</v>
      </c>
      <c r="M74" s="25">
        <f>+IFERROR(Takeda!J185/$D$5,0)</f>
        <v>7506.7979999999998</v>
      </c>
      <c r="N74" s="25">
        <f>+IFERROR(Takeda!K185/$D$5,0)</f>
        <v>7657.5739999999996</v>
      </c>
      <c r="O74" s="25"/>
      <c r="P74" s="25"/>
      <c r="Q74" s="25"/>
      <c r="R74" s="25"/>
      <c r="S74" s="25"/>
    </row>
    <row r="75" spans="1:19" ht="15" customHeight="1" x14ac:dyDescent="0.45">
      <c r="B75" s="2" t="s">
        <v>284</v>
      </c>
      <c r="D75" s="509" t="s">
        <v>284</v>
      </c>
      <c r="E75" s="25">
        <f>+IFERROR(Takeda!B186/$D$5,0)</f>
        <v>1731.9</v>
      </c>
      <c r="F75" s="25">
        <f>+IFERROR(Takeda!C186/$D$5,0)</f>
        <v>3067.2370000000001</v>
      </c>
      <c r="G75" s="25">
        <f>+IFERROR(Takeda!D186/$D$5,0)</f>
        <v>411.923</v>
      </c>
      <c r="H75" s="25">
        <f>+IFERROR(Takeda!E186/$D$5,0)</f>
        <v>12900.973</v>
      </c>
      <c r="I75" s="25">
        <f>+IFERROR(Takeda!F186/$D$5,0)</f>
        <v>2283.0189999999998</v>
      </c>
      <c r="J75" s="25">
        <f>+IFERROR(Takeda!G186/$D$5,0)</f>
        <v>3411.3180000000002</v>
      </c>
      <c r="K75" s="25">
        <f>+IFERROR(Takeda!H186/$D$5,0)</f>
        <v>1421.3150000000001</v>
      </c>
      <c r="L75" s="25">
        <f>+IFERROR(Takeda!I186/$D$5,0)</f>
        <v>1444.97</v>
      </c>
      <c r="M75" s="25">
        <f>+IFERROR(Takeda!J186/$D$5,0)</f>
        <v>1461.722</v>
      </c>
      <c r="N75" s="25">
        <f>+IFERROR(Takeda!K186/$D$5,0)</f>
        <v>1712.0429999999999</v>
      </c>
      <c r="O75" s="25"/>
      <c r="P75" s="25"/>
      <c r="Q75" s="25"/>
      <c r="R75" s="25"/>
      <c r="S75" s="25"/>
    </row>
    <row r="76" spans="1:19" s="29" customFormat="1" ht="15" customHeight="1" x14ac:dyDescent="0.45">
      <c r="A76" s="1"/>
      <c r="B76" s="2"/>
      <c r="C76" s="1"/>
      <c r="D76" s="478" t="s">
        <v>466</v>
      </c>
      <c r="E76" s="477">
        <f t="shared" ref="E76:N76" si="7">SUM(E70:E75)</f>
        <v>11860.909</v>
      </c>
      <c r="F76" s="477">
        <f t="shared" si="7"/>
        <v>13463.751</v>
      </c>
      <c r="G76" s="477">
        <f t="shared" si="7"/>
        <v>9360.380000000001</v>
      </c>
      <c r="H76" s="477">
        <f t="shared" si="7"/>
        <v>21255.440999999999</v>
      </c>
      <c r="I76" s="477">
        <f t="shared" si="7"/>
        <v>20665.472999999998</v>
      </c>
      <c r="J76" s="477">
        <f t="shared" si="7"/>
        <v>20726.005999999998</v>
      </c>
      <c r="K76" s="477">
        <f t="shared" si="7"/>
        <v>18923.476999999999</v>
      </c>
      <c r="L76" s="477">
        <f t="shared" si="7"/>
        <v>18419.440000000002</v>
      </c>
      <c r="M76" s="477">
        <f t="shared" si="7"/>
        <v>15588.332</v>
      </c>
      <c r="N76" s="477">
        <f t="shared" si="7"/>
        <v>16921.294000000002</v>
      </c>
      <c r="O76" s="477"/>
      <c r="P76" s="477"/>
      <c r="Q76" s="477"/>
      <c r="R76" s="477"/>
      <c r="S76" s="477"/>
    </row>
    <row r="77" spans="1:19" ht="15" customHeight="1" x14ac:dyDescent="0.45">
      <c r="B77" s="2"/>
      <c r="D77" s="479"/>
      <c r="E77" s="23"/>
      <c r="F77" s="23"/>
      <c r="G77" s="23"/>
      <c r="H77" s="23"/>
      <c r="I77" s="23"/>
      <c r="J77" s="23"/>
      <c r="K77" s="23"/>
      <c r="L77" s="23"/>
      <c r="M77" s="23"/>
      <c r="N77" s="23"/>
      <c r="O77" s="23"/>
      <c r="P77" s="23"/>
      <c r="Q77" s="23"/>
      <c r="R77" s="23"/>
      <c r="S77" s="23"/>
    </row>
    <row r="78" spans="1:19" ht="15" customHeight="1" x14ac:dyDescent="0.45">
      <c r="B78" s="2" t="s">
        <v>287</v>
      </c>
      <c r="D78" s="478" t="s">
        <v>467</v>
      </c>
      <c r="E78" s="477">
        <f t="shared" ref="E78:N78" si="8">SUM(E68,E76)</f>
        <v>32067.747000000003</v>
      </c>
      <c r="F78" s="477">
        <f t="shared" si="8"/>
        <v>33670.612000000008</v>
      </c>
      <c r="G78" s="477">
        <f t="shared" si="8"/>
        <v>32610.757000000001</v>
      </c>
      <c r="H78" s="477">
        <f t="shared" si="8"/>
        <v>45910.699000000001</v>
      </c>
      <c r="I78" s="477">
        <f t="shared" si="8"/>
        <v>106852.088</v>
      </c>
      <c r="J78" s="477">
        <f t="shared" si="8"/>
        <v>97318.176999999981</v>
      </c>
      <c r="K78" s="477">
        <f t="shared" si="8"/>
        <v>96977.607000000004</v>
      </c>
      <c r="L78" s="477">
        <f t="shared" si="8"/>
        <v>95822.137000000002</v>
      </c>
      <c r="M78" s="477">
        <f t="shared" si="8"/>
        <v>91283.466</v>
      </c>
      <c r="N78" s="477">
        <f t="shared" si="8"/>
        <v>92810.715000000026</v>
      </c>
      <c r="O78" s="477"/>
      <c r="P78" s="477"/>
      <c r="Q78" s="477"/>
      <c r="R78" s="477"/>
      <c r="S78" s="477"/>
    </row>
    <row r="79" spans="1:19" ht="15" customHeight="1" x14ac:dyDescent="0.45">
      <c r="B79" s="2"/>
      <c r="D79" s="31"/>
      <c r="E79" s="25"/>
      <c r="F79" s="25"/>
      <c r="G79" s="25"/>
      <c r="H79" s="25"/>
      <c r="I79" s="25"/>
      <c r="J79" s="25"/>
      <c r="K79" s="25"/>
      <c r="L79" s="25"/>
      <c r="M79" s="25"/>
      <c r="N79" s="25"/>
      <c r="O79" s="25"/>
      <c r="P79" s="25"/>
      <c r="Q79" s="25"/>
      <c r="R79" s="25"/>
      <c r="S79" s="25"/>
    </row>
    <row r="80" spans="1:19" ht="15" customHeight="1" x14ac:dyDescent="0.45">
      <c r="B80" s="2" t="s">
        <v>289</v>
      </c>
      <c r="D80" s="509" t="s">
        <v>608</v>
      </c>
      <c r="E80" s="25">
        <f>+IFERROR(Takeda!B209/$D$5,0)</f>
        <v>494.33199999999999</v>
      </c>
      <c r="F80" s="25">
        <f>+IFERROR(Takeda!C209/$D$5,0)</f>
        <v>528.28800000000001</v>
      </c>
      <c r="G80" s="25">
        <f>+IFERROR(Takeda!D209/$D$5,0)</f>
        <v>489.71300000000002</v>
      </c>
      <c r="H80" s="25">
        <f>+IFERROR(Takeda!E209/$D$5,0)</f>
        <v>620.46699999999998</v>
      </c>
      <c r="I80" s="25">
        <f>+IFERROR(Takeda!F209/$D$5,0)</f>
        <v>13677.565000000001</v>
      </c>
      <c r="J80" s="25">
        <f>+IFERROR(Takeda!G209/$D$5,0)</f>
        <v>13213.334000000001</v>
      </c>
      <c r="K80" s="25">
        <f>+IFERROR(Takeda!H209/$D$5,0)</f>
        <v>12801.491</v>
      </c>
      <c r="L80" s="25">
        <f>+IFERROR(Takeda!I209/$D$5,0)</f>
        <v>11894.366</v>
      </c>
      <c r="M80" s="25">
        <f>+IFERROR(Takeda!J209/$D$5,0)</f>
        <v>10760.123</v>
      </c>
      <c r="N80" s="25">
        <f>+IFERROR(Takeda!K209/$D$5,0)</f>
        <v>10411.348</v>
      </c>
      <c r="O80" s="25"/>
      <c r="P80" s="25"/>
      <c r="Q80" s="25"/>
      <c r="R80" s="25"/>
      <c r="S80" s="25"/>
    </row>
    <row r="81" spans="1:19" ht="15" customHeight="1" x14ac:dyDescent="0.45">
      <c r="B81" s="2" t="s">
        <v>289</v>
      </c>
      <c r="D81" s="509" t="s">
        <v>609</v>
      </c>
      <c r="E81" s="25">
        <f>+IFERROR(Takeda!B210/$D$5,0)</f>
        <v>495.84</v>
      </c>
      <c r="F81" s="25">
        <f>+IFERROR(Takeda!C210/$D$5,0)</f>
        <v>566.52700000000004</v>
      </c>
      <c r="G81" s="25">
        <f>+IFERROR(Takeda!D210/$D$5,0)</f>
        <v>553.31500000000005</v>
      </c>
      <c r="H81" s="25">
        <f>+IFERROR(Takeda!E210/$D$5,0)</f>
        <v>693.35500000000002</v>
      </c>
      <c r="I81" s="25">
        <f>+IFERROR(Takeda!F210/$D$5,0)</f>
        <v>13723.77</v>
      </c>
      <c r="J81" s="25">
        <f>+IFERROR(Takeda!G210/$D$5,0)</f>
        <v>13296.591</v>
      </c>
      <c r="K81" s="25">
        <f>+IFERROR(Takeda!H210/$D$5,0)</f>
        <v>12964.15</v>
      </c>
      <c r="L81" s="25">
        <f>+IFERROR(Takeda!I210/$D$5,0)</f>
        <v>12147.688</v>
      </c>
      <c r="M81" s="25">
        <f>+IFERROR(Takeda!J210/$D$5,0)</f>
        <v>11104.098</v>
      </c>
      <c r="N81" s="25">
        <f>+IFERROR(Takeda!K210/$D$5,0)</f>
        <v>10788.191000000001</v>
      </c>
      <c r="O81" s="25"/>
      <c r="P81" s="25"/>
      <c r="Q81" s="25"/>
      <c r="R81" s="25"/>
      <c r="S81" s="25"/>
    </row>
    <row r="82" spans="1:19" ht="15" customHeight="1" x14ac:dyDescent="0.45">
      <c r="B82" s="2" t="s">
        <v>289</v>
      </c>
      <c r="D82" s="509" t="s">
        <v>610</v>
      </c>
      <c r="E82" s="25">
        <f>+IFERROR(Takeda!B211/$D$5,0)</f>
        <v>12104.691999999999</v>
      </c>
      <c r="F82" s="25">
        <f>+IFERROR(Takeda!C211/$D$5,0)</f>
        <v>12575.535</v>
      </c>
      <c r="G82" s="25">
        <f>+IFERROR(Takeda!D211/$D$5,0)</f>
        <v>11902.833000000001</v>
      </c>
      <c r="H82" s="25">
        <f>+IFERROR(Takeda!E211/$D$5,0)</f>
        <v>12855.646000000001</v>
      </c>
      <c r="I82" s="25">
        <f>+IFERROR(Takeda!F211/$D$5,0)</f>
        <v>11302.612999999999</v>
      </c>
      <c r="J82" s="25">
        <f>+IFERROR(Takeda!G211/$D$5,0)</f>
        <v>10349.291999999999</v>
      </c>
      <c r="K82" s="25">
        <f>+IFERROR(Takeda!H211/$D$5,0)</f>
        <v>11202.8</v>
      </c>
      <c r="L82" s="25">
        <f>+IFERROR(Takeda!I211/$D$5,0)</f>
        <v>10697.972</v>
      </c>
      <c r="M82" s="25">
        <f>+IFERROR(Takeda!J211/$D$5,0)</f>
        <v>8964.9650000000001</v>
      </c>
      <c r="N82" s="25">
        <f>+IFERROR(Takeda!K211/$D$5,0)</f>
        <v>7931.0940000000001</v>
      </c>
      <c r="O82" s="25"/>
      <c r="P82" s="25"/>
      <c r="Q82" s="25"/>
      <c r="R82" s="25"/>
      <c r="S82" s="25"/>
    </row>
    <row r="83" spans="1:19" ht="15" customHeight="1" x14ac:dyDescent="0.45">
      <c r="B83" s="2" t="s">
        <v>289</v>
      </c>
      <c r="D83" s="509" t="s">
        <v>647</v>
      </c>
      <c r="E83" s="25">
        <f>+IFERROR(Takeda!B212/$D$5,0)</f>
        <v>-275.27800000000002</v>
      </c>
      <c r="F83" s="25">
        <f>+IFERROR(Takeda!C212/$D$5,0)</f>
        <v>-396.70400000000001</v>
      </c>
      <c r="G83" s="25">
        <f>+IFERROR(Takeda!D212/$D$5,0)</f>
        <v>-381.43099999999998</v>
      </c>
      <c r="H83" s="25">
        <f>+IFERROR(Takeda!E212/$D$5,0)</f>
        <v>-454.846</v>
      </c>
      <c r="I83" s="25">
        <f>+IFERROR(Takeda!F212/$D$5,0)</f>
        <v>-717.27800000000002</v>
      </c>
      <c r="J83" s="25">
        <f>+IFERROR(Takeda!G212/$D$5,0)</f>
        <v>-471.82900000000001</v>
      </c>
      <c r="K83" s="25">
        <f>+IFERROR(Takeda!H212/$D$5,0)</f>
        <v>-695.05899999999997</v>
      </c>
      <c r="L83" s="25">
        <f>+IFERROR(Takeda!I212/$D$5,0)</f>
        <v>-711.774</v>
      </c>
      <c r="M83" s="25">
        <f>+IFERROR(Takeda!J212/$D$5,0)</f>
        <v>-328.94400000000002</v>
      </c>
      <c r="N83" s="25">
        <f>+IFERROR(Takeda!K212/$D$5,0)</f>
        <v>-152.577</v>
      </c>
      <c r="O83" s="25"/>
      <c r="P83" s="25"/>
      <c r="Q83" s="25"/>
      <c r="R83" s="25"/>
      <c r="S83" s="25"/>
    </row>
    <row r="84" spans="1:19" ht="15" customHeight="1" x14ac:dyDescent="0.45">
      <c r="B84" s="2" t="s">
        <v>289</v>
      </c>
      <c r="D84" s="509" t="s">
        <v>611</v>
      </c>
      <c r="E84" s="25">
        <f>+IFERROR(Takeda!B213/$D$5,0)</f>
        <v>3244.3090000000002</v>
      </c>
      <c r="F84" s="25">
        <f>+IFERROR(Takeda!C213/$D$5,0)</f>
        <v>2834.6419999999998</v>
      </c>
      <c r="G84" s="25">
        <f>+IFERROR(Takeda!D213/$D$5,0)</f>
        <v>3065.201</v>
      </c>
      <c r="H84" s="25">
        <f>+IFERROR(Takeda!E213/$D$5,0)</f>
        <v>2514.5630000000001</v>
      </c>
      <c r="I84" s="25">
        <f>+IFERROR(Takeda!F213/$D$5,0)</f>
        <v>1962.0160000000001</v>
      </c>
      <c r="J84" s="25">
        <f>+IFERROR(Takeda!G213/$D$5,0)</f>
        <v>329.12400000000002</v>
      </c>
      <c r="K84" s="25">
        <f>+IFERROR(Takeda!H213/$D$5,0)</f>
        <v>4441.5730000000003</v>
      </c>
      <c r="L84" s="25">
        <f>+IFERROR(Takeda!I213/$D$5,0)</f>
        <v>9793.1720000000005</v>
      </c>
      <c r="M84" s="25">
        <f>+IFERROR(Takeda!J213/$D$5,0)</f>
        <v>12769.772000000001</v>
      </c>
      <c r="N84" s="25">
        <f>+IFERROR(Takeda!K213/$D$5,0)</f>
        <v>16597.003000000001</v>
      </c>
      <c r="O84" s="25"/>
      <c r="P84" s="25"/>
      <c r="Q84" s="25"/>
      <c r="R84" s="25"/>
      <c r="S84" s="25"/>
    </row>
    <row r="85" spans="1:19" ht="15" customHeight="1" x14ac:dyDescent="0.45">
      <c r="B85" s="2" t="s">
        <v>291</v>
      </c>
      <c r="D85" s="509" t="s">
        <v>648</v>
      </c>
      <c r="E85" s="25">
        <f>+IFERROR(Takeda!B215/$D$5,0)</f>
        <v>486.07400000000001</v>
      </c>
      <c r="F85" s="25">
        <f>+IFERROR(Takeda!C215/$D$5,0)</f>
        <v>510.72899999999998</v>
      </c>
      <c r="G85" s="25">
        <f>+IFERROR(Takeda!D215/$D$5,0)</f>
        <v>149.34</v>
      </c>
      <c r="H85" s="25">
        <f>+IFERROR(Takeda!E215/$D$5,0)</f>
        <v>31.015000000000001</v>
      </c>
      <c r="I85" s="25">
        <f>+IFERROR(Takeda!F215/$D$5,0)</f>
        <v>34.003</v>
      </c>
      <c r="J85" s="25">
        <f>+IFERROR(Takeda!G215/$D$5,0)</f>
        <v>32.277999999999999</v>
      </c>
      <c r="K85" s="25">
        <f>+IFERROR(Takeda!H215/$D$5,0)</f>
        <v>3.7650000000000001</v>
      </c>
      <c r="L85" s="25">
        <f>+IFERROR(Takeda!I215/$D$5,0)</f>
        <v>3.69</v>
      </c>
      <c r="M85" s="25">
        <f>+IFERROR(Takeda!J215/$D$5,0)</f>
        <v>4.319</v>
      </c>
      <c r="N85" s="25">
        <f>+IFERROR(Takeda!K215/$D$5,0)</f>
        <v>5.6340000000000003</v>
      </c>
      <c r="O85" s="25"/>
      <c r="P85" s="25"/>
      <c r="Q85" s="25"/>
      <c r="R85" s="25"/>
      <c r="S85" s="25"/>
    </row>
    <row r="86" spans="1:19" s="30" customFormat="1" ht="15" customHeight="1" x14ac:dyDescent="0.45">
      <c r="A86" s="4"/>
      <c r="B86" s="5"/>
      <c r="C86" s="4"/>
      <c r="D86" s="478" t="s">
        <v>245</v>
      </c>
      <c r="E86" s="477">
        <f t="shared" ref="E86:N86" si="9">SUM(E80:E85)</f>
        <v>16549.969000000001</v>
      </c>
      <c r="F86" s="477">
        <f t="shared" si="9"/>
        <v>16619.017</v>
      </c>
      <c r="G86" s="477">
        <f t="shared" si="9"/>
        <v>15778.971000000001</v>
      </c>
      <c r="H86" s="477">
        <f t="shared" si="9"/>
        <v>16260.2</v>
      </c>
      <c r="I86" s="477">
        <f t="shared" si="9"/>
        <v>39982.688999999998</v>
      </c>
      <c r="J86" s="477">
        <f t="shared" si="9"/>
        <v>36748.790000000008</v>
      </c>
      <c r="K86" s="477">
        <f t="shared" si="9"/>
        <v>40718.720000000001</v>
      </c>
      <c r="L86" s="477">
        <f t="shared" si="9"/>
        <v>43825.114000000001</v>
      </c>
      <c r="M86" s="477">
        <f t="shared" si="9"/>
        <v>43274.332999999999</v>
      </c>
      <c r="N86" s="477">
        <f t="shared" si="9"/>
        <v>45580.692999999999</v>
      </c>
      <c r="O86" s="477"/>
      <c r="P86" s="477"/>
      <c r="Q86" s="477"/>
      <c r="R86" s="477"/>
      <c r="S86" s="477"/>
    </row>
    <row r="87" spans="1:19" ht="15" customHeight="1" x14ac:dyDescent="0.45">
      <c r="B87" s="2"/>
      <c r="D87" s="479"/>
      <c r="E87" s="25"/>
      <c r="F87" s="25"/>
      <c r="G87" s="25"/>
      <c r="H87" s="25"/>
      <c r="I87" s="25"/>
      <c r="J87" s="25"/>
      <c r="K87" s="25"/>
      <c r="L87" s="25"/>
      <c r="M87" s="25"/>
      <c r="N87" s="25"/>
      <c r="O87" s="25"/>
      <c r="P87" s="25"/>
      <c r="Q87" s="25"/>
      <c r="R87" s="25"/>
      <c r="S87" s="25"/>
    </row>
    <row r="88" spans="1:19" ht="15" customHeight="1" x14ac:dyDescent="0.45">
      <c r="B88" s="2" t="s">
        <v>292</v>
      </c>
      <c r="D88" s="509" t="s">
        <v>612</v>
      </c>
      <c r="E88" s="25">
        <f>+IFERROR(Takeda!B202/$D$5,0)</f>
        <v>4822.7070000000003</v>
      </c>
      <c r="F88" s="25">
        <f>+IFERROR(Takeda!C202/$D$5,0)</f>
        <v>6015.9129999999996</v>
      </c>
      <c r="G88" s="25">
        <f>+IFERROR(Takeda!D202/$D$5,0)</f>
        <v>7382.4589999999998</v>
      </c>
      <c r="H88" s="25">
        <f>+IFERROR(Takeda!E202/$D$5,0)</f>
        <v>19328.717000000001</v>
      </c>
      <c r="I88" s="25">
        <f>+IFERROR(Takeda!F202/$D$5,0)</f>
        <v>37800.245999999999</v>
      </c>
      <c r="J88" s="25">
        <f>+IFERROR(Takeda!G202/$D$5,0)</f>
        <v>35379.618000000002</v>
      </c>
      <c r="K88" s="25">
        <f>+IFERROR(Takeda!H202/$D$5,0)</f>
        <v>32318.991000000002</v>
      </c>
      <c r="L88" s="25">
        <f>+IFERROR(Takeda!I202/$D$5,0)</f>
        <v>27777.915000000001</v>
      </c>
      <c r="M88" s="25">
        <f>+IFERROR(Takeda!J202/$D$5,0)</f>
        <v>27558.25</v>
      </c>
      <c r="N88" s="25">
        <f>+IFERROR(Takeda!K202/$D$5,0)</f>
        <v>28903.774000000001</v>
      </c>
      <c r="O88" s="25"/>
      <c r="P88" s="25"/>
      <c r="Q88" s="25"/>
      <c r="R88" s="25"/>
      <c r="S88" s="25"/>
    </row>
    <row r="89" spans="1:19" ht="15" customHeight="1" x14ac:dyDescent="0.45">
      <c r="B89" s="2" t="s">
        <v>292</v>
      </c>
      <c r="D89" s="509" t="s">
        <v>613</v>
      </c>
      <c r="E89" s="25">
        <f>+IFERROR(Takeda!B203/$D$5,0)</f>
        <v>0</v>
      </c>
      <c r="F89" s="25">
        <f>+IFERROR(Takeda!C203/$D$5,0)</f>
        <v>0</v>
      </c>
      <c r="G89" s="25">
        <f>+IFERROR(Takeda!D203/$D$5,0)</f>
        <v>0</v>
      </c>
      <c r="H89" s="25">
        <f>+IFERROR(Takeda!E203/$D$5,0)</f>
        <v>1042.866</v>
      </c>
      <c r="I89" s="25">
        <f>+IFERROR(Takeda!F203/$D$5,0)</f>
        <v>3348.7930000000001</v>
      </c>
      <c r="J89" s="25">
        <f>+IFERROR(Takeda!G203/$D$5,0)</f>
        <v>3923.306</v>
      </c>
      <c r="K89" s="25">
        <f>+IFERROR(Takeda!H203/$D$5,0)</f>
        <v>0</v>
      </c>
      <c r="L89" s="25">
        <f>+IFERROR(Takeda!I203/$D$5,0)</f>
        <v>3572.864</v>
      </c>
      <c r="M89" s="25">
        <f>+IFERROR(Takeda!J203/$D$5,0)</f>
        <v>3479.3870000000002</v>
      </c>
      <c r="N89" s="25">
        <f>+IFERROR(Takeda!K203/$D$5,0)</f>
        <v>3631.9920000000002</v>
      </c>
      <c r="O89" s="25"/>
      <c r="P89" s="25"/>
      <c r="Q89" s="25"/>
      <c r="R89" s="25"/>
      <c r="S89" s="25"/>
    </row>
    <row r="90" spans="1:19" ht="15" customHeight="1" x14ac:dyDescent="0.45">
      <c r="B90" s="2" t="s">
        <v>292</v>
      </c>
      <c r="D90" s="509" t="s">
        <v>649</v>
      </c>
      <c r="E90" s="25">
        <f>+IFERROR(Takeda!B204/$D$5,0)</f>
        <v>634.54600000000005</v>
      </c>
      <c r="F90" s="25">
        <f>+IFERROR(Takeda!C204/$D$5,0)</f>
        <v>659.66899999999998</v>
      </c>
      <c r="G90" s="25">
        <f>+IFERROR(Takeda!D204/$D$5,0)</f>
        <v>655.17899999999997</v>
      </c>
      <c r="H90" s="25">
        <f>+IFERROR(Takeda!E204/$D$5,0)</f>
        <v>679.52700000000004</v>
      </c>
      <c r="I90" s="25">
        <f>+IFERROR(Takeda!F204/$D$5,0)</f>
        <v>1310.0219999999999</v>
      </c>
      <c r="J90" s="25">
        <f>+IFERROR(Takeda!G204/$D$5,0)</f>
        <v>1348.9179999999999</v>
      </c>
      <c r="K90" s="25">
        <f>+IFERROR(Takeda!H204/$D$5,0)</f>
        <v>1296.7719999999999</v>
      </c>
      <c r="L90" s="25">
        <f>+IFERROR(Takeda!I204/$D$5,0)</f>
        <v>942.34100000000001</v>
      </c>
      <c r="M90" s="25">
        <f>+IFERROR(Takeda!J204/$D$5,0)</f>
        <v>891.755</v>
      </c>
      <c r="N90" s="25">
        <f>+IFERROR(Takeda!K204/$D$5,0)</f>
        <v>875.07899999999995</v>
      </c>
      <c r="O90" s="25"/>
      <c r="P90" s="25"/>
      <c r="Q90" s="25"/>
      <c r="R90" s="25"/>
      <c r="S90" s="25"/>
    </row>
    <row r="91" spans="1:19" ht="15" customHeight="1" x14ac:dyDescent="0.45">
      <c r="B91" s="2" t="s">
        <v>293</v>
      </c>
      <c r="D91" s="509" t="s">
        <v>650</v>
      </c>
      <c r="E91" s="25">
        <f>+IFERROR(Takeda!B205/$D$5,0)</f>
        <v>988.91700000000003</v>
      </c>
      <c r="F91" s="25">
        <f>+IFERROR(Takeda!C205/$D$5,0)</f>
        <v>935.12900000000002</v>
      </c>
      <c r="G91" s="25">
        <f>+IFERROR(Takeda!D205/$D$5,0)</f>
        <v>861.096</v>
      </c>
      <c r="H91" s="25">
        <f>+IFERROR(Takeda!E205/$D$5,0)</f>
        <v>841.31100000000004</v>
      </c>
      <c r="I91" s="25">
        <f>+IFERROR(Takeda!F205/$D$5,0)</f>
        <v>5687.9960000000001</v>
      </c>
      <c r="J91" s="25">
        <f>+IFERROR(Takeda!G205/$D$5,0)</f>
        <v>4562.2120000000004</v>
      </c>
      <c r="K91" s="25">
        <f>+IFERROR(Takeda!H205/$D$5,0)</f>
        <v>4266.0379999999996</v>
      </c>
      <c r="L91" s="25">
        <f>+IFERROR(Takeda!I205/$D$5,0)</f>
        <v>2757.8719999999998</v>
      </c>
      <c r="M91" s="25">
        <f>+IFERROR(Takeda!J205/$D$5,0)</f>
        <v>853.83100000000002</v>
      </c>
      <c r="N91" s="25">
        <f>+IFERROR(Takeda!K205/$D$5,0)</f>
        <v>231.43</v>
      </c>
      <c r="O91" s="25"/>
      <c r="P91" s="25"/>
      <c r="Q91" s="25"/>
      <c r="R91" s="25"/>
      <c r="S91" s="25"/>
    </row>
    <row r="92" spans="1:19" ht="15" customHeight="1" x14ac:dyDescent="0.45">
      <c r="B92" s="2" t="s">
        <v>294</v>
      </c>
      <c r="D92" s="509" t="s">
        <v>615</v>
      </c>
      <c r="E92" s="25">
        <f>+IFERROR(Takeda!B206/$D$5,0)</f>
        <v>1449.9169999999999</v>
      </c>
      <c r="F92" s="25">
        <f>+IFERROR(Takeda!C206/$D$5,0)</f>
        <v>1866.518</v>
      </c>
      <c r="G92" s="25">
        <f>+IFERROR(Takeda!D206/$D$5,0)</f>
        <v>1440.0450000000001</v>
      </c>
      <c r="H92" s="25">
        <f>+IFERROR(Takeda!E206/$D$5,0)</f>
        <v>818.75</v>
      </c>
      <c r="I92" s="25">
        <f>+IFERROR(Takeda!F206/$D$5,0)</f>
        <v>1278.954</v>
      </c>
      <c r="J92" s="25">
        <f>+IFERROR(Takeda!G206/$D$5,0)</f>
        <v>1058.306</v>
      </c>
      <c r="K92" s="25">
        <f>+IFERROR(Takeda!H206/$D$5,0)</f>
        <v>4559.9530000000004</v>
      </c>
      <c r="L92" s="25">
        <f>+IFERROR(Takeda!I206/$D$5,0)</f>
        <v>1074.835</v>
      </c>
      <c r="M92" s="25">
        <f>+IFERROR(Takeda!J206/$D$5,0)</f>
        <v>578.86199999999997</v>
      </c>
      <c r="N92" s="25">
        <f>+IFERROR(Takeda!K206/$D$5,0)</f>
        <v>698.65300000000002</v>
      </c>
      <c r="O92" s="25"/>
      <c r="P92" s="25"/>
      <c r="Q92" s="25"/>
      <c r="R92" s="25"/>
      <c r="S92" s="25"/>
    </row>
    <row r="93" spans="1:19" s="29" customFormat="1" ht="15" customHeight="1" x14ac:dyDescent="0.45">
      <c r="A93" s="1"/>
      <c r="B93" s="2"/>
      <c r="C93" s="1"/>
      <c r="D93" s="478" t="s">
        <v>486</v>
      </c>
      <c r="E93" s="477">
        <f t="shared" ref="E93:N93" si="10">SUM(E88:E92)</f>
        <v>7896.0870000000014</v>
      </c>
      <c r="F93" s="477">
        <f t="shared" si="10"/>
        <v>9477.2289999999994</v>
      </c>
      <c r="G93" s="477">
        <f t="shared" si="10"/>
        <v>10338.779</v>
      </c>
      <c r="H93" s="477">
        <f t="shared" si="10"/>
        <v>22711.171000000002</v>
      </c>
      <c r="I93" s="477">
        <f t="shared" si="10"/>
        <v>49426.010999999991</v>
      </c>
      <c r="J93" s="477">
        <f t="shared" si="10"/>
        <v>46272.359999999993</v>
      </c>
      <c r="K93" s="477">
        <f t="shared" si="10"/>
        <v>42441.754000000001</v>
      </c>
      <c r="L93" s="477">
        <f t="shared" si="10"/>
        <v>36125.827000000005</v>
      </c>
      <c r="M93" s="477">
        <f t="shared" si="10"/>
        <v>33362.084999999999</v>
      </c>
      <c r="N93" s="477">
        <f t="shared" si="10"/>
        <v>34340.928</v>
      </c>
      <c r="O93" s="477"/>
      <c r="P93" s="477"/>
      <c r="Q93" s="477"/>
      <c r="R93" s="477"/>
      <c r="S93" s="477"/>
    </row>
    <row r="94" spans="1:19" ht="15" customHeight="1" x14ac:dyDescent="0.45">
      <c r="B94" s="2"/>
      <c r="D94" s="479"/>
      <c r="E94" s="23"/>
      <c r="F94" s="23"/>
      <c r="G94" s="23"/>
      <c r="H94" s="23"/>
      <c r="I94" s="23"/>
      <c r="J94" s="23"/>
      <c r="K94" s="23"/>
      <c r="L94" s="23"/>
      <c r="M94" s="23"/>
      <c r="N94" s="23"/>
      <c r="O94" s="23"/>
      <c r="P94" s="23"/>
      <c r="Q94" s="23"/>
      <c r="R94" s="23"/>
      <c r="S94" s="23"/>
    </row>
    <row r="95" spans="1:19" ht="15" customHeight="1" x14ac:dyDescent="0.45">
      <c r="B95" s="2" t="s">
        <v>296</v>
      </c>
      <c r="D95" s="509" t="s">
        <v>616</v>
      </c>
      <c r="E95" s="25">
        <f>+IFERROR(Takeda!B196/$D$5,0)</f>
        <v>1304.33</v>
      </c>
      <c r="F95" s="25">
        <f>+IFERROR(Takeda!C196/$D$5,0)</f>
        <v>1884.5640000000001</v>
      </c>
      <c r="G95" s="25">
        <f>+IFERROR(Takeda!D196/$D$5,0)</f>
        <v>1652.1579999999999</v>
      </c>
      <c r="H95" s="25">
        <f>+IFERROR(Takeda!E196/$D$5,0)</f>
        <v>1979.1389999999999</v>
      </c>
      <c r="I95" s="25">
        <f>+IFERROR(Takeda!F196/$D$5,0)</f>
        <v>2458.973</v>
      </c>
      <c r="J95" s="25">
        <f>+IFERROR(Takeda!G196/$D$5,0)</f>
        <v>2589.9839999999999</v>
      </c>
      <c r="K95" s="25">
        <f>+IFERROR(Takeda!H196/$D$5,0)</f>
        <v>2681.973</v>
      </c>
      <c r="L95" s="25">
        <f>+IFERROR(Takeda!I196/$D$5,0)</f>
        <v>2704.145</v>
      </c>
      <c r="M95" s="25">
        <f>+IFERROR(Takeda!J196/$D$5,0)</f>
        <v>3104.1889999999999</v>
      </c>
      <c r="N95" s="25">
        <f>+IFERROR(Takeda!K196/$D$5,0)</f>
        <v>2827.1770000000001</v>
      </c>
      <c r="O95" s="25"/>
      <c r="P95" s="25"/>
      <c r="Q95" s="25"/>
      <c r="R95" s="25"/>
      <c r="S95" s="25"/>
    </row>
    <row r="96" spans="1:19" ht="15" customHeight="1" x14ac:dyDescent="0.45">
      <c r="B96" s="2" t="s">
        <v>298</v>
      </c>
      <c r="D96" s="509" t="s">
        <v>651</v>
      </c>
      <c r="E96" s="25">
        <f>+IFERROR(Takeda!B197/$D$5,0)</f>
        <v>0</v>
      </c>
      <c r="F96" s="25">
        <f>+IFERROR(Takeda!C197/$D$5,0)</f>
        <v>0</v>
      </c>
      <c r="G96" s="25">
        <f>+IFERROR(Takeda!D197/$D$5,0)</f>
        <v>0</v>
      </c>
      <c r="H96" s="25">
        <f>+IFERROR(Takeda!E197/$D$5,0)</f>
        <v>0</v>
      </c>
      <c r="I96" s="25">
        <f>+IFERROR(Takeda!F197/$D$5,0)</f>
        <v>1311.924</v>
      </c>
      <c r="J96" s="25">
        <f>+IFERROR(Takeda!G197/$D$5,0)</f>
        <v>308.91800000000001</v>
      </c>
      <c r="K96" s="25">
        <f>+IFERROR(Takeda!H197/$D$5,0)</f>
        <v>0</v>
      </c>
      <c r="L96" s="25">
        <f>+IFERROR(Takeda!I197/$D$5,0)</f>
        <v>0</v>
      </c>
      <c r="M96" s="25">
        <f>+IFERROR(Takeda!J197/$D$5,0)</f>
        <v>0</v>
      </c>
      <c r="N96" s="25">
        <f>+IFERROR(Takeda!K197/$D$5,0)</f>
        <v>0</v>
      </c>
      <c r="O96" s="25"/>
      <c r="P96" s="25"/>
      <c r="Q96" s="25"/>
      <c r="R96" s="25"/>
      <c r="S96" s="25"/>
    </row>
    <row r="97" spans="1:19" ht="15" customHeight="1" x14ac:dyDescent="0.45">
      <c r="B97" s="2" t="s">
        <v>298</v>
      </c>
      <c r="D97" s="509" t="s">
        <v>652</v>
      </c>
      <c r="E97" s="25">
        <f>+IFERROR(Takeda!B198/$D$5,0)</f>
        <v>765.33900000000006</v>
      </c>
      <c r="F97" s="25">
        <f>+IFERROR(Takeda!C198/$D$5,0)</f>
        <v>1917.1780000000001</v>
      </c>
      <c r="G97" s="25">
        <f>+IFERROR(Takeda!D198/$D$5,0)</f>
        <v>1035.1310000000001</v>
      </c>
      <c r="H97" s="25">
        <f>+IFERROR(Takeda!E198/$D$5,0)</f>
        <v>961.19</v>
      </c>
      <c r="I97" s="25">
        <f>+IFERROR(Takeda!F198/$D$5,0)</f>
        <v>3703.7350000000001</v>
      </c>
      <c r="J97" s="25">
        <f>+IFERROR(Takeda!G198/$D$5,0)</f>
        <v>1944.393</v>
      </c>
      <c r="K97" s="25">
        <f>+IFERROR(Takeda!H198/$D$5,0)</f>
        <v>938.85299999999995</v>
      </c>
      <c r="L97" s="25">
        <f>+IFERROR(Takeda!I198/$D$5,0)</f>
        <v>2639.6469999999999</v>
      </c>
      <c r="M97" s="25">
        <f>+IFERROR(Takeda!J198/$D$5,0)</f>
        <v>2376.5500000000002</v>
      </c>
      <c r="N97" s="25">
        <f>+IFERROR(Takeda!K198/$D$5,0)</f>
        <v>832.25800000000004</v>
      </c>
      <c r="O97" s="25"/>
      <c r="P97" s="25"/>
      <c r="Q97" s="25"/>
      <c r="R97" s="25"/>
      <c r="S97" s="25"/>
    </row>
    <row r="98" spans="1:19" ht="15" customHeight="1" x14ac:dyDescent="0.45">
      <c r="B98" s="2" t="s">
        <v>294</v>
      </c>
      <c r="D98" s="509" t="s">
        <v>619</v>
      </c>
      <c r="E98" s="25">
        <f>+IFERROR(Takeda!B199/$D$5,0)</f>
        <v>452.48200000000003</v>
      </c>
      <c r="F98" s="25">
        <f>+IFERROR(Takeda!C199/$D$5,0)</f>
        <v>635.48500000000001</v>
      </c>
      <c r="G98" s="25">
        <f>+IFERROR(Takeda!D199/$D$5,0)</f>
        <v>715.80100000000004</v>
      </c>
      <c r="H98" s="25">
        <f>+IFERROR(Takeda!E199/$D$5,0)</f>
        <v>481.18799999999999</v>
      </c>
      <c r="I98" s="25">
        <f>+IFERROR(Takeda!F199/$D$5,0)</f>
        <v>1247</v>
      </c>
      <c r="J98" s="25">
        <f>+IFERROR(Takeda!G199/$D$5,0)</f>
        <v>1075.7</v>
      </c>
      <c r="K98" s="25">
        <f>+IFERROR(Takeda!H199/$D$5,0)</f>
        <v>1416.1990000000001</v>
      </c>
      <c r="L98" s="25">
        <f>+IFERROR(Takeda!I199/$D$5,0)</f>
        <v>1339.4739999999999</v>
      </c>
      <c r="M98" s="25">
        <f>+IFERROR(Takeda!J199/$D$5,0)</f>
        <v>721.68299999999999</v>
      </c>
      <c r="N98" s="25">
        <f>+IFERROR(Takeda!K199/$D$5,0)</f>
        <v>979.625</v>
      </c>
      <c r="O98" s="25"/>
      <c r="P98" s="25"/>
      <c r="Q98" s="25"/>
      <c r="R98" s="25"/>
      <c r="S98" s="25"/>
    </row>
    <row r="99" spans="1:19" ht="15" customHeight="1" x14ac:dyDescent="0.45">
      <c r="B99" s="2" t="s">
        <v>294</v>
      </c>
      <c r="D99" s="509" t="s">
        <v>297</v>
      </c>
      <c r="E99" s="25">
        <f>+IFERROR(Takeda!B200/$D$5,0)</f>
        <v>5099.5389999999998</v>
      </c>
      <c r="F99" s="25">
        <f>+IFERROR(Takeda!C200/$D$5,0)</f>
        <v>3137.1390000000001</v>
      </c>
      <c r="G99" s="25">
        <f>+IFERROR(Takeda!D200/$D$5,0)</f>
        <v>3089.9180000000001</v>
      </c>
      <c r="H99" s="25">
        <f>+IFERROR(Takeda!E200/$D$5,0)</f>
        <v>3517.8159999999998</v>
      </c>
      <c r="I99" s="25">
        <f>+IFERROR(Takeda!F200/$D$5,0)</f>
        <v>8721.7549999999992</v>
      </c>
      <c r="J99" s="25">
        <f>+IFERROR(Takeda!G200/$D$5,0)</f>
        <v>8378.0300000000007</v>
      </c>
      <c r="K99" s="25">
        <f>+IFERROR(Takeda!H200/$D$5,0)</f>
        <v>8780.1090000000004</v>
      </c>
      <c r="L99" s="25">
        <f>+IFERROR(Takeda!I200/$D$5,0)</f>
        <v>9187.9290000000001</v>
      </c>
      <c r="M99" s="25">
        <f>+IFERROR(Takeda!J200/$D$5,0)</f>
        <v>8444.6280000000006</v>
      </c>
      <c r="N99" s="25">
        <f>+IFERROR(Takeda!K200/$D$5,0)</f>
        <v>8250.0339999999997</v>
      </c>
      <c r="O99" s="25"/>
      <c r="P99" s="25"/>
      <c r="Q99" s="25"/>
      <c r="R99" s="25"/>
      <c r="S99" s="25"/>
    </row>
    <row r="100" spans="1:19" s="30" customFormat="1" ht="15" customHeight="1" x14ac:dyDescent="0.45">
      <c r="A100" s="4"/>
      <c r="B100" s="5"/>
      <c r="C100" s="4"/>
      <c r="D100" s="478" t="s">
        <v>491</v>
      </c>
      <c r="E100" s="477">
        <f t="shared" ref="E100:N100" si="11">SUM(E95:E99)</f>
        <v>7621.69</v>
      </c>
      <c r="F100" s="477">
        <f t="shared" si="11"/>
        <v>7574.366</v>
      </c>
      <c r="G100" s="477">
        <f t="shared" si="11"/>
        <v>6493.0079999999998</v>
      </c>
      <c r="H100" s="477">
        <f t="shared" si="11"/>
        <v>6939.3329999999996</v>
      </c>
      <c r="I100" s="477">
        <f t="shared" si="11"/>
        <v>17443.386999999999</v>
      </c>
      <c r="J100" s="477">
        <f t="shared" si="11"/>
        <v>14297.025000000001</v>
      </c>
      <c r="K100" s="477">
        <f t="shared" si="11"/>
        <v>13817.134</v>
      </c>
      <c r="L100" s="477">
        <f t="shared" si="11"/>
        <v>15871.195</v>
      </c>
      <c r="M100" s="477">
        <f t="shared" si="11"/>
        <v>14647.05</v>
      </c>
      <c r="N100" s="477">
        <f t="shared" si="11"/>
        <v>12889.094000000001</v>
      </c>
      <c r="O100" s="477"/>
      <c r="P100" s="477"/>
      <c r="Q100" s="477"/>
      <c r="R100" s="477"/>
      <c r="S100" s="477"/>
    </row>
    <row r="101" spans="1:19" ht="15" customHeight="1" x14ac:dyDescent="0.45">
      <c r="B101" s="2"/>
      <c r="D101" s="479"/>
      <c r="E101" s="28"/>
      <c r="F101" s="25"/>
      <c r="G101" s="25"/>
      <c r="H101" s="25"/>
      <c r="I101" s="25"/>
      <c r="J101" s="25"/>
      <c r="K101" s="25"/>
      <c r="L101" s="25"/>
      <c r="M101" s="25"/>
      <c r="N101" s="28"/>
      <c r="O101" s="28"/>
      <c r="P101" s="28"/>
      <c r="Q101" s="28"/>
      <c r="R101" s="28"/>
      <c r="S101" s="28"/>
    </row>
    <row r="102" spans="1:19" ht="15" customHeight="1" x14ac:dyDescent="0.45">
      <c r="B102" s="2" t="s">
        <v>300</v>
      </c>
      <c r="D102" s="479" t="s">
        <v>492</v>
      </c>
      <c r="E102" s="477">
        <f t="shared" ref="E102:N102" si="12">SUM(E86,E100,E93)</f>
        <v>32067.745999999999</v>
      </c>
      <c r="F102" s="477">
        <f t="shared" si="12"/>
        <v>33670.612000000001</v>
      </c>
      <c r="G102" s="477">
        <f t="shared" si="12"/>
        <v>32610.758000000002</v>
      </c>
      <c r="H102" s="477">
        <f t="shared" si="12"/>
        <v>45910.703999999998</v>
      </c>
      <c r="I102" s="477">
        <f t="shared" si="12"/>
        <v>106852.087</v>
      </c>
      <c r="J102" s="477">
        <f t="shared" si="12"/>
        <v>97318.175000000003</v>
      </c>
      <c r="K102" s="477">
        <f t="shared" si="12"/>
        <v>96977.608000000007</v>
      </c>
      <c r="L102" s="477">
        <f t="shared" si="12"/>
        <v>95822.135999999999</v>
      </c>
      <c r="M102" s="477">
        <f t="shared" si="12"/>
        <v>91283.467999999993</v>
      </c>
      <c r="N102" s="477">
        <f t="shared" si="12"/>
        <v>92810.714999999997</v>
      </c>
      <c r="O102" s="23"/>
      <c r="P102" s="23"/>
      <c r="Q102" s="23"/>
      <c r="R102" s="23"/>
      <c r="S102" s="23"/>
    </row>
    <row r="103" spans="1:19" ht="15" customHeight="1" x14ac:dyDescent="0.45">
      <c r="B103" s="2"/>
      <c r="D103" s="474" t="s">
        <v>301</v>
      </c>
      <c r="E103" s="486">
        <f t="shared" ref="E103:N103" si="13">E102-E78</f>
        <v>-1.0000000038417056E-3</v>
      </c>
      <c r="F103" s="486">
        <f t="shared" si="13"/>
        <v>0</v>
      </c>
      <c r="G103" s="486">
        <f t="shared" si="13"/>
        <v>1.0000000002037268E-3</v>
      </c>
      <c r="H103" s="486">
        <f t="shared" si="13"/>
        <v>4.9999999973806553E-3</v>
      </c>
      <c r="I103" s="486">
        <f t="shared" si="13"/>
        <v>-1.0000000038417056E-3</v>
      </c>
      <c r="J103" s="486">
        <f t="shared" si="13"/>
        <v>-1.9999999785795808E-3</v>
      </c>
      <c r="K103" s="486">
        <f t="shared" si="13"/>
        <v>1.0000000038417056E-3</v>
      </c>
      <c r="L103" s="486">
        <f t="shared" si="13"/>
        <v>-1.0000000038417056E-3</v>
      </c>
      <c r="M103" s="486">
        <f t="shared" si="13"/>
        <v>1.999999993131496E-3</v>
      </c>
      <c r="N103" s="486">
        <f t="shared" si="13"/>
        <v>0</v>
      </c>
      <c r="O103" s="25"/>
      <c r="P103" s="25"/>
      <c r="Q103" s="25"/>
      <c r="R103" s="25"/>
      <c r="S103" s="25"/>
    </row>
    <row r="104" spans="1:19" ht="15" customHeight="1" x14ac:dyDescent="0.45">
      <c r="B104" s="2"/>
      <c r="D104" s="31"/>
      <c r="E104" s="25"/>
      <c r="F104" s="25"/>
      <c r="G104" s="25"/>
      <c r="H104" s="25"/>
      <c r="I104" s="25"/>
      <c r="J104" s="25"/>
      <c r="K104" s="25"/>
      <c r="L104" s="25"/>
      <c r="M104" s="25"/>
      <c r="N104" s="25"/>
      <c r="O104" s="25"/>
      <c r="P104" s="25"/>
      <c r="Q104" s="25"/>
      <c r="R104" s="25"/>
      <c r="S104" s="25"/>
    </row>
    <row r="106" spans="1:19" ht="15" customHeight="1" x14ac:dyDescent="0.45">
      <c r="B106" s="3"/>
      <c r="D106" s="485" t="s">
        <v>493</v>
      </c>
      <c r="E106" s="23"/>
      <c r="F106" s="23"/>
      <c r="G106" s="23"/>
      <c r="H106" s="23"/>
      <c r="I106" s="23"/>
      <c r="J106" s="23"/>
      <c r="K106" s="23"/>
      <c r="L106" s="23"/>
      <c r="M106" s="23"/>
      <c r="N106" s="23"/>
      <c r="O106" s="23"/>
      <c r="P106" s="23"/>
      <c r="Q106" s="23"/>
      <c r="R106" s="23"/>
      <c r="S106" s="23"/>
    </row>
    <row r="107" spans="1:19" ht="15" customHeight="1" x14ac:dyDescent="0.45">
      <c r="B107" s="3"/>
      <c r="D107" s="31"/>
      <c r="E107" s="23"/>
      <c r="F107" s="23"/>
      <c r="G107" s="23"/>
      <c r="H107" s="23"/>
      <c r="I107" s="23"/>
      <c r="J107" s="23"/>
      <c r="K107" s="23"/>
      <c r="L107" s="23"/>
      <c r="M107" s="23"/>
      <c r="N107" s="23"/>
      <c r="O107" s="23"/>
      <c r="P107" s="23"/>
      <c r="Q107" s="23"/>
      <c r="R107" s="23"/>
      <c r="S107" s="23"/>
    </row>
    <row r="108" spans="1:19" ht="15" customHeight="1" x14ac:dyDescent="0.45">
      <c r="B108" s="2"/>
      <c r="D108" s="480" t="s">
        <v>494</v>
      </c>
      <c r="E108" s="25"/>
      <c r="F108" s="25"/>
      <c r="G108" s="25"/>
      <c r="H108" s="25"/>
      <c r="I108" s="25"/>
      <c r="J108" s="25"/>
      <c r="K108" s="25"/>
      <c r="L108" s="25"/>
      <c r="M108" s="25"/>
      <c r="N108" s="25"/>
      <c r="O108" s="25"/>
      <c r="P108" s="25"/>
      <c r="Q108" s="25"/>
      <c r="R108" s="25"/>
      <c r="S108" s="25"/>
    </row>
    <row r="109" spans="1:19" ht="15" customHeight="1" x14ac:dyDescent="0.45">
      <c r="B109" s="2" t="s">
        <v>303</v>
      </c>
      <c r="D109" s="510" t="s">
        <v>557</v>
      </c>
      <c r="E109" s="25">
        <f>+IFERROR(Takeda!B110/$D$5,0)-E23-E24-E38</f>
        <v>-1323.4739999999999</v>
      </c>
      <c r="F109" s="25">
        <f>+IFERROR(Takeda!C110/$D$5,0)-F23-F24-F38</f>
        <v>1383.1380000000001</v>
      </c>
      <c r="G109" s="25">
        <f>+IFERROR(Takeda!D110/$D$5,0)-G23-G24-G38</f>
        <v>1902.2489999999998</v>
      </c>
      <c r="H109" s="25">
        <f>+IFERROR(Takeda!E110/$D$5,0)-H23-H24-H38</f>
        <v>1060.1369999999999</v>
      </c>
      <c r="I109" s="25">
        <f>+IFERROR(Takeda!F110/$D$5,0)-I23-I24-I38</f>
        <v>618.35900000000004</v>
      </c>
      <c r="J109" s="25">
        <f>+IFERROR(Takeda!G110/$D$5,0)-J23-J24-J38</f>
        <v>2422.2499999999995</v>
      </c>
      <c r="K109" s="25">
        <f>+IFERROR(Takeda!H110/$D$5,0)-K23-K24-K38</f>
        <v>4630.8630000000003</v>
      </c>
      <c r="L109" s="25">
        <f>+IFERROR(Takeda!I110/$D$5,0)-L23-L24-L38</f>
        <v>2625.3069999999998</v>
      </c>
      <c r="M109" s="25">
        <f>+IFERROR(Takeda!J110/$D$5,0)-M23-M24-M38</f>
        <v>2072.3809999999994</v>
      </c>
      <c r="N109" s="25">
        <f>+IFERROR(Takeda!K110/$D$5,0)-N23-N24-N38</f>
        <v>1981.6480000000001</v>
      </c>
      <c r="O109" s="25"/>
      <c r="P109" s="25"/>
      <c r="Q109" s="25"/>
      <c r="R109" s="25"/>
      <c r="S109" s="25"/>
    </row>
    <row r="110" spans="1:19" ht="15" customHeight="1" x14ac:dyDescent="0.45">
      <c r="B110" s="2" t="s">
        <v>314</v>
      </c>
      <c r="D110" s="467" t="s">
        <v>408</v>
      </c>
      <c r="E110" s="25">
        <f t="shared" ref="E110:N110" si="14">+E23</f>
        <v>-64.463999999999999</v>
      </c>
      <c r="F110" s="25">
        <f t="shared" si="14"/>
        <v>-23.69</v>
      </c>
      <c r="G110" s="25">
        <f t="shared" si="14"/>
        <v>-197.09399999999999</v>
      </c>
      <c r="H110" s="25">
        <f t="shared" si="14"/>
        <v>-82.058000000000007</v>
      </c>
      <c r="I110" s="25">
        <f t="shared" si="14"/>
        <v>-1087.617</v>
      </c>
      <c r="J110" s="25">
        <f t="shared" si="14"/>
        <v>-1761.269</v>
      </c>
      <c r="K110" s="25">
        <f t="shared" si="14"/>
        <v>-877.2</v>
      </c>
      <c r="L110" s="25">
        <f t="shared" si="14"/>
        <v>-766.59500000000003</v>
      </c>
      <c r="M110" s="25">
        <f t="shared" si="14"/>
        <v>-1095.5419999999999</v>
      </c>
      <c r="N110" s="25">
        <f t="shared" si="14"/>
        <v>-548.15</v>
      </c>
      <c r="O110" s="25"/>
      <c r="P110" s="25"/>
      <c r="Q110" s="25"/>
      <c r="R110" s="25"/>
      <c r="S110" s="25"/>
    </row>
    <row r="111" spans="1:19" ht="15" customHeight="1" x14ac:dyDescent="0.45">
      <c r="B111" s="2" t="s">
        <v>304</v>
      </c>
      <c r="D111" s="467" t="s">
        <v>559</v>
      </c>
      <c r="E111" s="25">
        <f t="shared" ref="E111:N111" si="15">+E38</f>
        <v>516.83500000000004</v>
      </c>
      <c r="F111" s="25">
        <f t="shared" si="15"/>
        <v>-329.983</v>
      </c>
      <c r="G111" s="25">
        <f t="shared" si="15"/>
        <v>-270.89800000000002</v>
      </c>
      <c r="H111" s="25">
        <f t="shared" si="15"/>
        <v>-209.65299999999999</v>
      </c>
      <c r="I111" s="25">
        <f t="shared" si="15"/>
        <v>313.21600000000001</v>
      </c>
      <c r="J111" s="25">
        <f t="shared" si="15"/>
        <v>509.16800000000001</v>
      </c>
      <c r="K111" s="25">
        <f t="shared" si="15"/>
        <v>-375.97</v>
      </c>
      <c r="L111" s="25">
        <f t="shared" si="15"/>
        <v>10.15</v>
      </c>
      <c r="M111" s="25">
        <f t="shared" si="15"/>
        <v>198.501</v>
      </c>
      <c r="N111" s="25">
        <f t="shared" si="15"/>
        <v>-162.56700000000001</v>
      </c>
      <c r="O111" s="25"/>
      <c r="P111" s="25"/>
      <c r="Q111" s="25"/>
      <c r="R111" s="25"/>
      <c r="S111" s="25"/>
    </row>
    <row r="112" spans="1:19" ht="15" customHeight="1" x14ac:dyDescent="0.45">
      <c r="B112" s="2" t="s">
        <v>310</v>
      </c>
      <c r="D112" s="467" t="s">
        <v>558</v>
      </c>
      <c r="E112" s="25">
        <f t="shared" ref="E112:N112" si="16">+E24</f>
        <v>59.048000000000002</v>
      </c>
      <c r="F112" s="25">
        <f t="shared" si="16"/>
        <v>69.13</v>
      </c>
      <c r="G112" s="25">
        <f t="shared" si="16"/>
        <v>51.082000000000001</v>
      </c>
      <c r="H112" s="25">
        <f t="shared" si="16"/>
        <v>78.888999999999996</v>
      </c>
      <c r="I112" s="25">
        <f t="shared" si="16"/>
        <v>264.84899999999999</v>
      </c>
      <c r="J112" s="25">
        <f t="shared" si="16"/>
        <v>313.40699999999998</v>
      </c>
      <c r="K112" s="25">
        <f t="shared" si="16"/>
        <v>0</v>
      </c>
      <c r="L112" s="25">
        <f t="shared" si="16"/>
        <v>122.93600000000001</v>
      </c>
      <c r="M112" s="25">
        <f t="shared" si="16"/>
        <v>0</v>
      </c>
      <c r="N112" s="25">
        <f t="shared" si="16"/>
        <v>0</v>
      </c>
      <c r="O112" s="25"/>
      <c r="P112" s="25"/>
      <c r="Q112" s="25"/>
      <c r="R112" s="25"/>
      <c r="S112" s="25"/>
    </row>
    <row r="113" spans="1:76" ht="15" customHeight="1" x14ac:dyDescent="0.45">
      <c r="B113" s="2" t="s">
        <v>306</v>
      </c>
      <c r="D113" s="509" t="s">
        <v>556</v>
      </c>
      <c r="E113" s="25">
        <f>+IFERROR(Takeda!B111/$D$5,0)</f>
        <v>1682.8820000000001</v>
      </c>
      <c r="F113" s="25">
        <f>+IFERROR(Takeda!C111/$D$5,0)</f>
        <v>466.61</v>
      </c>
      <c r="G113" s="25">
        <f>+IFERROR(Takeda!D111/$D$5,0)</f>
        <v>1267.77</v>
      </c>
      <c r="H113" s="25">
        <f>+IFERROR(Takeda!E111/$D$5,0)</f>
        <v>399.78399999999999</v>
      </c>
      <c r="I113" s="25">
        <f>+IFERROR(Takeda!F111/$D$5,0)</f>
        <v>1208.489</v>
      </c>
      <c r="J113" s="25">
        <f>+IFERROR(Takeda!G111/$D$5,0)</f>
        <v>1039.075</v>
      </c>
      <c r="K113" s="25">
        <f>+IFERROR(Takeda!H111/$D$5,0)</f>
        <v>906</v>
      </c>
      <c r="L113" s="25">
        <f>+IFERROR(Takeda!I111/$D$5,0)</f>
        <v>1191.509</v>
      </c>
      <c r="M113" s="25">
        <f>+IFERROR(Takeda!J111/$D$5,0)</f>
        <v>342.00599999999997</v>
      </c>
      <c r="N113" s="25">
        <f>+IFERROR(Takeda!K111/$D$5,0)</f>
        <v>1652.598</v>
      </c>
      <c r="O113" s="25"/>
      <c r="P113" s="25"/>
      <c r="Q113" s="25"/>
      <c r="R113" s="25"/>
      <c r="S113" s="25"/>
    </row>
    <row r="114" spans="1:76" ht="15" customHeight="1" x14ac:dyDescent="0.45">
      <c r="B114" s="2" t="s">
        <v>306</v>
      </c>
      <c r="D114" s="509" t="s">
        <v>560</v>
      </c>
      <c r="E114" s="25">
        <f>+IFERROR(Takeda!B112/$D$5,0)</f>
        <v>0</v>
      </c>
      <c r="F114" s="25">
        <f>+IFERROR(Takeda!C112/$D$5,0)</f>
        <v>1017.69</v>
      </c>
      <c r="G114" s="25">
        <f>+IFERROR(Takeda!D112/$D$5,0)</f>
        <v>0</v>
      </c>
      <c r="H114" s="25">
        <f>+IFERROR(Takeda!E112/$D$5,0)</f>
        <v>733.58699999999999</v>
      </c>
      <c r="I114" s="25">
        <f>+IFERROR(Takeda!F112/$D$5,0)</f>
        <v>3344.864</v>
      </c>
      <c r="J114" s="25">
        <f>+IFERROR(Takeda!G112/$D$5,0)</f>
        <v>3340.5079999999998</v>
      </c>
      <c r="K114" s="25">
        <f>+IFERROR(Takeda!H112/$D$5,0)</f>
        <v>3268.1860000000001</v>
      </c>
      <c r="L114" s="25">
        <f>+IFERROR(Takeda!I112/$D$5,0)</f>
        <v>3355.5010000000002</v>
      </c>
      <c r="M114" s="25">
        <f>+IFERROR(Takeda!J112/$D$5,0)</f>
        <v>4123.4620000000004</v>
      </c>
      <c r="N114" s="25">
        <f>+IFERROR(Takeda!K112/$D$5,0)</f>
        <v>2780.7350000000001</v>
      </c>
      <c r="O114" s="25"/>
      <c r="P114" s="25"/>
      <c r="Q114" s="25"/>
      <c r="R114" s="25"/>
      <c r="S114" s="25"/>
    </row>
    <row r="115" spans="1:76" ht="15" customHeight="1" x14ac:dyDescent="0.45">
      <c r="B115" s="2" t="s">
        <v>306</v>
      </c>
      <c r="D115" s="509" t="s">
        <v>561</v>
      </c>
      <c r="E115" s="25">
        <f>+IFERROR(Takeda!B114/$D$5,0)</f>
        <v>0</v>
      </c>
      <c r="F115" s="25">
        <f>+IFERROR(Takeda!C114/$D$5,0)</f>
        <v>51.539000000000001</v>
      </c>
      <c r="G115" s="25">
        <f>+IFERROR(Takeda!D114/$D$5,0)</f>
        <v>49.92</v>
      </c>
      <c r="H115" s="25">
        <f>+IFERROR(Takeda!E114/$D$5,0)</f>
        <v>61.737000000000002</v>
      </c>
      <c r="I115" s="25">
        <f>+IFERROR(Takeda!F114/$D$5,0)</f>
        <v>112.89700000000001</v>
      </c>
      <c r="J115" s="25">
        <f>+IFERROR(Takeda!G114/$D$5,0)</f>
        <v>269.154</v>
      </c>
      <c r="K115" s="25">
        <f>+IFERROR(Takeda!H114/$D$5,0)</f>
        <v>218.33699999999999</v>
      </c>
      <c r="L115" s="25">
        <f>+IFERROR(Takeda!I114/$D$5,0)</f>
        <v>207.215</v>
      </c>
      <c r="M115" s="25">
        <f>+IFERROR(Takeda!J114/$D$5,0)</f>
        <v>168.57300000000001</v>
      </c>
      <c r="N115" s="25">
        <f>+IFERROR(Takeda!K114/$D$5,0)</f>
        <v>199.05199999999999</v>
      </c>
      <c r="O115" s="25"/>
      <c r="P115" s="25"/>
      <c r="Q115" s="25"/>
      <c r="R115" s="25"/>
      <c r="S115" s="25"/>
    </row>
    <row r="116" spans="1:76" ht="15" customHeight="1" x14ac:dyDescent="0.45">
      <c r="B116" s="2" t="s">
        <v>305</v>
      </c>
      <c r="D116" s="509" t="s">
        <v>562</v>
      </c>
      <c r="E116" s="25">
        <f>+IFERROR(Takeda!B115/$D$5,0)</f>
        <v>-49.134</v>
      </c>
      <c r="F116" s="25">
        <f>+IFERROR(Takeda!C115/$D$5,0)</f>
        <v>4.9329999999999998</v>
      </c>
      <c r="G116" s="25">
        <f>+IFERROR(Takeda!D115/$D$5,0)</f>
        <v>-1977.547</v>
      </c>
      <c r="H116" s="25">
        <f>+IFERROR(Takeda!E115/$D$5,0)</f>
        <v>-63.679000000000002</v>
      </c>
      <c r="I116" s="25">
        <f>+IFERROR(Takeda!F115/$D$5,0)</f>
        <v>-765.98299999999995</v>
      </c>
      <c r="J116" s="25">
        <f>+IFERROR(Takeda!G115/$D$5,0)</f>
        <v>-384.952</v>
      </c>
      <c r="K116" s="25">
        <f>+IFERROR(Takeda!H115/$D$5,0)</f>
        <v>-1472.97</v>
      </c>
      <c r="L116" s="25">
        <f>+IFERROR(Takeda!I115/$D$5,0)</f>
        <v>-54.103999999999999</v>
      </c>
      <c r="M116" s="25">
        <f>+IFERROR(Takeda!J115/$D$5,0)</f>
        <v>-27.236999999999998</v>
      </c>
      <c r="N116" s="25">
        <f>+IFERROR(Takeda!K115/$D$5,0)</f>
        <v>-40.584000000000003</v>
      </c>
      <c r="O116" s="25"/>
      <c r="P116" s="25"/>
      <c r="Q116" s="25"/>
      <c r="R116" s="25"/>
      <c r="S116" s="25"/>
    </row>
    <row r="117" spans="1:76" ht="15" customHeight="1" x14ac:dyDescent="0.45">
      <c r="B117" s="2" t="s">
        <v>305</v>
      </c>
      <c r="D117" s="509" t="s">
        <v>563</v>
      </c>
      <c r="E117" s="25">
        <f>+IFERROR(Takeda!B116/$D$5,0)</f>
        <v>-46.183999999999997</v>
      </c>
      <c r="F117" s="25">
        <f>+IFERROR(Takeda!C116/$D$5,0)</f>
        <v>-93.111999999999995</v>
      </c>
      <c r="G117" s="25">
        <f>+IFERROR(Takeda!D116/$D$5,0)</f>
        <v>2.4279999999999999</v>
      </c>
      <c r="H117" s="25">
        <f>+IFERROR(Takeda!E116/$D$5,0)</f>
        <v>0</v>
      </c>
      <c r="I117" s="25">
        <f>+IFERROR(Takeda!F116/$D$5,0)</f>
        <v>15.442</v>
      </c>
      <c r="J117" s="25">
        <f>+IFERROR(Takeda!G116/$D$5,0)</f>
        <v>-93.491</v>
      </c>
      <c r="K117" s="25">
        <f>+IFERROR(Takeda!H116/$D$5,0)</f>
        <v>313.541</v>
      </c>
      <c r="L117" s="25">
        <f>+IFERROR(Takeda!I116/$D$5,0)</f>
        <v>20.395</v>
      </c>
      <c r="M117" s="25">
        <f>+IFERROR(Takeda!J116/$D$5,0)</f>
        <v>82.046999999999997</v>
      </c>
      <c r="N117" s="25">
        <f>+IFERROR(Takeda!K116/$D$5,0)</f>
        <v>62.530999999999999</v>
      </c>
      <c r="O117" s="25"/>
      <c r="P117" s="25"/>
      <c r="Q117" s="25"/>
      <c r="R117" s="25"/>
      <c r="S117" s="25"/>
    </row>
    <row r="118" spans="1:76" ht="15" customHeight="1" x14ac:dyDescent="0.45">
      <c r="B118" s="2" t="s">
        <v>306</v>
      </c>
      <c r="D118" s="509" t="s">
        <v>564</v>
      </c>
      <c r="E118" s="25">
        <f>+IFERROR(Takeda!B117/$D$5,0)</f>
        <v>0</v>
      </c>
      <c r="F118" s="25">
        <f>+IFERROR(Takeda!C117/$D$5,0)</f>
        <v>126.67700000000001</v>
      </c>
      <c r="G118" s="25">
        <f>+IFERROR(Takeda!D117/$D$5,0)</f>
        <v>288.06799999999998</v>
      </c>
      <c r="H118" s="25">
        <f>+IFERROR(Takeda!E117/$D$5,0)</f>
        <v>279.86200000000002</v>
      </c>
      <c r="I118" s="25">
        <f>+IFERROR(Takeda!F117/$D$5,0)</f>
        <v>304.10199999999998</v>
      </c>
      <c r="J118" s="25">
        <f>+IFERROR(Takeda!G117/$D$5,0)</f>
        <v>632.66200000000003</v>
      </c>
      <c r="K118" s="25">
        <f>+IFERROR(Takeda!H117/$D$5,0)</f>
        <v>231.077</v>
      </c>
      <c r="L118" s="25">
        <f>+IFERROR(Takeda!I117/$D$5,0)</f>
        <v>593.625</v>
      </c>
      <c r="M118" s="25">
        <f>+IFERROR(Takeda!J117/$D$5,0)</f>
        <v>1033.4639999999999</v>
      </c>
      <c r="N118" s="25">
        <f>+IFERROR(Takeda!K117/$D$5,0)</f>
        <v>329.62400000000002</v>
      </c>
      <c r="O118" s="25"/>
      <c r="P118" s="25"/>
      <c r="Q118" s="25"/>
      <c r="R118" s="25"/>
      <c r="S118" s="25"/>
    </row>
    <row r="119" spans="1:76" ht="15" customHeight="1" x14ac:dyDescent="0.45">
      <c r="B119" s="2" t="s">
        <v>305</v>
      </c>
      <c r="D119" s="509" t="s">
        <v>565</v>
      </c>
      <c r="E119" s="25">
        <f>+IFERROR(Takeda!B118/$D$5,0)</f>
        <v>0</v>
      </c>
      <c r="F119" s="25">
        <f>+IFERROR(Takeda!C118/$D$5,0)</f>
        <v>0</v>
      </c>
      <c r="G119" s="25">
        <f>+IFERROR(Takeda!D118/$D$5,0)</f>
        <v>275.91199999999998</v>
      </c>
      <c r="H119" s="25">
        <f>+IFERROR(Takeda!E118/$D$5,0)</f>
        <v>328.58499999999998</v>
      </c>
      <c r="I119" s="25">
        <f>+IFERROR(Takeda!F118/$D$5,0)</f>
        <v>121.01900000000001</v>
      </c>
      <c r="J119" s="25">
        <f>+IFERROR(Takeda!G118/$D$5,0)</f>
        <v>138.81899999999999</v>
      </c>
      <c r="K119" s="25">
        <f>+IFERROR(Takeda!H118/$D$5,0)</f>
        <v>-21.829000000000001</v>
      </c>
      <c r="L119" s="25">
        <f>+IFERROR(Takeda!I118/$D$5,0)</f>
        <v>96.097999999999999</v>
      </c>
      <c r="M119" s="25">
        <f>+IFERROR(Takeda!J118/$D$5,0)</f>
        <v>18.242000000000001</v>
      </c>
      <c r="N119" s="25">
        <f>+IFERROR(Takeda!K118/$D$5,0)</f>
        <v>-3.3170000000000002</v>
      </c>
      <c r="O119" s="25"/>
      <c r="P119" s="25"/>
      <c r="Q119" s="25"/>
      <c r="R119" s="25"/>
      <c r="S119" s="25"/>
    </row>
    <row r="120" spans="1:76" ht="15" customHeight="1" x14ac:dyDescent="0.45">
      <c r="B120" s="2" t="s">
        <v>306</v>
      </c>
      <c r="D120" s="509" t="s">
        <v>566</v>
      </c>
      <c r="E120" s="25">
        <f>+IFERROR(Takeda!B119/$D$5,0)</f>
        <v>0</v>
      </c>
      <c r="F120" s="25">
        <f>+IFERROR(Takeda!C119/$D$5,0)</f>
        <v>0</v>
      </c>
      <c r="G120" s="25">
        <f>+IFERROR(Takeda!D119/$D$5,0)</f>
        <v>229.93100000000001</v>
      </c>
      <c r="H120" s="25">
        <f>+IFERROR(Takeda!E119/$D$5,0)</f>
        <v>152.01400000000001</v>
      </c>
      <c r="I120" s="25">
        <f>+IFERROR(Takeda!F119/$D$5,0)</f>
        <v>216.46600000000001</v>
      </c>
      <c r="J120" s="25">
        <f>+IFERROR(Takeda!G119/$D$5,0)</f>
        <v>295.90499999999997</v>
      </c>
      <c r="K120" s="25">
        <f>+IFERROR(Takeda!H119/$D$5,0)</f>
        <v>320.435</v>
      </c>
      <c r="L120" s="25">
        <f>+IFERROR(Takeda!I119/$D$5,0)</f>
        <v>414.57600000000002</v>
      </c>
      <c r="M120" s="25">
        <f>+IFERROR(Takeda!J119/$D$5,0)</f>
        <v>445.36799999999999</v>
      </c>
      <c r="N120" s="25">
        <f>+IFERROR(Takeda!K119/$D$5,0)</f>
        <v>448.52300000000002</v>
      </c>
      <c r="O120" s="25"/>
      <c r="P120" s="25"/>
      <c r="Q120" s="25"/>
      <c r="R120" s="25"/>
      <c r="S120" s="25"/>
    </row>
    <row r="121" spans="1:76" ht="15" customHeight="1" x14ac:dyDescent="0.45">
      <c r="B121" s="2" t="s">
        <v>306</v>
      </c>
      <c r="D121" s="509" t="s">
        <v>567</v>
      </c>
      <c r="E121" s="25">
        <f>+IFERROR(Takeda!B120/$D$5,0)</f>
        <v>-307.08600000000001</v>
      </c>
      <c r="F121" s="25">
        <f>+IFERROR(Takeda!C120/$D$5,0)</f>
        <v>221.47200000000001</v>
      </c>
      <c r="G121" s="25">
        <f>+IFERROR(Takeda!D120/$D$5,0)</f>
        <v>445.78399999999999</v>
      </c>
      <c r="H121" s="25">
        <f>+IFERROR(Takeda!E120/$D$5,0)</f>
        <v>-313.87400000000002</v>
      </c>
      <c r="I121" s="25">
        <f>+IFERROR(Takeda!F120/$D$5,0)</f>
        <v>-682.84</v>
      </c>
      <c r="J121" s="25">
        <f>+IFERROR(Takeda!G120/$D$5,0)</f>
        <v>-1211.3710000000001</v>
      </c>
      <c r="K121" s="25">
        <f>+IFERROR(Takeda!H120/$D$5,0)</f>
        <v>154.12799999999999</v>
      </c>
      <c r="L121" s="25">
        <f>+IFERROR(Takeda!I120/$D$5,0)</f>
        <v>-205.517</v>
      </c>
      <c r="M121" s="25">
        <f>+IFERROR(Takeda!J120/$D$5,0)</f>
        <v>-1403.175</v>
      </c>
      <c r="N121" s="25">
        <f>+IFERROR(Takeda!K120/$D$5,0)</f>
        <v>119.742</v>
      </c>
      <c r="O121" s="25"/>
      <c r="P121" s="25"/>
      <c r="Q121" s="25"/>
      <c r="R121" s="25"/>
      <c r="S121" s="25"/>
    </row>
    <row r="122" spans="1:76" ht="15" customHeight="1" x14ac:dyDescent="0.45">
      <c r="B122" s="2" t="s">
        <v>308</v>
      </c>
      <c r="D122" s="509" t="s">
        <v>568</v>
      </c>
      <c r="E122" s="25">
        <f>+IFERROR(Takeda!B121/$D$5,0)</f>
        <v>-159.57300000000001</v>
      </c>
      <c r="F122" s="25">
        <f>+IFERROR(Takeda!C121/$D$5,0)</f>
        <v>-362.34800000000001</v>
      </c>
      <c r="G122" s="25">
        <f>+IFERROR(Takeda!D121/$D$5,0)</f>
        <v>-103.81</v>
      </c>
      <c r="H122" s="25">
        <f>+IFERROR(Takeda!E121/$D$5,0)</f>
        <v>-193.09299999999999</v>
      </c>
      <c r="I122" s="25">
        <f>+IFERROR(Takeda!F121/$D$5,0)</f>
        <v>163.85400000000001</v>
      </c>
      <c r="J122" s="25">
        <f>+IFERROR(Takeda!G121/$D$5,0)</f>
        <v>-129.892</v>
      </c>
      <c r="K122" s="25">
        <f>+IFERROR(Takeda!H121/$D$5,0)</f>
        <v>946.14499999999998</v>
      </c>
      <c r="L122" s="25">
        <f>+IFERROR(Takeda!I121/$D$5,0)</f>
        <v>376.608</v>
      </c>
      <c r="M122" s="25">
        <f>+IFERROR(Takeda!J121/$D$5,0)</f>
        <v>62.506999999999998</v>
      </c>
      <c r="N122" s="25">
        <f>+IFERROR(Takeda!K121/$D$5,0)</f>
        <v>175.87100000000001</v>
      </c>
      <c r="O122" s="25"/>
      <c r="P122" s="25"/>
      <c r="Q122" s="25"/>
      <c r="R122" s="25"/>
      <c r="S122" s="25"/>
    </row>
    <row r="123" spans="1:76" ht="15" customHeight="1" x14ac:dyDescent="0.45">
      <c r="B123" s="2" t="s">
        <v>308</v>
      </c>
      <c r="D123" s="509" t="s">
        <v>569</v>
      </c>
      <c r="E123" s="25">
        <f>+IFERROR(Takeda!B122/$D$5,0)</f>
        <v>-26.98</v>
      </c>
      <c r="F123" s="25">
        <f>+IFERROR(Takeda!C122/$D$5,0)</f>
        <v>103.736</v>
      </c>
      <c r="G123" s="25">
        <f>+IFERROR(Takeda!D122/$D$5,0)</f>
        <v>40.92</v>
      </c>
      <c r="H123" s="25">
        <f>+IFERROR(Takeda!E122/$D$5,0)</f>
        <v>-68.367999999999995</v>
      </c>
      <c r="I123" s="25">
        <f>+IFERROR(Takeda!F122/$D$5,0)</f>
        <v>1301.854</v>
      </c>
      <c r="J123" s="25">
        <f>+IFERROR(Takeda!G122/$D$5,0)</f>
        <v>417.31200000000001</v>
      </c>
      <c r="K123" s="25">
        <f>+IFERROR(Takeda!H122/$D$5,0)</f>
        <v>-149.03700000000001</v>
      </c>
      <c r="L123" s="25">
        <f>+IFERROR(Takeda!I122/$D$5,0)</f>
        <v>-298.34399999999999</v>
      </c>
      <c r="M123" s="25">
        <f>+IFERROR(Takeda!J122/$D$5,0)</f>
        <v>-1143.5930000000001</v>
      </c>
      <c r="N123" s="25">
        <f>+IFERROR(Takeda!K122/$D$5,0)</f>
        <v>-105.271</v>
      </c>
      <c r="O123" s="25"/>
      <c r="P123" s="25"/>
      <c r="Q123" s="25"/>
      <c r="R123" s="25"/>
      <c r="S123" s="25"/>
    </row>
    <row r="124" spans="1:76" ht="15" customHeight="1" x14ac:dyDescent="0.45">
      <c r="B124" s="2" t="s">
        <v>308</v>
      </c>
      <c r="D124" s="509" t="s">
        <v>570</v>
      </c>
      <c r="E124" s="25">
        <f>+IFERROR(Takeda!B123/$D$5,0)</f>
        <v>37.506</v>
      </c>
      <c r="F124" s="25">
        <f>+IFERROR(Takeda!C123/$D$5,0)</f>
        <v>491.17500000000001</v>
      </c>
      <c r="G124" s="25">
        <f>+IFERROR(Takeda!D123/$D$5,0)</f>
        <v>76.302999999999997</v>
      </c>
      <c r="H124" s="25">
        <f>+IFERROR(Takeda!E123/$D$5,0)</f>
        <v>231.524</v>
      </c>
      <c r="I124" s="25">
        <f>+IFERROR(Takeda!F123/$D$5,0)</f>
        <v>-653.68499999999995</v>
      </c>
      <c r="J124" s="25">
        <f>+IFERROR(Takeda!G123/$D$5,0)</f>
        <v>34.338999999999999</v>
      </c>
      <c r="K124" s="25">
        <f>+IFERROR(Takeda!H123/$D$5,0)</f>
        <v>307.37099999999998</v>
      </c>
      <c r="L124" s="25">
        <f>+IFERROR(Takeda!I123/$D$5,0)</f>
        <v>-130.721</v>
      </c>
      <c r="M124" s="25">
        <f>+IFERROR(Takeda!J123/$D$5,0)</f>
        <v>532.56600000000003</v>
      </c>
      <c r="N124" s="25">
        <f>+IFERROR(Takeda!K123/$D$5,0)</f>
        <v>-292.77300000000002</v>
      </c>
      <c r="O124" s="25"/>
      <c r="P124" s="25"/>
      <c r="Q124" s="25"/>
      <c r="R124" s="25"/>
      <c r="S124" s="25"/>
    </row>
    <row r="125" spans="1:76" ht="15" customHeight="1" x14ac:dyDescent="0.45">
      <c r="B125" s="2" t="s">
        <v>308</v>
      </c>
      <c r="D125" s="509" t="s">
        <v>626</v>
      </c>
      <c r="E125" s="25">
        <f>+IFERROR(Takeda!B124/$D$5,0)</f>
        <v>1196.894</v>
      </c>
      <c r="F125" s="25">
        <f>+IFERROR(Takeda!C124/$D$5,0)</f>
        <v>-3195.0970000000002</v>
      </c>
      <c r="G125" s="25">
        <f>+IFERROR(Takeda!D124/$D$5,0)</f>
        <v>897.14300000000003</v>
      </c>
      <c r="H125" s="25">
        <f>+IFERROR(Takeda!E124/$D$5,0)</f>
        <v>188.75700000000001</v>
      </c>
      <c r="I125" s="25">
        <f>+IFERROR(Takeda!F124/$D$5,0)</f>
        <v>137.273</v>
      </c>
      <c r="J125" s="25">
        <f>+IFERROR(Takeda!G124/$D$5,0)</f>
        <v>701.20899999999995</v>
      </c>
      <c r="K125" s="25">
        <f>+IFERROR(Takeda!H124/$D$5,0)</f>
        <v>447.18</v>
      </c>
      <c r="L125" s="25">
        <f>+IFERROR(Takeda!I124/$D$5,0)</f>
        <v>125.20699999999999</v>
      </c>
      <c r="M125" s="25">
        <f>+IFERROR(Takeda!J124/$D$5,0)</f>
        <v>-585.721</v>
      </c>
      <c r="N125" s="25">
        <f>+IFERROR(Takeda!K124/$D$5,0)</f>
        <v>204.648</v>
      </c>
      <c r="O125" s="25"/>
      <c r="P125" s="25"/>
      <c r="Q125" s="25"/>
      <c r="R125" s="25"/>
      <c r="S125" s="25"/>
    </row>
    <row r="126" spans="1:76" ht="15" customHeight="1" x14ac:dyDescent="0.45">
      <c r="B126" s="2"/>
      <c r="D126" s="478" t="s">
        <v>519</v>
      </c>
      <c r="E126" s="477">
        <f t="shared" ref="E126:N126" si="17">+SUM(E109:E125)</f>
        <v>1516.2700000000002</v>
      </c>
      <c r="F126" s="477">
        <f t="shared" si="17"/>
        <v>-68.1299999999992</v>
      </c>
      <c r="G126" s="477">
        <f t="shared" si="17"/>
        <v>2978.1609999999996</v>
      </c>
      <c r="H126" s="477">
        <f t="shared" si="17"/>
        <v>2584.1510000000003</v>
      </c>
      <c r="I126" s="477">
        <f t="shared" si="17"/>
        <v>4932.5590000000002</v>
      </c>
      <c r="J126" s="477">
        <f t="shared" si="17"/>
        <v>6532.8329999999996</v>
      </c>
      <c r="K126" s="477">
        <f t="shared" si="17"/>
        <v>8846.2569999999996</v>
      </c>
      <c r="L126" s="477">
        <f t="shared" si="17"/>
        <v>7683.8460000000014</v>
      </c>
      <c r="M126" s="477">
        <f t="shared" si="17"/>
        <v>4823.8490000000002</v>
      </c>
      <c r="N126" s="477">
        <f t="shared" si="17"/>
        <v>6802.31</v>
      </c>
      <c r="O126" s="477"/>
      <c r="P126" s="477"/>
      <c r="Q126" s="477"/>
      <c r="R126" s="477"/>
      <c r="S126" s="477"/>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29"/>
      <c r="BI126" s="29"/>
      <c r="BJ126" s="29"/>
      <c r="BK126" s="29"/>
      <c r="BL126" s="29"/>
      <c r="BM126" s="29"/>
      <c r="BN126" s="29"/>
      <c r="BO126" s="29"/>
      <c r="BP126" s="29"/>
      <c r="BQ126" s="29"/>
      <c r="BR126" s="29"/>
      <c r="BS126" s="29"/>
      <c r="BT126" s="29"/>
      <c r="BU126" s="29"/>
      <c r="BV126" s="29"/>
      <c r="BW126" s="29"/>
      <c r="BX126" s="29"/>
    </row>
    <row r="127" spans="1:76" s="29" customFormat="1" ht="15" customHeight="1" x14ac:dyDescent="0.45">
      <c r="A127" s="1"/>
      <c r="B127" s="2"/>
      <c r="C127" s="1"/>
      <c r="D127" s="479"/>
      <c r="E127" s="23"/>
      <c r="F127" s="23"/>
      <c r="G127" s="23"/>
      <c r="H127" s="23"/>
      <c r="I127" s="23"/>
      <c r="J127" s="23"/>
      <c r="K127" s="23"/>
      <c r="L127" s="23"/>
      <c r="M127" s="23"/>
      <c r="N127" s="23"/>
      <c r="O127" s="23"/>
      <c r="P127" s="23"/>
      <c r="Q127" s="23"/>
      <c r="R127" s="23"/>
      <c r="S127" s="23"/>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row>
    <row r="128" spans="1:76" ht="15" customHeight="1" x14ac:dyDescent="0.45">
      <c r="B128" s="2"/>
      <c r="D128" s="481"/>
      <c r="E128" s="482"/>
      <c r="F128" s="482"/>
      <c r="G128" s="483"/>
      <c r="H128" s="483"/>
      <c r="I128" s="483"/>
      <c r="J128" s="483"/>
      <c r="K128" s="483"/>
      <c r="L128" s="483"/>
      <c r="M128" s="483"/>
      <c r="N128" s="482"/>
      <c r="O128" s="482"/>
      <c r="P128" s="482"/>
      <c r="Q128" s="482"/>
      <c r="R128" s="482"/>
      <c r="S128" s="482"/>
      <c r="T128" s="481"/>
      <c r="U128" s="481"/>
      <c r="V128" s="481"/>
      <c r="W128" s="481"/>
      <c r="X128" s="481"/>
      <c r="Y128" s="481"/>
      <c r="Z128" s="481"/>
      <c r="AA128" s="481"/>
      <c r="AB128" s="481"/>
      <c r="AC128" s="481"/>
      <c r="AD128" s="481"/>
      <c r="AE128" s="481"/>
      <c r="AF128" s="481"/>
      <c r="AG128" s="481"/>
      <c r="AH128" s="481"/>
      <c r="AI128" s="481"/>
      <c r="AJ128" s="481"/>
      <c r="AK128" s="481"/>
      <c r="AL128" s="481"/>
      <c r="AM128" s="481"/>
      <c r="AN128" s="481"/>
      <c r="AO128" s="481"/>
      <c r="AP128" s="481"/>
      <c r="AQ128" s="481"/>
      <c r="AR128" s="481"/>
      <c r="AS128" s="481"/>
      <c r="AT128" s="481"/>
      <c r="AU128" s="481"/>
      <c r="AV128" s="481"/>
      <c r="AW128" s="481"/>
      <c r="AX128" s="481"/>
      <c r="AY128" s="481"/>
      <c r="AZ128" s="481"/>
      <c r="BA128" s="481"/>
      <c r="BB128" s="481"/>
      <c r="BC128" s="481"/>
      <c r="BD128" s="481"/>
      <c r="BE128" s="481"/>
      <c r="BF128" s="481"/>
      <c r="BG128" s="481"/>
      <c r="BH128" s="481"/>
      <c r="BI128" s="481"/>
      <c r="BJ128" s="481"/>
      <c r="BK128" s="481"/>
      <c r="BL128" s="481"/>
      <c r="BM128" s="481"/>
      <c r="BN128" s="481"/>
      <c r="BO128" s="481"/>
      <c r="BP128" s="481"/>
      <c r="BQ128" s="481"/>
      <c r="BR128" s="481"/>
      <c r="BS128" s="481"/>
      <c r="BT128" s="481"/>
      <c r="BU128" s="481"/>
      <c r="BV128" s="481"/>
      <c r="BW128" s="481"/>
      <c r="BX128" s="481"/>
    </row>
    <row r="129" spans="1:76" s="481" customFormat="1" ht="15" customHeight="1" x14ac:dyDescent="0.45">
      <c r="A129" s="484"/>
      <c r="B129" s="6"/>
      <c r="C129" s="484"/>
      <c r="D129" s="480" t="s">
        <v>520</v>
      </c>
      <c r="E129" s="25"/>
      <c r="F129" s="25"/>
      <c r="G129" s="25"/>
      <c r="H129" s="25"/>
      <c r="I129" s="25"/>
      <c r="J129" s="25"/>
      <c r="K129" s="25"/>
      <c r="L129" s="25"/>
      <c r="M129" s="25"/>
      <c r="N129" s="25"/>
      <c r="O129" s="25"/>
      <c r="P129" s="25"/>
      <c r="Q129" s="25"/>
      <c r="R129" s="25"/>
      <c r="S129" s="25"/>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row>
    <row r="130" spans="1:76" ht="15" customHeight="1" x14ac:dyDescent="0.45">
      <c r="B130" s="2"/>
      <c r="D130" s="1"/>
      <c r="E130" s="25"/>
      <c r="F130" s="25"/>
      <c r="G130" s="25"/>
      <c r="H130" s="25"/>
      <c r="I130" s="25"/>
      <c r="J130" s="25"/>
      <c r="K130" s="25"/>
      <c r="L130" s="25"/>
      <c r="M130" s="25"/>
      <c r="N130" s="25"/>
      <c r="O130" s="25"/>
      <c r="P130" s="25"/>
      <c r="Q130" s="25"/>
      <c r="R130" s="25"/>
      <c r="S130" s="25"/>
    </row>
    <row r="131" spans="1:76" ht="15" customHeight="1" x14ac:dyDescent="0.45">
      <c r="B131" s="2" t="s">
        <v>312</v>
      </c>
      <c r="D131" s="509" t="s">
        <v>571</v>
      </c>
      <c r="E131" s="25">
        <f>+IFERROR(Takeda!B127/$D$5,0)</f>
        <v>-381.56099999999998</v>
      </c>
      <c r="F131" s="25">
        <f>+IFERROR(Takeda!C127/$D$5,0)</f>
        <v>-435.27800000000002</v>
      </c>
      <c r="G131" s="25">
        <f>+IFERROR(Takeda!D127/$D$5,0)</f>
        <v>-537.21600000000001</v>
      </c>
      <c r="H131" s="25">
        <f>+IFERROR(Takeda!E127/$D$5,0)</f>
        <v>-528.09299999999996</v>
      </c>
      <c r="I131" s="25">
        <f>+IFERROR(Takeda!F127/$D$5,0)</f>
        <v>-960.10599999999999</v>
      </c>
      <c r="J131" s="25">
        <f>+IFERROR(Takeda!G127/$D$5,0)</f>
        <v>-922.16</v>
      </c>
      <c r="K131" s="25">
        <f>+IFERROR(Takeda!H127/$D$5,0)</f>
        <v>-953.87099999999998</v>
      </c>
      <c r="L131" s="25">
        <f>+IFERROR(Takeda!I127/$D$5,0)</f>
        <v>-1019.149</v>
      </c>
      <c r="M131" s="25">
        <f>+IFERROR(Takeda!J127/$D$5,0)</f>
        <v>-1099.0640000000001</v>
      </c>
      <c r="N131" s="25">
        <f>+IFERROR(Takeda!K127/$D$5,0)</f>
        <v>-1200.52</v>
      </c>
      <c r="O131" s="25"/>
      <c r="P131" s="25"/>
      <c r="Q131" s="25"/>
      <c r="R131" s="25"/>
      <c r="S131" s="25"/>
    </row>
    <row r="132" spans="1:76" ht="15" customHeight="1" x14ac:dyDescent="0.45">
      <c r="B132" s="2" t="s">
        <v>312</v>
      </c>
      <c r="D132" s="509" t="s">
        <v>572</v>
      </c>
      <c r="E132" s="25">
        <f>+IFERROR(Takeda!B128/$D$5,0)</f>
        <v>66.221999999999994</v>
      </c>
      <c r="F132" s="25">
        <f>+IFERROR(Takeda!C128/$D$5,0)</f>
        <v>14.949</v>
      </c>
      <c r="G132" s="25">
        <f>+IFERROR(Takeda!D128/$D$5,0)</f>
        <v>25.45</v>
      </c>
      <c r="H132" s="25">
        <f>+IFERROR(Takeda!E128/$D$5,0)</f>
        <v>52.320999999999998</v>
      </c>
      <c r="I132" s="25">
        <f>+IFERROR(Takeda!F128/$D$5,0)</f>
        <v>367.99200000000002</v>
      </c>
      <c r="J132" s="25">
        <f>+IFERROR(Takeda!G128/$D$5,0)</f>
        <v>452.86700000000002</v>
      </c>
      <c r="K132" s="25">
        <f>+IFERROR(Takeda!H128/$D$5,0)</f>
        <v>31.172000000000001</v>
      </c>
      <c r="L132" s="25">
        <f>+IFERROR(Takeda!I128/$D$5,0)</f>
        <v>10.76</v>
      </c>
      <c r="M132" s="25">
        <f>+IFERROR(Takeda!J128/$D$5,0)</f>
        <v>62.558999999999997</v>
      </c>
      <c r="N132" s="25">
        <f>+IFERROR(Takeda!K128/$D$5,0)</f>
        <v>0.29299999999999998</v>
      </c>
      <c r="O132" s="25"/>
      <c r="P132" s="25"/>
      <c r="Q132" s="25"/>
      <c r="R132" s="25"/>
      <c r="S132" s="25"/>
    </row>
    <row r="133" spans="1:76" ht="15" customHeight="1" x14ac:dyDescent="0.45">
      <c r="B133" s="2" t="s">
        <v>312</v>
      </c>
      <c r="D133" s="509" t="s">
        <v>573</v>
      </c>
      <c r="E133" s="25">
        <f>+IFERROR(Takeda!B129/$D$5,0)</f>
        <v>-61.595999999999997</v>
      </c>
      <c r="F133" s="25">
        <f>+IFERROR(Takeda!C129/$D$5,0)</f>
        <v>0</v>
      </c>
      <c r="G133" s="25">
        <f>+IFERROR(Takeda!D129/$D$5,0)</f>
        <v>-4800.0550000000003</v>
      </c>
      <c r="H133" s="25">
        <f>+IFERROR(Takeda!E129/$D$5,0)</f>
        <v>-593.12199999999996</v>
      </c>
      <c r="I133" s="25">
        <f>+IFERROR(Takeda!F129/$D$5,0)</f>
        <v>-23741.004000000001</v>
      </c>
      <c r="J133" s="25">
        <f>+IFERROR(Takeda!G129/$D$5,0)</f>
        <v>-2.464</v>
      </c>
      <c r="K133" s="25">
        <f>+IFERROR(Takeda!H129/$D$5,0)</f>
        <v>-382.60199999999998</v>
      </c>
      <c r="L133" s="25">
        <f>+IFERROR(Takeda!I129/$D$5,0)</f>
        <v>0</v>
      </c>
      <c r="M133" s="25">
        <f>+IFERROR(Takeda!J129/$D$5,0)</f>
        <v>0</v>
      </c>
      <c r="N133" s="25">
        <f>+IFERROR(Takeda!K129/$D$5,0)</f>
        <v>0</v>
      </c>
      <c r="O133" s="25"/>
      <c r="P133" s="25"/>
      <c r="Q133" s="25"/>
      <c r="R133" s="25"/>
      <c r="S133" s="25"/>
    </row>
    <row r="134" spans="1:76" ht="15" customHeight="1" x14ac:dyDescent="0.45">
      <c r="B134" s="2" t="s">
        <v>312</v>
      </c>
      <c r="D134" s="509" t="s">
        <v>657</v>
      </c>
      <c r="E134" s="25">
        <f>+IFERROR(Takeda!B130/$D$5,0)</f>
        <v>9.0649999999999995</v>
      </c>
      <c r="F134" s="25">
        <f>+IFERROR(Takeda!C130/$D$5,0)</f>
        <v>1.708</v>
      </c>
      <c r="G134" s="25">
        <f>+IFERROR(Takeda!D130/$D$5,0)</f>
        <v>1180.615</v>
      </c>
      <c r="H134" s="25">
        <f>+IFERROR(Takeda!E130/$D$5,0)</f>
        <v>211.40299999999999</v>
      </c>
      <c r="I134" s="25">
        <f>+IFERROR(Takeda!F130/$D$5,0)</f>
        <v>3550.0030000000002</v>
      </c>
      <c r="J134" s="25">
        <f>+IFERROR(Takeda!G130/$D$5,0)</f>
        <v>1732.81</v>
      </c>
      <c r="K134" s="25">
        <f>+IFERROR(Takeda!H130/$D$5,0)</f>
        <v>3139.2370000000001</v>
      </c>
      <c r="L134" s="25">
        <f>+IFERROR(Takeda!I130/$D$5,0)</f>
        <v>189.06200000000001</v>
      </c>
      <c r="M134" s="25">
        <f>+IFERROR(Takeda!J130/$D$5,0)</f>
        <v>54.89</v>
      </c>
      <c r="N134" s="25">
        <f>+IFERROR(Takeda!K130/$D$5,0)</f>
        <v>178.26599999999999</v>
      </c>
      <c r="O134" s="25"/>
      <c r="P134" s="25"/>
      <c r="Q134" s="25"/>
      <c r="R134" s="25"/>
      <c r="S134" s="25"/>
    </row>
    <row r="135" spans="1:76" ht="15" customHeight="1" x14ac:dyDescent="0.45">
      <c r="B135" s="2" t="s">
        <v>312</v>
      </c>
      <c r="D135" s="509" t="s">
        <v>574</v>
      </c>
      <c r="E135" s="25">
        <f>+IFERROR(Takeda!B131/$D$5,0)</f>
        <v>-241.453</v>
      </c>
      <c r="F135" s="25">
        <f>+IFERROR(Takeda!C131/$D$5,0)</f>
        <v>-377.25599999999997</v>
      </c>
      <c r="G135" s="25">
        <f>+IFERROR(Takeda!D131/$D$5,0)</f>
        <v>-583.56200000000001</v>
      </c>
      <c r="H135" s="25">
        <f>+IFERROR(Takeda!E131/$D$5,0)</f>
        <v>-352.49700000000001</v>
      </c>
      <c r="I135" s="25">
        <f>+IFERROR(Takeda!F131/$D$5,0)</f>
        <v>-674.06100000000004</v>
      </c>
      <c r="J135" s="25">
        <f>+IFERROR(Takeda!G131/$D$5,0)</f>
        <v>-616.93399999999997</v>
      </c>
      <c r="K135" s="25">
        <f>+IFERROR(Takeda!H131/$D$5,0)</f>
        <v>-942.28599999999994</v>
      </c>
      <c r="L135" s="25">
        <f>+IFERROR(Takeda!I131/$D$5,0)</f>
        <v>-732.54499999999996</v>
      </c>
      <c r="M135" s="25">
        <f>+IFERROR(Takeda!J131/$D$5,0)</f>
        <v>-4575.7619999999997</v>
      </c>
      <c r="N135" s="25">
        <f>+IFERROR(Takeda!K131/$D$5,0)</f>
        <v>-750.745</v>
      </c>
      <c r="O135" s="25"/>
      <c r="P135" s="25"/>
      <c r="Q135" s="25"/>
      <c r="R135" s="25"/>
      <c r="S135" s="25"/>
    </row>
    <row r="136" spans="1:76" ht="15" customHeight="1" x14ac:dyDescent="0.45">
      <c r="B136" s="2" t="s">
        <v>312</v>
      </c>
      <c r="D136" s="509" t="s">
        <v>575</v>
      </c>
      <c r="E136" s="25">
        <f>+IFERROR(Takeda!B132/$D$5,0)</f>
        <v>-248.33500000000001</v>
      </c>
      <c r="F136" s="25">
        <f>+IFERROR(Takeda!C132/$D$5,0)</f>
        <v>322.74200000000002</v>
      </c>
      <c r="G136" s="25">
        <f>+IFERROR(Takeda!D132/$D$5,0)</f>
        <v>168.64599999999999</v>
      </c>
      <c r="H136" s="25">
        <f>+IFERROR(Takeda!E132/$D$5,0)</f>
        <v>278.45800000000003</v>
      </c>
      <c r="I136" s="25">
        <f>+IFERROR(Takeda!F132/$D$5,0)</f>
        <v>501.101</v>
      </c>
      <c r="J136" s="25">
        <f>+IFERROR(Takeda!G132/$D$5,0)</f>
        <v>538.95799999999997</v>
      </c>
      <c r="K136" s="25">
        <f>+IFERROR(Takeda!H132/$D$5,0)</f>
        <v>48.026000000000003</v>
      </c>
      <c r="L136" s="25">
        <f>+IFERROR(Takeda!I132/$D$5,0)</f>
        <v>110.479</v>
      </c>
      <c r="M136" s="25">
        <f>+IFERROR(Takeda!J132/$D$5,0)</f>
        <v>-43.817</v>
      </c>
      <c r="N136" s="25">
        <f>+IFERROR(Takeda!K132/$D$5,0)</f>
        <v>-389.68700000000001</v>
      </c>
      <c r="O136" s="25"/>
      <c r="P136" s="25"/>
      <c r="Q136" s="25"/>
      <c r="R136" s="25"/>
      <c r="S136" s="25"/>
    </row>
    <row r="137" spans="1:76" ht="15" customHeight="1" x14ac:dyDescent="0.45">
      <c r="B137" s="2" t="s">
        <v>312</v>
      </c>
      <c r="D137" s="509" t="s">
        <v>576</v>
      </c>
      <c r="E137" s="25">
        <f>+IFERROR(Takeda!B133/$D$5,0)</f>
        <v>28.135000000000002</v>
      </c>
      <c r="F137" s="25">
        <f>+IFERROR(Takeda!C133/$D$5,0)</f>
        <v>373.34800000000001</v>
      </c>
      <c r="G137" s="25">
        <f>+IFERROR(Takeda!D133/$D$5,0)</f>
        <v>-210.768</v>
      </c>
      <c r="H137" s="25">
        <f>+IFERROR(Takeda!E133/$D$5,0)</f>
        <v>-12279.661</v>
      </c>
      <c r="I137" s="25">
        <f>+IFERROR(Takeda!F133/$D$5,0)</f>
        <v>13040.111999999999</v>
      </c>
      <c r="J137" s="25">
        <f>+IFERROR(Takeda!G133/$D$5,0)</f>
        <v>-62.436999999999998</v>
      </c>
      <c r="K137" s="25">
        <f>+IFERROR(Takeda!H133/$D$5,0)</f>
        <v>-8.8659999999999997</v>
      </c>
      <c r="L137" s="25">
        <f>+IFERROR(Takeda!I133/$D$5,0)</f>
        <v>32.04</v>
      </c>
      <c r="M137" s="25">
        <f>+IFERROR(Takeda!J133/$D$5,0)</f>
        <v>55.720999999999997</v>
      </c>
      <c r="N137" s="25">
        <f>+IFERROR(Takeda!K133/$D$5,0)</f>
        <v>-335.07900000000001</v>
      </c>
      <c r="O137" s="25"/>
      <c r="P137" s="25"/>
      <c r="Q137" s="25"/>
      <c r="R137" s="25"/>
      <c r="S137" s="25"/>
    </row>
    <row r="138" spans="1:76" ht="15" customHeight="1" x14ac:dyDescent="0.45">
      <c r="B138" s="2"/>
      <c r="D138" s="478" t="s">
        <v>529</v>
      </c>
      <c r="E138" s="477">
        <f t="shared" ref="E138:N138" si="18">+SUM(E131:E137)</f>
        <v>-829.52300000000002</v>
      </c>
      <c r="F138" s="477">
        <f t="shared" si="18"/>
        <v>-99.786999999999921</v>
      </c>
      <c r="G138" s="477">
        <f t="shared" si="18"/>
        <v>-4756.8900000000003</v>
      </c>
      <c r="H138" s="477">
        <f t="shared" si="18"/>
        <v>-13211.190999999999</v>
      </c>
      <c r="I138" s="477">
        <f t="shared" si="18"/>
        <v>-7915.9630000000052</v>
      </c>
      <c r="J138" s="477">
        <f t="shared" si="18"/>
        <v>1120.6399999999999</v>
      </c>
      <c r="K138" s="477">
        <f t="shared" si="18"/>
        <v>930.81000000000017</v>
      </c>
      <c r="L138" s="477">
        <f t="shared" si="18"/>
        <v>-1409.3529999999998</v>
      </c>
      <c r="M138" s="477">
        <f t="shared" si="18"/>
        <v>-5545.473</v>
      </c>
      <c r="N138" s="477">
        <f t="shared" si="18"/>
        <v>-2497.4720000000002</v>
      </c>
      <c r="O138" s="477"/>
      <c r="P138" s="477"/>
      <c r="Q138" s="477"/>
      <c r="R138" s="477"/>
      <c r="S138" s="477"/>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row>
    <row r="139" spans="1:76" s="29" customFormat="1" ht="15" customHeight="1" x14ac:dyDescent="0.45">
      <c r="A139" s="1"/>
      <c r="B139" s="2"/>
      <c r="C139" s="1"/>
      <c r="D139" s="31"/>
      <c r="E139" s="25"/>
      <c r="F139" s="25"/>
      <c r="G139" s="25"/>
      <c r="H139" s="25"/>
      <c r="I139" s="25"/>
      <c r="J139" s="25"/>
      <c r="K139" s="25"/>
      <c r="L139" s="25"/>
      <c r="M139" s="25"/>
      <c r="N139" s="25"/>
      <c r="O139" s="25"/>
      <c r="P139" s="25"/>
      <c r="Q139" s="25"/>
      <c r="R139" s="25"/>
      <c r="S139" s="25"/>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row>
    <row r="140" spans="1:76" ht="15" customHeight="1" x14ac:dyDescent="0.45">
      <c r="B140" s="2"/>
      <c r="D140" s="1"/>
      <c r="E140" s="25"/>
      <c r="F140" s="25"/>
      <c r="G140" s="25"/>
      <c r="H140" s="25"/>
      <c r="I140" s="25"/>
      <c r="J140" s="25"/>
      <c r="K140" s="25"/>
      <c r="L140" s="25"/>
      <c r="M140" s="25"/>
      <c r="N140" s="25"/>
      <c r="O140" s="25"/>
      <c r="P140" s="25"/>
      <c r="Q140" s="25"/>
      <c r="R140" s="25"/>
      <c r="S140" s="25"/>
    </row>
    <row r="141" spans="1:76" ht="15" customHeight="1" x14ac:dyDescent="0.45">
      <c r="B141" s="2" t="s">
        <v>315</v>
      </c>
      <c r="D141" s="510" t="s">
        <v>661</v>
      </c>
      <c r="E141" s="511">
        <f>+IFERROR(Takeda!B136/$D$5,0)</f>
        <v>-1.0349999999999999</v>
      </c>
      <c r="F141" s="511">
        <f>+IFERROR(Takeda!C136/$D$5,0)</f>
        <v>2918.4029999999998</v>
      </c>
      <c r="G141" s="511">
        <f>+IFERROR(Takeda!D136/$D$5,0)</f>
        <v>6804.8630000000003</v>
      </c>
      <c r="H141" s="511">
        <f>+IFERROR(Takeda!E136/$D$5,0)</f>
        <v>12135.552</v>
      </c>
      <c r="I141" s="511">
        <f>+IFERROR(Takeda!F136/$D$5,0)</f>
        <v>17032.432000000001</v>
      </c>
      <c r="J141" s="511">
        <f>+IFERROR(Takeda!G136/$D$5,0)</f>
        <v>9687.5769999999993</v>
      </c>
      <c r="K141" s="511">
        <f>+IFERROR(Takeda!H136/$D$5,0)</f>
        <v>1920.5129999999999</v>
      </c>
      <c r="L141" s="511">
        <f>+IFERROR(Takeda!I136/$D$5,0)</f>
        <v>0</v>
      </c>
      <c r="M141" s="25">
        <f>+IFERROR(Takeda!J136/$D$5,0)</f>
        <v>3264.4870000000001</v>
      </c>
      <c r="N141" s="25">
        <f>+IFERROR(Takeda!K136/$D$5,0)</f>
        <v>6239.4210000000003</v>
      </c>
      <c r="O141" s="25"/>
      <c r="P141" s="25"/>
      <c r="Q141" s="25"/>
      <c r="R141" s="25"/>
      <c r="S141" s="25"/>
    </row>
    <row r="142" spans="1:76" ht="15" customHeight="1" x14ac:dyDescent="0.45">
      <c r="B142" s="2" t="s">
        <v>315</v>
      </c>
      <c r="D142" s="510" t="s">
        <v>662</v>
      </c>
      <c r="E142" s="511">
        <f>+IFERROR(Takeda!B137/$D$5,0)</f>
        <v>-890.16499999999996</v>
      </c>
      <c r="F142" s="511">
        <f>+IFERROR(Takeda!C137/$D$5,0)</f>
        <v>-833.43299999999999</v>
      </c>
      <c r="G142" s="511">
        <f>+IFERROR(Takeda!D137/$D$5,0)</f>
        <v>-4758.3909999999996</v>
      </c>
      <c r="H142" s="511">
        <f>+IFERROR(Takeda!E137/$D$5,0)</f>
        <v>-1095.8910000000001</v>
      </c>
      <c r="I142" s="511">
        <f>+IFERROR(Takeda!F137/$D$5,0)</f>
        <v>-7943.3230000000003</v>
      </c>
      <c r="J142" s="511">
        <f>+IFERROR(Takeda!G137/$D$5,0)</f>
        <v>-13261.003000000001</v>
      </c>
      <c r="K142" s="511">
        <f>+IFERROR(Takeda!H137/$D$5,0)</f>
        <v>-7726.9340000000002</v>
      </c>
      <c r="L142" s="511">
        <f>+IFERROR(Takeda!I137/$D$5,0)</f>
        <v>-3620.1210000000001</v>
      </c>
      <c r="M142" s="25">
        <f>+IFERROR(Takeda!J137/$D$5,0)</f>
        <v>-2968.9479999999999</v>
      </c>
      <c r="N142" s="25">
        <f>+IFERROR(Takeda!K137/$D$5,0)</f>
        <v>-7003.5010000000002</v>
      </c>
      <c r="O142" s="25"/>
      <c r="P142" s="25"/>
      <c r="Q142" s="25"/>
      <c r="R142" s="25"/>
      <c r="S142" s="25"/>
    </row>
    <row r="143" spans="1:76" ht="15" customHeight="1" x14ac:dyDescent="0.45">
      <c r="B143" s="2" t="s">
        <v>418</v>
      </c>
      <c r="D143" s="509" t="s">
        <v>582</v>
      </c>
      <c r="E143" s="511">
        <f>+IFERROR(Takeda!B138/$D$5,0)</f>
        <v>-166.53</v>
      </c>
      <c r="F143" s="511">
        <f>+IFERROR(Takeda!C138/$D$5,0)</f>
        <v>-192.61500000000001</v>
      </c>
      <c r="G143" s="511">
        <f>+IFERROR(Takeda!D138/$D$5,0)</f>
        <v>-148.32</v>
      </c>
      <c r="H143" s="511">
        <f>+IFERROR(Takeda!E138/$D$5,0)</f>
        <v>-9.0250000000000004</v>
      </c>
      <c r="I143" s="511">
        <f>+IFERROR(Takeda!F138/$D$5,0)</f>
        <v>-30.597000000000001</v>
      </c>
      <c r="J143" s="511">
        <f>+IFERROR(Takeda!G138/$D$5,0)</f>
        <v>-17.658000000000001</v>
      </c>
      <c r="K143" s="511">
        <f>+IFERROR(Takeda!H138/$D$5,0)</f>
        <v>-404.70100000000002</v>
      </c>
      <c r="L143" s="511">
        <f>+IFERROR(Takeda!I138/$D$5,0)</f>
        <v>-376.71699999999998</v>
      </c>
      <c r="M143" s="25">
        <f>+IFERROR(Takeda!J138/$D$5,0)</f>
        <v>-15.34</v>
      </c>
      <c r="N143" s="25">
        <f>+IFERROR(Takeda!K138/$D$5,0)</f>
        <v>-11.496</v>
      </c>
      <c r="O143" s="25"/>
      <c r="P143" s="25"/>
      <c r="Q143" s="25"/>
      <c r="R143" s="25"/>
      <c r="S143" s="25"/>
    </row>
    <row r="144" spans="1:76" ht="15" customHeight="1" x14ac:dyDescent="0.45">
      <c r="B144" s="2" t="s">
        <v>317</v>
      </c>
      <c r="D144" s="509" t="s">
        <v>583</v>
      </c>
      <c r="E144" s="511">
        <f>+IFERROR(Takeda!B139/$D$5,0)</f>
        <v>0</v>
      </c>
      <c r="F144" s="511">
        <f>+IFERROR(Takeda!C139/$D$5,0)</f>
        <v>-1179.424</v>
      </c>
      <c r="G144" s="511">
        <f>+IFERROR(Takeda!D139/$D$5,0)</f>
        <v>0</v>
      </c>
      <c r="H144" s="511">
        <f>+IFERROR(Takeda!E139/$D$5,0)</f>
        <v>-1092.0609999999999</v>
      </c>
      <c r="I144" s="511">
        <f>+IFERROR(Takeda!F139/$D$5,0)</f>
        <v>-2306.819</v>
      </c>
      <c r="J144" s="511">
        <f>+IFERROR(Takeda!G139/$D$5,0)</f>
        <v>-2324.3560000000002</v>
      </c>
      <c r="K144" s="511">
        <f>+IFERROR(Takeda!H139/$D$5,0)</f>
        <v>-2169.83</v>
      </c>
      <c r="L144" s="511">
        <f>+IFERROR(Takeda!I139/$D$5,0)</f>
        <v>-2028.896</v>
      </c>
      <c r="M144" s="25">
        <f>+IFERROR(Takeda!J139/$D$5,0)</f>
        <v>-1902.51</v>
      </c>
      <c r="N144" s="25">
        <f>+IFERROR(Takeda!K139/$D$5,0)</f>
        <v>-1844.021</v>
      </c>
      <c r="O144" s="25"/>
      <c r="P144" s="25"/>
      <c r="Q144" s="25"/>
      <c r="R144" s="25"/>
      <c r="S144" s="25"/>
    </row>
    <row r="145" spans="1:76" ht="15" customHeight="1" x14ac:dyDescent="0.45">
      <c r="B145" s="2" t="s">
        <v>317</v>
      </c>
      <c r="D145" s="509" t="s">
        <v>629</v>
      </c>
      <c r="E145" s="511">
        <f>+IFERROR(Takeda!B140/$D$5,0)</f>
        <v>-1067.75</v>
      </c>
      <c r="F145" s="511">
        <f>+IFERROR(Takeda!C140/$D$5,0)</f>
        <v>-2.2330000000000001</v>
      </c>
      <c r="G145" s="511">
        <f>+IFERROR(Takeda!D140/$D$5,0)</f>
        <v>0</v>
      </c>
      <c r="H145" s="511">
        <f>+IFERROR(Takeda!E140/$D$5,0)</f>
        <v>0</v>
      </c>
      <c r="I145" s="511">
        <f>+IFERROR(Takeda!F140/$D$5,0)</f>
        <v>0</v>
      </c>
      <c r="J145" s="511">
        <f>+IFERROR(Takeda!G140/$D$5,0)</f>
        <v>0</v>
      </c>
      <c r="K145" s="511">
        <f>+IFERROR(Takeda!H140/$D$5,0)</f>
        <v>0</v>
      </c>
      <c r="L145" s="511">
        <f>+IFERROR(Takeda!I140/$D$5,0)</f>
        <v>0</v>
      </c>
      <c r="M145" s="25">
        <f>+IFERROR(Takeda!J140/$D$5,0)</f>
        <v>0</v>
      </c>
      <c r="N145" s="25">
        <f>+IFERROR(Takeda!K140/$D$5,0)</f>
        <v>0</v>
      </c>
      <c r="O145" s="25"/>
      <c r="P145" s="25"/>
      <c r="Q145" s="25"/>
      <c r="R145" s="25"/>
      <c r="S145" s="25"/>
    </row>
    <row r="146" spans="1:76" ht="15" customHeight="1" x14ac:dyDescent="0.45">
      <c r="B146" s="2" t="s">
        <v>315</v>
      </c>
      <c r="D146" s="509" t="s">
        <v>584</v>
      </c>
      <c r="E146" s="511">
        <f>+IFERROR(Takeda!B142/$D$5,0)</f>
        <v>-69.707999999999998</v>
      </c>
      <c r="F146" s="511">
        <f>+IFERROR(Takeda!C142/$D$5,0)</f>
        <v>-131.785</v>
      </c>
      <c r="G146" s="511">
        <f>+IFERROR(Takeda!D142/$D$5,0)</f>
        <v>942.88699999999994</v>
      </c>
      <c r="H146" s="511">
        <f>+IFERROR(Takeda!E142/$D$5,0)</f>
        <v>-253.94</v>
      </c>
      <c r="I146" s="511">
        <f>+IFERROR(Takeda!F142/$D$5,0)</f>
        <v>-1235.6849999999999</v>
      </c>
      <c r="J146" s="511">
        <f>+IFERROR(Takeda!G142/$D$5,0)</f>
        <v>-1166.075</v>
      </c>
      <c r="K146" s="511">
        <f>+IFERROR(Takeda!H142/$D$5,0)</f>
        <v>-835.45899999999995</v>
      </c>
      <c r="L146" s="511">
        <f>+IFERROR(Takeda!I142/$D$5,0)</f>
        <v>-840.43299999999999</v>
      </c>
      <c r="M146" s="25">
        <f>+IFERROR(Takeda!J142/$D$5,0)</f>
        <v>-374.58499999999998</v>
      </c>
      <c r="N146" s="25">
        <f>+IFERROR(Takeda!K142/$D$5,0)</f>
        <v>-482.55900000000003</v>
      </c>
      <c r="O146" s="25"/>
      <c r="P146" s="25"/>
      <c r="Q146" s="25"/>
      <c r="R146" s="25"/>
      <c r="S146" s="25"/>
    </row>
    <row r="147" spans="1:76" ht="15" customHeight="1" x14ac:dyDescent="0.45">
      <c r="B147" s="2"/>
      <c r="D147" s="478" t="s">
        <v>538</v>
      </c>
      <c r="E147" s="477">
        <f t="shared" ref="E147:N147" si="19">+SUM(E141:E146)</f>
        <v>-2195.1880000000001</v>
      </c>
      <c r="F147" s="477">
        <f t="shared" si="19"/>
        <v>578.9129999999999</v>
      </c>
      <c r="G147" s="477">
        <f t="shared" si="19"/>
        <v>2841.0390000000007</v>
      </c>
      <c r="H147" s="477">
        <f t="shared" si="19"/>
        <v>9684.6350000000002</v>
      </c>
      <c r="I147" s="477">
        <f t="shared" si="19"/>
        <v>5516.0080000000016</v>
      </c>
      <c r="J147" s="477">
        <f t="shared" si="19"/>
        <v>-7081.5150000000012</v>
      </c>
      <c r="K147" s="477">
        <f t="shared" si="19"/>
        <v>-9216.4110000000019</v>
      </c>
      <c r="L147" s="477">
        <f t="shared" si="19"/>
        <v>-6866.1670000000004</v>
      </c>
      <c r="M147" s="477">
        <f t="shared" si="19"/>
        <v>-1996.8959999999997</v>
      </c>
      <c r="N147" s="477">
        <f t="shared" si="19"/>
        <v>-3102.1559999999999</v>
      </c>
      <c r="O147" s="477"/>
      <c r="P147" s="477"/>
      <c r="Q147" s="477"/>
      <c r="R147" s="477"/>
      <c r="S147" s="477"/>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row>
    <row r="148" spans="1:76" s="29" customFormat="1" ht="15" customHeight="1" x14ac:dyDescent="0.45">
      <c r="A148" s="1"/>
      <c r="B148" s="2"/>
      <c r="C148" s="1"/>
      <c r="D148" s="31"/>
      <c r="E148" s="25"/>
      <c r="F148" s="25"/>
      <c r="G148" s="25"/>
      <c r="H148" s="25"/>
      <c r="I148" s="25"/>
      <c r="J148" s="25"/>
      <c r="K148" s="25"/>
      <c r="L148" s="25"/>
      <c r="M148" s="25"/>
      <c r="N148" s="25"/>
      <c r="O148" s="25"/>
      <c r="P148" s="25"/>
      <c r="Q148" s="25"/>
      <c r="R148" s="25"/>
      <c r="S148" s="25"/>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row>
    <row r="149" spans="1:76" s="26" customFormat="1" ht="15" customHeight="1" x14ac:dyDescent="0.45">
      <c r="A149" s="4"/>
      <c r="B149" s="5"/>
      <c r="C149" s="4"/>
      <c r="D149" s="479" t="s">
        <v>539</v>
      </c>
      <c r="E149" s="23"/>
      <c r="F149" s="23"/>
      <c r="G149" s="23"/>
      <c r="H149" s="23"/>
      <c r="I149" s="23"/>
      <c r="J149" s="23"/>
      <c r="K149" s="23"/>
      <c r="L149" s="23"/>
      <c r="M149" s="23"/>
      <c r="N149" s="23"/>
      <c r="O149" s="23"/>
      <c r="P149" s="23"/>
      <c r="Q149" s="23"/>
      <c r="R149" s="23"/>
      <c r="S149" s="23"/>
    </row>
    <row r="150" spans="1:76" ht="15" customHeight="1" x14ac:dyDescent="0.45">
      <c r="B150" s="2"/>
      <c r="D150" s="31" t="s">
        <v>540</v>
      </c>
      <c r="E150" s="25">
        <f t="shared" ref="E150:N150" si="20">SUM(E126,E138,E147)</f>
        <v>-1508.4409999999998</v>
      </c>
      <c r="F150" s="25">
        <f t="shared" si="20"/>
        <v>410.99600000000078</v>
      </c>
      <c r="G150" s="25">
        <f t="shared" si="20"/>
        <v>1062.31</v>
      </c>
      <c r="H150" s="25">
        <f t="shared" si="20"/>
        <v>-942.40499999999884</v>
      </c>
      <c r="I150" s="25">
        <f t="shared" si="20"/>
        <v>2532.6039999999966</v>
      </c>
      <c r="J150" s="25">
        <f t="shared" si="20"/>
        <v>571.95799999999872</v>
      </c>
      <c r="K150" s="25">
        <f t="shared" si="20"/>
        <v>560.65599999999722</v>
      </c>
      <c r="L150" s="25">
        <f t="shared" si="20"/>
        <v>-591.67399999999907</v>
      </c>
      <c r="M150" s="25">
        <f t="shared" si="20"/>
        <v>-2718.5199999999995</v>
      </c>
      <c r="N150" s="25">
        <f t="shared" si="20"/>
        <v>1202.6819999999998</v>
      </c>
      <c r="O150" s="25"/>
      <c r="P150" s="25"/>
      <c r="Q150" s="25"/>
      <c r="R150" s="25"/>
      <c r="S150" s="25"/>
    </row>
    <row r="151" spans="1:76" ht="15" customHeight="1" x14ac:dyDescent="0.45">
      <c r="B151" s="31" t="s">
        <v>541</v>
      </c>
      <c r="D151" s="31" t="s">
        <v>541</v>
      </c>
      <c r="E151" s="25">
        <f>+IFERROR(Takeda!B145/$D$5,0)</f>
        <v>-134.48500000000001</v>
      </c>
      <c r="F151" s="25">
        <f>+IFERROR(Takeda!C145/$D$5,0)</f>
        <v>-208.23099999999999</v>
      </c>
      <c r="G151" s="25">
        <f>+IFERROR(Takeda!D145/$D$5,0)</f>
        <v>-18.277000000000001</v>
      </c>
      <c r="H151" s="25">
        <f>+IFERROR(Takeda!E145/$D$5,0)</f>
        <v>-150.21799999999999</v>
      </c>
      <c r="I151" s="25">
        <f>+IFERROR(Takeda!F145/$D$5,0)</f>
        <v>-316.25700000000001</v>
      </c>
      <c r="J151" s="25">
        <f>+IFERROR(Takeda!G145/$D$5,0)</f>
        <v>-166.01300000000001</v>
      </c>
      <c r="K151" s="25">
        <f>+IFERROR(Takeda!H145/$D$5,0)</f>
        <v>260.709</v>
      </c>
      <c r="L151" s="25">
        <f>+IFERROR(Takeda!I145/$D$5,0)</f>
        <v>307.26799999999997</v>
      </c>
      <c r="M151" s="25">
        <f>+IFERROR(Takeda!J145/$D$5,0)</f>
        <v>101.773</v>
      </c>
      <c r="N151" s="25">
        <f>+IFERROR(Takeda!K145/$D$5,0)</f>
        <v>54.210999999999999</v>
      </c>
      <c r="O151" s="25"/>
      <c r="P151" s="25"/>
      <c r="Q151" s="25"/>
      <c r="R151" s="25"/>
      <c r="S151" s="25"/>
    </row>
    <row r="152" spans="1:76" ht="15" customHeight="1" x14ac:dyDescent="0.45">
      <c r="B152" s="31" t="s">
        <v>542</v>
      </c>
      <c r="D152" s="31" t="s">
        <v>542</v>
      </c>
      <c r="E152" s="25">
        <f>+IFERROR(Takeda!B146/$D$5,0)</f>
        <v>0</v>
      </c>
      <c r="F152" s="25">
        <f>+IFERROR(Takeda!C146/$D$5,0)</f>
        <v>-217.631</v>
      </c>
      <c r="G152" s="25">
        <f>+IFERROR(Takeda!D146/$D$5,0)</f>
        <v>206.54400000000001</v>
      </c>
      <c r="H152" s="25">
        <f>+IFERROR(Takeda!E146/$D$5,0)</f>
        <v>163.809</v>
      </c>
      <c r="I152" s="25">
        <f>+IFERROR(Takeda!F146/$D$5,0)</f>
        <v>-1.4590000000000001</v>
      </c>
      <c r="J152" s="25">
        <f>+IFERROR(Takeda!G146/$D$5,0)</f>
        <v>5.1660000000000004</v>
      </c>
      <c r="K152" s="25">
        <f>+IFERROR(Takeda!H146/$D$5,0)</f>
        <v>0</v>
      </c>
      <c r="L152" s="25">
        <f>+IFERROR(Takeda!I146/$D$5,0)</f>
        <v>0</v>
      </c>
      <c r="M152" s="25">
        <f>+IFERROR(Takeda!J146/$D$5,0)</f>
        <v>0</v>
      </c>
      <c r="N152" s="25">
        <f>+IFERROR(Takeda!K146/$D$5,0)</f>
        <v>0</v>
      </c>
      <c r="O152" s="25"/>
      <c r="P152" s="25"/>
      <c r="Q152" s="25"/>
      <c r="R152" s="25"/>
      <c r="S152" s="25"/>
    </row>
    <row r="153" spans="1:76" s="29" customFormat="1" ht="15" customHeight="1" x14ac:dyDescent="0.45">
      <c r="A153" s="1"/>
      <c r="B153" s="2"/>
      <c r="C153" s="1"/>
      <c r="D153" s="478" t="s">
        <v>543</v>
      </c>
      <c r="E153" s="477"/>
      <c r="F153" s="477"/>
      <c r="G153" s="477"/>
      <c r="H153" s="477"/>
      <c r="I153" s="477"/>
      <c r="J153" s="477"/>
      <c r="K153" s="477"/>
      <c r="L153" s="477"/>
      <c r="M153" s="477"/>
      <c r="N153" s="477"/>
      <c r="O153" s="477"/>
      <c r="P153" s="477"/>
      <c r="Q153" s="477"/>
      <c r="R153" s="477"/>
      <c r="S153" s="477"/>
    </row>
    <row r="154" spans="1:76" s="472" customFormat="1" ht="15" customHeight="1" x14ac:dyDescent="0.45">
      <c r="A154" s="475"/>
      <c r="B154" s="476"/>
      <c r="C154" s="475"/>
      <c r="D154" s="474" t="s">
        <v>301</v>
      </c>
      <c r="E154" s="473"/>
      <c r="F154" s="473"/>
      <c r="G154" s="473"/>
      <c r="H154" s="473"/>
      <c r="I154" s="473"/>
      <c r="J154" s="473"/>
      <c r="K154" s="473"/>
      <c r="L154" s="473"/>
      <c r="M154" s="473"/>
      <c r="N154" s="473"/>
      <c r="O154" s="473"/>
      <c r="P154" s="473"/>
      <c r="Q154" s="473"/>
      <c r="R154" s="473"/>
      <c r="S154" s="473"/>
    </row>
    <row r="155" spans="1:76" ht="15" customHeight="1" x14ac:dyDescent="0.45">
      <c r="B155" s="2"/>
      <c r="D155" s="31"/>
      <c r="E155" s="25"/>
      <c r="F155" s="25"/>
      <c r="G155" s="25"/>
      <c r="H155" s="25"/>
      <c r="I155" s="25"/>
      <c r="J155" s="25"/>
      <c r="K155" s="25"/>
      <c r="L155" s="25"/>
      <c r="M155" s="25"/>
      <c r="N155" s="25"/>
      <c r="O155" s="25"/>
      <c r="P155" s="25"/>
      <c r="Q155" s="25"/>
      <c r="R155" s="25"/>
      <c r="S155" s="25"/>
    </row>
    <row r="156" spans="1:76" ht="15" customHeight="1" x14ac:dyDescent="0.45">
      <c r="B156" s="2"/>
      <c r="D156" s="31"/>
      <c r="E156" s="25"/>
      <c r="F156" s="25"/>
      <c r="G156" s="25"/>
      <c r="H156" s="25"/>
      <c r="I156" s="25"/>
      <c r="J156" s="25"/>
      <c r="K156" s="25"/>
      <c r="L156" s="25"/>
      <c r="M156" s="25"/>
      <c r="N156" s="25"/>
      <c r="O156" s="25"/>
      <c r="P156" s="25"/>
      <c r="Q156" s="25"/>
      <c r="R156" s="25"/>
      <c r="S156" s="25"/>
    </row>
    <row r="157" spans="1:76" ht="15" customHeight="1" x14ac:dyDescent="0.45">
      <c r="B157" s="2"/>
      <c r="D157" s="31"/>
      <c r="E157" s="25"/>
      <c r="F157" s="25"/>
      <c r="G157" s="25"/>
      <c r="H157" s="25"/>
      <c r="I157" s="25"/>
      <c r="J157" s="25"/>
      <c r="K157" s="25"/>
      <c r="L157" s="25"/>
      <c r="M157" s="25"/>
      <c r="N157" s="25"/>
      <c r="O157" s="25"/>
      <c r="P157" s="25"/>
      <c r="Q157" s="25"/>
      <c r="R157" s="25"/>
      <c r="S157" s="25"/>
    </row>
    <row r="158" spans="1:76" ht="15" customHeight="1" x14ac:dyDescent="0.45">
      <c r="B158" s="2"/>
      <c r="D158" s="471"/>
      <c r="E158" s="470"/>
      <c r="F158" s="470"/>
      <c r="G158" s="470"/>
      <c r="H158" s="470"/>
      <c r="I158" s="470"/>
      <c r="J158" s="470"/>
      <c r="K158" s="470"/>
      <c r="L158" s="25"/>
      <c r="M158" s="25"/>
      <c r="N158" s="25"/>
      <c r="O158" s="25"/>
      <c r="P158" s="25"/>
      <c r="Q158" s="25"/>
      <c r="R158" s="25"/>
      <c r="S158" s="25"/>
    </row>
    <row r="159" spans="1:76" ht="15" customHeight="1" x14ac:dyDescent="0.45">
      <c r="B159" s="2"/>
      <c r="D159" s="468"/>
      <c r="G159" s="469"/>
      <c r="H159" s="469"/>
      <c r="I159" s="470"/>
      <c r="J159" s="469"/>
      <c r="K159" s="469"/>
      <c r="L159" s="469"/>
      <c r="M159" s="469"/>
      <c r="N159" s="25"/>
      <c r="O159" s="25"/>
      <c r="P159" s="25"/>
      <c r="Q159" s="25"/>
      <c r="R159" s="25"/>
      <c r="S159" s="25"/>
    </row>
    <row r="160" spans="1:76" ht="15" customHeight="1" x14ac:dyDescent="0.45">
      <c r="B160" s="2"/>
      <c r="D160" s="468"/>
      <c r="G160" s="469"/>
      <c r="H160" s="470"/>
      <c r="I160" s="470"/>
      <c r="J160" s="470"/>
      <c r="K160" s="470"/>
      <c r="L160" s="469"/>
      <c r="M160" s="469"/>
      <c r="N160" s="25"/>
      <c r="O160" s="25"/>
      <c r="P160" s="25"/>
      <c r="Q160" s="25"/>
      <c r="R160" s="25"/>
      <c r="S160" s="25"/>
    </row>
    <row r="161" spans="2:19" ht="15" customHeight="1" x14ac:dyDescent="0.45">
      <c r="B161" s="2"/>
      <c r="D161" s="31"/>
      <c r="E161" s="25"/>
      <c r="F161" s="25"/>
      <c r="G161" s="25"/>
      <c r="H161" s="25"/>
      <c r="I161" s="25"/>
      <c r="J161" s="25"/>
      <c r="K161" s="25"/>
      <c r="L161" s="25"/>
      <c r="M161" s="25"/>
      <c r="N161" s="25"/>
      <c r="O161" s="25"/>
      <c r="P161" s="25"/>
      <c r="Q161" s="25"/>
      <c r="R161" s="25"/>
      <c r="S161" s="25"/>
    </row>
    <row r="162" spans="2:19" ht="15" customHeight="1" x14ac:dyDescent="0.45">
      <c r="B162" s="2"/>
      <c r="D162" s="468"/>
      <c r="E162" s="25"/>
      <c r="F162" s="25"/>
      <c r="G162" s="25"/>
      <c r="H162" s="25"/>
      <c r="I162" s="25"/>
      <c r="J162" s="25"/>
      <c r="K162" s="25"/>
      <c r="L162" s="25"/>
      <c r="M162" s="25"/>
      <c r="N162" s="25"/>
      <c r="O162" s="25"/>
      <c r="P162" s="25"/>
      <c r="Q162" s="25"/>
      <c r="R162" s="25"/>
      <c r="S162" s="25"/>
    </row>
    <row r="163" spans="2:19" ht="15" customHeight="1" x14ac:dyDescent="0.45">
      <c r="B163" s="2"/>
      <c r="D163" s="468"/>
      <c r="E163" s="25"/>
      <c r="F163" s="25"/>
      <c r="G163" s="25"/>
      <c r="H163" s="25"/>
      <c r="I163" s="25"/>
      <c r="J163" s="25"/>
      <c r="K163" s="25"/>
      <c r="L163" s="25"/>
      <c r="M163" s="25"/>
      <c r="N163" s="25"/>
      <c r="O163" s="25"/>
      <c r="P163" s="25"/>
      <c r="Q163" s="25"/>
      <c r="R163" s="25"/>
      <c r="S163" s="25"/>
    </row>
    <row r="164" spans="2:19" ht="15" customHeight="1" x14ac:dyDescent="0.45">
      <c r="B164" s="2"/>
      <c r="D164" s="31"/>
      <c r="E164" s="25"/>
      <c r="F164" s="25"/>
      <c r="G164" s="25"/>
      <c r="H164" s="25"/>
      <c r="I164" s="25"/>
      <c r="J164" s="25"/>
      <c r="K164" s="25"/>
      <c r="L164" s="25"/>
      <c r="M164" s="25"/>
      <c r="N164" s="25"/>
      <c r="O164" s="25"/>
      <c r="P164" s="25"/>
      <c r="Q164" s="25"/>
      <c r="R164" s="25"/>
      <c r="S164" s="25"/>
    </row>
    <row r="165" spans="2:19" ht="15" customHeight="1" x14ac:dyDescent="0.45">
      <c r="B165" s="2"/>
      <c r="D165" s="31"/>
      <c r="E165" s="25"/>
      <c r="F165" s="25"/>
      <c r="G165" s="25"/>
      <c r="H165" s="25"/>
      <c r="I165" s="25"/>
      <c r="J165" s="25"/>
      <c r="K165" s="25"/>
      <c r="L165" s="25"/>
      <c r="M165" s="25"/>
      <c r="N165" s="25"/>
      <c r="O165" s="25"/>
      <c r="P165" s="25"/>
      <c r="Q165" s="25"/>
      <c r="R165" s="25"/>
      <c r="S165" s="25"/>
    </row>
    <row r="166" spans="2:19" ht="15" customHeight="1" x14ac:dyDescent="0.45">
      <c r="B166" s="2"/>
      <c r="E166" s="25"/>
      <c r="F166" s="25"/>
      <c r="G166" s="25"/>
      <c r="H166" s="25"/>
      <c r="I166" s="25"/>
      <c r="J166" s="25"/>
      <c r="K166" s="25"/>
      <c r="L166" s="25"/>
      <c r="M166" s="25"/>
      <c r="N166" s="25"/>
      <c r="O166" s="25"/>
      <c r="P166" s="25"/>
      <c r="Q166" s="25"/>
      <c r="R166" s="25"/>
      <c r="S166" s="25"/>
    </row>
    <row r="167" spans="2:19" ht="15" customHeight="1" x14ac:dyDescent="0.45">
      <c r="B167" s="2"/>
      <c r="D167" s="31"/>
      <c r="E167" s="25"/>
      <c r="F167" s="25"/>
      <c r="G167" s="25"/>
      <c r="H167" s="25"/>
      <c r="I167" s="25"/>
      <c r="J167" s="25"/>
      <c r="K167" s="25"/>
      <c r="L167" s="25"/>
      <c r="M167" s="25"/>
      <c r="N167" s="25"/>
      <c r="O167" s="25"/>
      <c r="P167" s="25"/>
      <c r="Q167" s="25"/>
      <c r="R167" s="25"/>
      <c r="S167" s="25"/>
    </row>
    <row r="168" spans="2:19" ht="15" customHeight="1" x14ac:dyDescent="0.45">
      <c r="B168" s="2"/>
      <c r="D168" s="31"/>
      <c r="E168" s="25"/>
      <c r="F168" s="25"/>
      <c r="G168" s="25"/>
      <c r="H168" s="25"/>
      <c r="I168" s="25"/>
      <c r="J168" s="25"/>
      <c r="K168" s="25"/>
      <c r="L168" s="25"/>
      <c r="M168" s="25"/>
      <c r="N168" s="25"/>
      <c r="O168" s="25"/>
      <c r="P168" s="25"/>
      <c r="Q168" s="25"/>
      <c r="R168" s="25"/>
      <c r="S168" s="25"/>
    </row>
    <row r="169" spans="2:19" ht="15" customHeight="1" x14ac:dyDescent="0.45">
      <c r="B169" s="2"/>
      <c r="D169" s="31"/>
      <c r="E169" s="25"/>
      <c r="F169" s="25"/>
      <c r="G169" s="25"/>
      <c r="H169" s="25"/>
      <c r="I169" s="25"/>
      <c r="J169" s="25"/>
      <c r="K169" s="25"/>
      <c r="L169" s="25"/>
      <c r="M169" s="25"/>
      <c r="N169" s="25"/>
      <c r="O169" s="25"/>
      <c r="P169" s="25"/>
      <c r="Q169" s="25"/>
      <c r="R169" s="25"/>
      <c r="S169" s="25"/>
    </row>
    <row r="170" spans="2:19" ht="15" customHeight="1" x14ac:dyDescent="0.45">
      <c r="B170" s="2"/>
      <c r="D170" s="31"/>
      <c r="E170" s="25"/>
      <c r="F170" s="25"/>
      <c r="G170" s="25"/>
      <c r="H170" s="25"/>
      <c r="I170" s="25"/>
      <c r="J170" s="25"/>
      <c r="K170" s="25"/>
      <c r="L170" s="25"/>
      <c r="M170" s="25"/>
      <c r="N170" s="25"/>
      <c r="O170" s="25"/>
      <c r="P170" s="25"/>
      <c r="Q170" s="25"/>
      <c r="R170" s="25"/>
      <c r="S170" s="25"/>
    </row>
    <row r="171" spans="2:19" ht="15" customHeight="1" x14ac:dyDescent="0.45">
      <c r="B171" s="2"/>
    </row>
    <row r="172" spans="2:19" ht="15" customHeight="1" x14ac:dyDescent="0.45">
      <c r="B172" s="2"/>
      <c r="D172" s="31"/>
      <c r="E172" s="25"/>
      <c r="F172" s="25"/>
      <c r="G172" s="25"/>
      <c r="H172" s="25"/>
      <c r="I172" s="25"/>
      <c r="J172" s="25"/>
      <c r="K172" s="25"/>
      <c r="L172" s="25"/>
      <c r="M172" s="25"/>
      <c r="N172" s="25"/>
      <c r="O172" s="25"/>
      <c r="P172" s="25"/>
      <c r="Q172" s="25"/>
      <c r="R172" s="25"/>
      <c r="S172" s="25"/>
    </row>
    <row r="173" spans="2:19" ht="15" customHeight="1" x14ac:dyDescent="0.45">
      <c r="B173" s="2"/>
      <c r="D173" s="31"/>
      <c r="E173" s="25"/>
      <c r="F173" s="25"/>
      <c r="G173" s="25"/>
      <c r="H173" s="25"/>
      <c r="I173" s="25"/>
      <c r="J173" s="25"/>
      <c r="K173" s="25"/>
      <c r="L173" s="25"/>
      <c r="M173" s="25"/>
      <c r="N173" s="25"/>
      <c r="O173" s="25"/>
      <c r="P173" s="25"/>
      <c r="Q173" s="25"/>
      <c r="R173" s="25"/>
      <c r="S173" s="25"/>
    </row>
    <row r="174" spans="2:19" ht="15" customHeight="1" x14ac:dyDescent="0.45">
      <c r="B174" s="2"/>
      <c r="D174" s="31"/>
      <c r="E174" s="25"/>
      <c r="F174" s="25"/>
      <c r="G174" s="25"/>
      <c r="H174" s="25"/>
      <c r="I174" s="25"/>
      <c r="J174" s="25"/>
      <c r="K174" s="25"/>
      <c r="L174" s="25"/>
      <c r="M174" s="25"/>
      <c r="N174" s="25"/>
      <c r="O174" s="25"/>
      <c r="P174" s="25"/>
      <c r="Q174" s="25"/>
      <c r="R174" s="25"/>
      <c r="S174" s="25"/>
    </row>
    <row r="175" spans="2:19" ht="15" customHeight="1" x14ac:dyDescent="0.45">
      <c r="B175" s="2"/>
      <c r="D175" s="31"/>
      <c r="E175" s="25"/>
      <c r="F175" s="25"/>
      <c r="G175" s="25"/>
      <c r="H175" s="25"/>
      <c r="I175" s="25"/>
      <c r="J175" s="25"/>
      <c r="K175" s="25"/>
      <c r="L175" s="25"/>
      <c r="M175" s="25"/>
      <c r="N175" s="25"/>
      <c r="O175" s="25"/>
      <c r="P175" s="25"/>
      <c r="Q175" s="25"/>
      <c r="R175" s="25"/>
      <c r="S175" s="25"/>
    </row>
    <row r="176" spans="2:19" ht="15" customHeight="1" x14ac:dyDescent="0.45">
      <c r="B176" s="2"/>
      <c r="D176" s="31"/>
      <c r="E176" s="25"/>
      <c r="F176" s="25"/>
      <c r="G176" s="25"/>
      <c r="H176" s="25"/>
      <c r="I176" s="25"/>
      <c r="J176" s="25"/>
      <c r="K176" s="25"/>
      <c r="L176" s="25"/>
      <c r="M176" s="25"/>
      <c r="N176" s="25"/>
      <c r="O176" s="25"/>
      <c r="P176" s="25"/>
      <c r="Q176" s="25"/>
      <c r="R176" s="25"/>
      <c r="S176" s="25"/>
    </row>
    <row r="177" spans="2:19" ht="15" customHeight="1" x14ac:dyDescent="0.45">
      <c r="B177" s="2"/>
      <c r="D177" s="31"/>
      <c r="E177" s="25"/>
      <c r="F177" s="25"/>
      <c r="G177" s="25"/>
      <c r="H177" s="25"/>
      <c r="I177" s="25"/>
      <c r="J177" s="25"/>
      <c r="K177" s="25"/>
      <c r="L177" s="25"/>
      <c r="M177" s="25"/>
      <c r="N177" s="25"/>
      <c r="O177" s="25"/>
      <c r="P177" s="25"/>
      <c r="Q177" s="25"/>
      <c r="R177" s="25"/>
      <c r="S177" s="25"/>
    </row>
    <row r="178" spans="2:19" ht="15" customHeight="1" x14ac:dyDescent="0.45">
      <c r="B178" s="2"/>
      <c r="D178" s="31"/>
      <c r="E178" s="25"/>
      <c r="F178" s="25"/>
      <c r="G178" s="25"/>
      <c r="H178" s="25"/>
      <c r="I178" s="25"/>
      <c r="J178" s="25"/>
      <c r="K178" s="25"/>
      <c r="L178" s="25"/>
      <c r="M178" s="25"/>
      <c r="N178" s="25"/>
      <c r="O178" s="25"/>
      <c r="P178" s="25"/>
      <c r="Q178" s="25"/>
      <c r="R178" s="25"/>
      <c r="S178" s="25"/>
    </row>
    <row r="179" spans="2:19" ht="15" customHeight="1" x14ac:dyDescent="0.45">
      <c r="B179" s="2"/>
      <c r="D179" s="31"/>
      <c r="E179" s="25"/>
      <c r="F179" s="25"/>
      <c r="G179" s="25"/>
      <c r="H179" s="25"/>
      <c r="I179" s="25"/>
      <c r="J179" s="25"/>
      <c r="K179" s="25"/>
      <c r="L179" s="25"/>
      <c r="M179" s="25"/>
      <c r="N179" s="25"/>
      <c r="O179" s="25"/>
      <c r="P179" s="25"/>
      <c r="Q179" s="25"/>
      <c r="R179" s="25"/>
      <c r="S179" s="25"/>
    </row>
    <row r="180" spans="2:19" ht="15" customHeight="1" x14ac:dyDescent="0.45">
      <c r="B180" s="2"/>
      <c r="D180" s="31"/>
      <c r="E180" s="25"/>
      <c r="F180" s="25"/>
      <c r="G180" s="25"/>
      <c r="H180" s="25"/>
      <c r="I180" s="25"/>
      <c r="J180" s="25"/>
      <c r="K180" s="25"/>
      <c r="L180" s="25"/>
      <c r="M180" s="25"/>
      <c r="N180" s="25"/>
      <c r="O180" s="25"/>
      <c r="P180" s="25"/>
      <c r="Q180" s="25"/>
      <c r="R180" s="25"/>
      <c r="S180" s="25"/>
    </row>
    <row r="181" spans="2:19" ht="15" customHeight="1" x14ac:dyDescent="0.45">
      <c r="B181" s="2"/>
      <c r="D181" s="31"/>
      <c r="E181" s="25"/>
      <c r="F181" s="25"/>
      <c r="G181" s="25"/>
      <c r="H181" s="25"/>
      <c r="I181" s="25"/>
      <c r="J181" s="25"/>
      <c r="K181" s="25"/>
      <c r="L181" s="25"/>
      <c r="M181" s="25"/>
      <c r="N181" s="25"/>
      <c r="O181" s="25"/>
      <c r="P181" s="25"/>
      <c r="Q181" s="25"/>
      <c r="R181" s="25"/>
      <c r="S181" s="25"/>
    </row>
    <row r="182" spans="2:19" ht="15" customHeight="1" x14ac:dyDescent="0.45">
      <c r="B182" s="2"/>
      <c r="D182" s="31"/>
      <c r="E182" s="25"/>
      <c r="F182" s="25"/>
      <c r="G182" s="25"/>
      <c r="H182" s="25"/>
      <c r="I182" s="25"/>
      <c r="J182" s="25"/>
      <c r="K182" s="25"/>
      <c r="L182" s="25"/>
      <c r="M182" s="25"/>
      <c r="N182" s="25"/>
      <c r="O182" s="25"/>
      <c r="P182" s="25"/>
      <c r="Q182" s="25"/>
      <c r="R182" s="25"/>
      <c r="S182" s="25"/>
    </row>
    <row r="183" spans="2:19" ht="15" customHeight="1" x14ac:dyDescent="0.45">
      <c r="B183" s="2"/>
      <c r="D183" s="31"/>
      <c r="E183" s="25"/>
      <c r="F183" s="25"/>
      <c r="G183" s="25"/>
      <c r="H183" s="25"/>
      <c r="I183" s="25"/>
      <c r="J183" s="25"/>
      <c r="K183" s="25"/>
      <c r="L183" s="25"/>
      <c r="M183" s="25"/>
      <c r="N183" s="25"/>
      <c r="O183" s="25"/>
      <c r="P183" s="25"/>
      <c r="Q183" s="25"/>
      <c r="R183" s="25"/>
      <c r="S183" s="25"/>
    </row>
    <row r="184" spans="2:19" ht="15" customHeight="1" x14ac:dyDescent="0.45">
      <c r="B184" s="2"/>
      <c r="D184" s="31"/>
      <c r="E184" s="25"/>
      <c r="F184" s="25"/>
      <c r="G184" s="25"/>
      <c r="H184" s="25"/>
      <c r="I184" s="25"/>
      <c r="J184" s="25"/>
      <c r="K184" s="25"/>
      <c r="L184" s="25"/>
      <c r="M184" s="25"/>
      <c r="N184" s="25"/>
      <c r="O184" s="25"/>
      <c r="P184" s="25"/>
      <c r="Q184" s="25"/>
      <c r="R184" s="25"/>
      <c r="S184" s="25"/>
    </row>
    <row r="185" spans="2:19" ht="15" customHeight="1" x14ac:dyDescent="0.45">
      <c r="B185" s="2"/>
      <c r="D185" s="31"/>
      <c r="E185" s="25"/>
      <c r="F185" s="25"/>
      <c r="G185" s="25"/>
      <c r="H185" s="25"/>
      <c r="I185" s="25"/>
      <c r="J185" s="25"/>
      <c r="K185" s="25"/>
      <c r="L185" s="25"/>
      <c r="M185" s="25"/>
      <c r="N185" s="25"/>
      <c r="O185" s="25"/>
      <c r="P185" s="25"/>
      <c r="Q185" s="25"/>
      <c r="R185" s="25"/>
      <c r="S185" s="25"/>
    </row>
    <row r="186" spans="2:19" ht="15" customHeight="1" x14ac:dyDescent="0.45">
      <c r="B186" s="2"/>
      <c r="D186" s="31"/>
      <c r="E186" s="25"/>
      <c r="F186" s="25"/>
      <c r="G186" s="25"/>
      <c r="H186" s="25"/>
      <c r="I186" s="25"/>
      <c r="J186" s="25"/>
      <c r="K186" s="25"/>
      <c r="L186" s="25"/>
      <c r="M186" s="25"/>
      <c r="N186" s="25"/>
      <c r="O186" s="25"/>
      <c r="P186" s="25"/>
      <c r="Q186" s="25"/>
      <c r="R186" s="25"/>
      <c r="S186" s="25"/>
    </row>
    <row r="187" spans="2:19" ht="15" customHeight="1" x14ac:dyDescent="0.45">
      <c r="B187" s="2"/>
      <c r="D187" s="31"/>
      <c r="E187" s="25"/>
      <c r="F187" s="25"/>
      <c r="G187" s="25"/>
      <c r="H187" s="25"/>
      <c r="I187" s="25"/>
      <c r="J187" s="25"/>
      <c r="K187" s="25"/>
      <c r="L187" s="25"/>
      <c r="M187" s="25"/>
      <c r="N187" s="25"/>
      <c r="O187" s="25"/>
      <c r="P187" s="25"/>
      <c r="Q187" s="25"/>
      <c r="R187" s="25"/>
      <c r="S187" s="25"/>
    </row>
    <row r="188" spans="2:19" ht="15" customHeight="1" x14ac:dyDescent="0.45">
      <c r="B188" s="2"/>
      <c r="D188" s="31"/>
      <c r="E188" s="25"/>
      <c r="F188" s="25"/>
      <c r="G188" s="25"/>
      <c r="H188" s="25"/>
      <c r="I188" s="25"/>
      <c r="J188" s="25"/>
      <c r="K188" s="25"/>
      <c r="L188" s="25"/>
      <c r="M188" s="25"/>
      <c r="N188" s="25"/>
      <c r="O188" s="25"/>
      <c r="P188" s="25"/>
      <c r="Q188" s="25"/>
      <c r="R188" s="25"/>
      <c r="S188" s="25"/>
    </row>
    <row r="189" spans="2:19" ht="15" customHeight="1" x14ac:dyDescent="0.45">
      <c r="B189" s="2"/>
      <c r="D189" s="31"/>
      <c r="E189" s="25"/>
      <c r="F189" s="25"/>
      <c r="G189" s="25"/>
      <c r="H189" s="25"/>
      <c r="I189" s="25"/>
      <c r="J189" s="25"/>
      <c r="K189" s="25"/>
      <c r="L189" s="25"/>
      <c r="M189" s="25"/>
      <c r="N189" s="25"/>
      <c r="O189" s="25"/>
      <c r="P189" s="25"/>
      <c r="Q189" s="25"/>
      <c r="R189" s="25"/>
      <c r="S189" s="25"/>
    </row>
    <row r="190" spans="2:19" ht="15" customHeight="1" x14ac:dyDescent="0.45">
      <c r="B190" s="2"/>
      <c r="D190" s="31"/>
      <c r="E190" s="25"/>
      <c r="F190" s="25"/>
      <c r="G190" s="25"/>
      <c r="H190" s="25"/>
      <c r="I190" s="25"/>
      <c r="J190" s="25"/>
      <c r="K190" s="25"/>
      <c r="L190" s="25"/>
      <c r="M190" s="25"/>
      <c r="N190" s="25"/>
      <c r="O190" s="25"/>
      <c r="P190" s="25"/>
      <c r="Q190" s="25"/>
      <c r="R190" s="25"/>
      <c r="S190" s="25"/>
    </row>
    <row r="191" spans="2:19" ht="15" customHeight="1" x14ac:dyDescent="0.45">
      <c r="B191" s="2"/>
      <c r="D191" s="31"/>
      <c r="E191" s="25"/>
      <c r="F191" s="25"/>
      <c r="G191" s="25"/>
      <c r="H191" s="25"/>
      <c r="I191" s="25"/>
      <c r="J191" s="25"/>
      <c r="K191" s="25"/>
      <c r="L191" s="25"/>
      <c r="M191" s="25"/>
      <c r="N191" s="25"/>
      <c r="O191" s="25"/>
      <c r="P191" s="25"/>
      <c r="Q191" s="25"/>
      <c r="R191" s="25"/>
      <c r="S191" s="25"/>
    </row>
    <row r="192" spans="2:19" ht="15" customHeight="1" x14ac:dyDescent="0.45">
      <c r="B192" s="2"/>
      <c r="D192" s="31"/>
      <c r="E192" s="25"/>
      <c r="F192" s="25"/>
      <c r="G192" s="25"/>
      <c r="H192" s="25"/>
      <c r="I192" s="25"/>
      <c r="J192" s="25"/>
      <c r="K192" s="25"/>
      <c r="L192" s="25"/>
      <c r="M192" s="25"/>
      <c r="N192" s="25"/>
      <c r="O192" s="25"/>
      <c r="P192" s="25"/>
      <c r="Q192" s="25"/>
      <c r="R192" s="25"/>
      <c r="S192" s="25"/>
    </row>
    <row r="193" spans="2:19" ht="15" customHeight="1" x14ac:dyDescent="0.45">
      <c r="B193" s="2"/>
      <c r="D193" s="31"/>
      <c r="E193" s="25"/>
      <c r="F193" s="25"/>
      <c r="G193" s="25"/>
      <c r="H193" s="25"/>
      <c r="I193" s="25"/>
      <c r="J193" s="25"/>
      <c r="K193" s="25"/>
      <c r="L193" s="25"/>
      <c r="M193" s="25"/>
      <c r="N193" s="25"/>
      <c r="O193" s="25"/>
      <c r="P193" s="25"/>
      <c r="Q193" s="25"/>
      <c r="R193" s="25"/>
      <c r="S193" s="25"/>
    </row>
    <row r="194" spans="2:19" ht="15" customHeight="1" x14ac:dyDescent="0.45">
      <c r="B194" s="2"/>
      <c r="D194" s="31"/>
      <c r="E194" s="25"/>
      <c r="F194" s="25"/>
      <c r="G194" s="25"/>
      <c r="H194" s="25"/>
      <c r="I194" s="25"/>
      <c r="J194" s="25"/>
      <c r="K194" s="25"/>
      <c r="L194" s="25"/>
      <c r="M194" s="25"/>
      <c r="N194" s="25"/>
      <c r="O194" s="25"/>
      <c r="P194" s="25"/>
      <c r="Q194" s="25"/>
      <c r="R194" s="25"/>
      <c r="S194" s="25"/>
    </row>
    <row r="195" spans="2:19" ht="15" customHeight="1" x14ac:dyDescent="0.45">
      <c r="B195" s="2"/>
      <c r="D195" s="31"/>
      <c r="E195" s="25"/>
      <c r="F195" s="25"/>
      <c r="G195" s="25"/>
      <c r="H195" s="25"/>
      <c r="I195" s="25"/>
      <c r="J195" s="25"/>
      <c r="K195" s="25"/>
      <c r="L195" s="25"/>
      <c r="M195" s="25"/>
      <c r="N195" s="25"/>
      <c r="O195" s="25"/>
      <c r="P195" s="25"/>
      <c r="Q195" s="25"/>
      <c r="R195" s="25"/>
      <c r="S195" s="25"/>
    </row>
    <row r="196" spans="2:19" ht="15" customHeight="1" x14ac:dyDescent="0.45">
      <c r="B196" s="2"/>
      <c r="D196" s="31"/>
      <c r="E196" s="25"/>
      <c r="F196" s="25"/>
      <c r="G196" s="25"/>
      <c r="H196" s="25"/>
      <c r="I196" s="25"/>
      <c r="J196" s="25"/>
      <c r="K196" s="25"/>
      <c r="L196" s="25"/>
      <c r="M196" s="25"/>
      <c r="N196" s="25"/>
      <c r="O196" s="25"/>
      <c r="P196" s="25"/>
      <c r="Q196" s="25"/>
      <c r="R196" s="25"/>
      <c r="S196" s="25"/>
    </row>
    <row r="197" spans="2:19" ht="15" customHeight="1" x14ac:dyDescent="0.45">
      <c r="B197" s="2"/>
      <c r="D197" s="31"/>
      <c r="E197" s="25"/>
      <c r="F197" s="25"/>
      <c r="G197" s="25"/>
      <c r="H197" s="25"/>
      <c r="I197" s="25"/>
      <c r="J197" s="25"/>
      <c r="K197" s="25"/>
      <c r="L197" s="25"/>
      <c r="M197" s="25"/>
      <c r="N197" s="25"/>
      <c r="O197" s="25"/>
      <c r="P197" s="25"/>
      <c r="Q197" s="25"/>
      <c r="R197" s="25"/>
      <c r="S197" s="25"/>
    </row>
    <row r="198" spans="2:19" ht="15" customHeight="1" x14ac:dyDescent="0.45">
      <c r="B198" s="2"/>
      <c r="D198" s="31"/>
      <c r="E198" s="25"/>
      <c r="F198" s="25"/>
      <c r="G198" s="25"/>
      <c r="H198" s="25"/>
      <c r="I198" s="25"/>
      <c r="J198" s="25"/>
      <c r="K198" s="25"/>
      <c r="L198" s="25"/>
      <c r="M198" s="25"/>
      <c r="N198" s="25"/>
      <c r="O198" s="25"/>
      <c r="P198" s="25"/>
      <c r="Q198" s="25"/>
      <c r="R198" s="25"/>
      <c r="S198" s="25"/>
    </row>
    <row r="199" spans="2:19" ht="15" customHeight="1" x14ac:dyDescent="0.45">
      <c r="B199" s="2"/>
      <c r="D199" s="31"/>
      <c r="E199" s="25"/>
      <c r="F199" s="25"/>
      <c r="G199" s="25"/>
      <c r="H199" s="25"/>
      <c r="I199" s="25"/>
      <c r="J199" s="25"/>
      <c r="K199" s="25"/>
      <c r="L199" s="25"/>
      <c r="M199" s="25"/>
      <c r="N199" s="25"/>
      <c r="O199" s="25"/>
      <c r="P199" s="25"/>
      <c r="Q199" s="25"/>
      <c r="R199" s="25"/>
      <c r="S199" s="25"/>
    </row>
    <row r="200" spans="2:19" ht="15" customHeight="1" x14ac:dyDescent="0.45">
      <c r="B200" s="2"/>
      <c r="D200" s="31"/>
      <c r="E200" s="25"/>
      <c r="F200" s="25"/>
      <c r="G200" s="25"/>
      <c r="H200" s="25"/>
      <c r="I200" s="25"/>
      <c r="J200" s="25"/>
      <c r="K200" s="25"/>
      <c r="L200" s="25"/>
      <c r="M200" s="25"/>
      <c r="N200" s="25"/>
      <c r="O200" s="25"/>
      <c r="P200" s="25"/>
      <c r="Q200" s="25"/>
      <c r="R200" s="25"/>
      <c r="S200" s="25"/>
    </row>
    <row r="201" spans="2:19" ht="15" customHeight="1" x14ac:dyDescent="0.45">
      <c r="B201" s="2"/>
      <c r="D201" s="31"/>
      <c r="E201" s="25"/>
      <c r="F201" s="25"/>
      <c r="G201" s="25"/>
      <c r="H201" s="25"/>
      <c r="I201" s="25"/>
      <c r="J201" s="25"/>
      <c r="K201" s="25"/>
      <c r="L201" s="25"/>
      <c r="M201" s="25"/>
      <c r="N201" s="25"/>
      <c r="O201" s="25"/>
      <c r="P201" s="25"/>
      <c r="Q201" s="25"/>
      <c r="R201" s="25"/>
      <c r="S201" s="25"/>
    </row>
    <row r="202" spans="2:19" ht="15" customHeight="1" x14ac:dyDescent="0.45">
      <c r="B202" s="2"/>
    </row>
    <row r="215" spans="1:76" ht="15" customHeight="1" x14ac:dyDescent="0.45">
      <c r="T215" s="467"/>
      <c r="U215" s="467"/>
      <c r="V215" s="467"/>
      <c r="W215" s="467"/>
      <c r="X215" s="467"/>
      <c r="Y215" s="467"/>
      <c r="Z215" s="467"/>
      <c r="AA215" s="467"/>
      <c r="AB215" s="467"/>
      <c r="AC215" s="467"/>
      <c r="AD215" s="467"/>
      <c r="AE215" s="467"/>
      <c r="AF215" s="467"/>
      <c r="AG215" s="467"/>
      <c r="AH215" s="467"/>
      <c r="AI215" s="467"/>
      <c r="AJ215" s="467"/>
      <c r="AK215" s="467"/>
      <c r="AL215" s="467"/>
      <c r="AM215" s="467"/>
      <c r="AN215" s="467"/>
      <c r="AO215" s="467"/>
      <c r="AP215" s="467"/>
      <c r="AQ215" s="467"/>
      <c r="AR215" s="467"/>
      <c r="AS215" s="467"/>
      <c r="AT215" s="467"/>
      <c r="AU215" s="467"/>
      <c r="AV215" s="467"/>
      <c r="AW215" s="467"/>
      <c r="AX215" s="467"/>
      <c r="AY215" s="467"/>
      <c r="AZ215" s="467"/>
      <c r="BA215" s="467"/>
      <c r="BB215" s="467"/>
      <c r="BC215" s="467"/>
      <c r="BD215" s="467"/>
      <c r="BE215" s="467"/>
      <c r="BF215" s="467"/>
      <c r="BG215" s="467"/>
      <c r="BH215" s="467"/>
      <c r="BI215" s="467"/>
      <c r="BJ215" s="467"/>
      <c r="BK215" s="467"/>
      <c r="BL215" s="467"/>
      <c r="BM215" s="467"/>
      <c r="BN215" s="467"/>
      <c r="BO215" s="467"/>
      <c r="BP215" s="467"/>
      <c r="BQ215" s="467"/>
      <c r="BR215" s="467"/>
      <c r="BS215" s="467"/>
      <c r="BT215" s="467"/>
      <c r="BU215" s="467"/>
      <c r="BV215" s="467"/>
      <c r="BW215" s="467"/>
      <c r="BX215" s="467"/>
    </row>
    <row r="216" spans="1:76" s="467" customFormat="1" ht="15" customHeight="1" x14ac:dyDescent="0.45">
      <c r="A216" s="1"/>
      <c r="B216" s="2" t="s">
        <v>406</v>
      </c>
      <c r="C216" s="2"/>
      <c r="E216" s="24"/>
      <c r="F216" s="24"/>
      <c r="G216" s="24"/>
      <c r="H216" s="24"/>
      <c r="I216" s="24"/>
      <c r="J216" s="24"/>
      <c r="K216" s="24"/>
      <c r="L216" s="24"/>
      <c r="M216" s="24"/>
      <c r="N216" s="24"/>
      <c r="O216" s="24"/>
      <c r="P216" s="24"/>
      <c r="Q216" s="24"/>
      <c r="R216" s="24"/>
      <c r="S216" s="24"/>
    </row>
    <row r="217" spans="1:76" s="467" customFormat="1" ht="15" customHeight="1" x14ac:dyDescent="0.45">
      <c r="A217" s="1"/>
      <c r="B217" s="2" t="s">
        <v>267</v>
      </c>
      <c r="C217" s="2"/>
      <c r="E217" s="24"/>
      <c r="F217" s="24"/>
      <c r="G217" s="24"/>
      <c r="H217" s="24"/>
      <c r="I217" s="24"/>
      <c r="J217" s="24"/>
      <c r="K217" s="24"/>
      <c r="L217" s="24"/>
      <c r="M217" s="24"/>
      <c r="N217" s="24"/>
      <c r="O217" s="24"/>
      <c r="P217" s="24"/>
      <c r="Q217" s="24"/>
      <c r="R217" s="24"/>
      <c r="S217" s="24"/>
    </row>
    <row r="218" spans="1:76" s="467" customFormat="1" ht="15" customHeight="1" x14ac:dyDescent="0.45">
      <c r="A218" s="1"/>
      <c r="B218" s="2" t="s">
        <v>268</v>
      </c>
      <c r="C218" s="2"/>
      <c r="E218" s="24"/>
      <c r="F218" s="24"/>
      <c r="G218" s="24"/>
      <c r="H218" s="24"/>
      <c r="I218" s="24"/>
      <c r="J218" s="24"/>
      <c r="K218" s="24"/>
      <c r="L218" s="24"/>
      <c r="M218" s="24"/>
      <c r="N218" s="24"/>
      <c r="O218" s="24"/>
      <c r="P218" s="24"/>
      <c r="Q218" s="24"/>
      <c r="R218" s="24"/>
      <c r="S218" s="24"/>
    </row>
    <row r="219" spans="1:76" s="467" customFormat="1" ht="15" customHeight="1" x14ac:dyDescent="0.45">
      <c r="A219" s="1"/>
      <c r="B219" s="2" t="s">
        <v>269</v>
      </c>
      <c r="C219" s="2"/>
      <c r="E219" s="24"/>
      <c r="F219" s="24"/>
      <c r="G219" s="24"/>
      <c r="H219" s="24"/>
      <c r="I219" s="24"/>
      <c r="J219" s="24"/>
      <c r="K219" s="24"/>
      <c r="L219" s="24"/>
      <c r="M219" s="24"/>
      <c r="N219" s="24"/>
      <c r="O219" s="24"/>
      <c r="P219" s="24"/>
      <c r="Q219" s="24"/>
      <c r="R219" s="24"/>
      <c r="S219" s="24"/>
    </row>
    <row r="220" spans="1:76" s="467" customFormat="1" ht="15" customHeight="1" x14ac:dyDescent="0.45">
      <c r="A220" s="1"/>
      <c r="B220" s="2" t="s">
        <v>272</v>
      </c>
      <c r="C220" s="2"/>
      <c r="E220" s="24"/>
      <c r="F220" s="24"/>
      <c r="G220" s="24"/>
      <c r="H220" s="24"/>
      <c r="I220" s="24"/>
      <c r="J220" s="24"/>
      <c r="K220" s="24"/>
      <c r="L220" s="24"/>
      <c r="M220" s="24"/>
      <c r="N220" s="24"/>
      <c r="O220" s="24"/>
      <c r="P220" s="24"/>
      <c r="Q220" s="24"/>
      <c r="R220" s="24"/>
      <c r="S220" s="24"/>
    </row>
    <row r="221" spans="1:76" s="467" customFormat="1" ht="15" customHeight="1" x14ac:dyDescent="0.45">
      <c r="A221" s="1"/>
      <c r="B221" s="2" t="s">
        <v>273</v>
      </c>
      <c r="C221" s="2"/>
      <c r="E221" s="24"/>
      <c r="F221" s="24"/>
      <c r="G221" s="24"/>
      <c r="H221" s="24"/>
      <c r="I221" s="24"/>
      <c r="J221" s="24"/>
      <c r="K221" s="24"/>
      <c r="L221" s="24"/>
      <c r="M221" s="24"/>
      <c r="N221" s="24"/>
      <c r="O221" s="24"/>
      <c r="P221" s="24"/>
      <c r="Q221" s="24"/>
      <c r="R221" s="24"/>
      <c r="S221" s="24"/>
    </row>
    <row r="222" spans="1:76" s="467" customFormat="1" ht="15" customHeight="1" x14ac:dyDescent="0.45">
      <c r="A222" s="1"/>
      <c r="B222" s="2" t="s">
        <v>274</v>
      </c>
      <c r="C222" s="2"/>
      <c r="E222" s="24"/>
      <c r="F222" s="24"/>
      <c r="G222" s="24"/>
      <c r="H222" s="24"/>
      <c r="I222" s="24"/>
      <c r="J222" s="24"/>
      <c r="K222" s="24"/>
      <c r="L222" s="24"/>
      <c r="M222" s="24"/>
      <c r="N222" s="24"/>
      <c r="O222" s="24"/>
      <c r="P222" s="24"/>
      <c r="Q222" s="24"/>
      <c r="R222" s="24"/>
      <c r="S222" s="24"/>
    </row>
    <row r="223" spans="1:76" s="467" customFormat="1" ht="15" customHeight="1" x14ac:dyDescent="0.45">
      <c r="A223" s="1"/>
      <c r="B223" s="2" t="s">
        <v>270</v>
      </c>
      <c r="C223" s="2"/>
      <c r="E223" s="24"/>
      <c r="F223" s="24"/>
      <c r="G223" s="24"/>
      <c r="H223" s="24"/>
      <c r="I223" s="24"/>
      <c r="J223" s="24"/>
      <c r="K223" s="24"/>
      <c r="L223" s="24"/>
      <c r="M223" s="24"/>
      <c r="N223" s="24"/>
      <c r="O223" s="24"/>
      <c r="P223" s="24"/>
      <c r="Q223" s="24"/>
      <c r="R223" s="24"/>
      <c r="S223" s="24"/>
    </row>
    <row r="224" spans="1:76" s="467" customFormat="1" ht="15" customHeight="1" x14ac:dyDescent="0.45">
      <c r="A224" s="1"/>
      <c r="B224" s="2" t="s">
        <v>275</v>
      </c>
      <c r="C224" s="2"/>
      <c r="E224" s="24"/>
      <c r="F224" s="24"/>
      <c r="G224" s="24"/>
      <c r="H224" s="24"/>
      <c r="I224" s="24"/>
      <c r="J224" s="24"/>
      <c r="K224" s="24"/>
      <c r="L224" s="24"/>
      <c r="M224" s="24"/>
      <c r="N224" s="24"/>
      <c r="O224" s="24"/>
      <c r="P224" s="24"/>
      <c r="Q224" s="24"/>
      <c r="R224" s="24"/>
      <c r="S224" s="24"/>
    </row>
    <row r="225" spans="1:76" s="467" customFormat="1" ht="15" customHeight="1" x14ac:dyDescent="0.45">
      <c r="A225" s="1"/>
      <c r="B225" s="2" t="s">
        <v>255</v>
      </c>
      <c r="C225" s="2"/>
      <c r="E225" s="24"/>
      <c r="F225" s="24"/>
      <c r="G225" s="24"/>
      <c r="H225" s="24"/>
      <c r="I225" s="24"/>
      <c r="J225" s="24"/>
      <c r="K225" s="24"/>
      <c r="L225" s="24"/>
      <c r="M225" s="24"/>
      <c r="N225" s="24"/>
      <c r="O225" s="24"/>
      <c r="P225" s="24"/>
      <c r="Q225" s="24"/>
      <c r="R225" s="24"/>
      <c r="S225" s="24"/>
    </row>
    <row r="226" spans="1:76" s="467" customFormat="1" ht="15" customHeight="1" x14ac:dyDescent="0.45">
      <c r="A226" s="1"/>
      <c r="B226" s="2" t="s">
        <v>407</v>
      </c>
      <c r="C226" s="2"/>
      <c r="E226" s="24"/>
      <c r="F226" s="24"/>
      <c r="G226" s="24"/>
      <c r="H226" s="24"/>
      <c r="I226" s="24"/>
      <c r="J226" s="24"/>
      <c r="K226" s="24"/>
      <c r="L226" s="24"/>
      <c r="M226" s="24"/>
      <c r="N226" s="24"/>
      <c r="O226" s="24"/>
      <c r="P226" s="24"/>
      <c r="Q226" s="24"/>
      <c r="R226" s="24"/>
      <c r="S226" s="24"/>
    </row>
    <row r="227" spans="1:76" s="467" customFormat="1" ht="15" customHeight="1" x14ac:dyDescent="0.45">
      <c r="A227" s="1"/>
      <c r="B227" s="2" t="s">
        <v>408</v>
      </c>
      <c r="C227" s="2"/>
      <c r="E227" s="24"/>
      <c r="F227" s="24"/>
      <c r="G227" s="24"/>
      <c r="H227" s="24"/>
      <c r="I227" s="24"/>
      <c r="J227" s="24"/>
      <c r="K227" s="24"/>
      <c r="L227" s="24"/>
      <c r="M227" s="24"/>
      <c r="N227" s="24"/>
      <c r="O227" s="24"/>
      <c r="P227" s="24"/>
      <c r="Q227" s="24"/>
      <c r="R227" s="24"/>
      <c r="S227" s="24"/>
    </row>
    <row r="228" spans="1:76" s="467" customFormat="1" ht="15" customHeight="1" x14ac:dyDescent="0.45">
      <c r="A228" s="1"/>
      <c r="B228" s="2" t="s">
        <v>409</v>
      </c>
      <c r="C228" s="2"/>
      <c r="E228" s="24"/>
      <c r="F228" s="24"/>
      <c r="G228" s="24"/>
      <c r="H228" s="24"/>
      <c r="I228" s="24"/>
      <c r="J228" s="24"/>
      <c r="K228" s="24"/>
      <c r="L228" s="24"/>
      <c r="M228" s="24"/>
      <c r="N228" s="24"/>
      <c r="O228" s="24"/>
      <c r="P228" s="24"/>
      <c r="Q228" s="24"/>
      <c r="R228" s="24"/>
      <c r="S228" s="24"/>
    </row>
    <row r="229" spans="1:76" s="467" customFormat="1" ht="15" customHeight="1" x14ac:dyDescent="0.45">
      <c r="A229" s="1"/>
      <c r="B229" s="2" t="s">
        <v>410</v>
      </c>
      <c r="C229" s="2"/>
      <c r="E229" s="24"/>
      <c r="F229" s="24"/>
      <c r="G229" s="24"/>
      <c r="H229" s="24"/>
      <c r="I229" s="24"/>
      <c r="J229" s="24"/>
      <c r="K229" s="24"/>
      <c r="L229" s="24"/>
      <c r="M229" s="24"/>
      <c r="N229" s="24"/>
      <c r="O229" s="24"/>
      <c r="P229" s="24"/>
      <c r="Q229" s="24"/>
      <c r="R229" s="24"/>
      <c r="S229" s="24"/>
    </row>
    <row r="230" spans="1:76" s="467" customFormat="1" ht="15" customHeight="1" x14ac:dyDescent="0.45">
      <c r="A230" s="1"/>
      <c r="B230" s="2" t="s">
        <v>411</v>
      </c>
      <c r="C230" s="2"/>
      <c r="E230" s="24"/>
      <c r="F230" s="24"/>
      <c r="G230" s="24"/>
      <c r="H230" s="24"/>
      <c r="I230" s="24"/>
      <c r="J230" s="24"/>
      <c r="K230" s="24"/>
      <c r="L230" s="24"/>
      <c r="M230" s="24"/>
      <c r="N230" s="24"/>
      <c r="O230" s="24"/>
      <c r="P230" s="24"/>
      <c r="Q230" s="24"/>
      <c r="R230" s="24"/>
      <c r="S230" s="24"/>
    </row>
    <row r="231" spans="1:76" s="467" customFormat="1" ht="15" customHeight="1" x14ac:dyDescent="0.45">
      <c r="A231" s="1"/>
      <c r="B231" s="2" t="s">
        <v>263</v>
      </c>
      <c r="C231" s="2"/>
      <c r="E231" s="24"/>
      <c r="F231" s="24"/>
      <c r="G231" s="24"/>
      <c r="H231" s="24"/>
      <c r="I231" s="24"/>
      <c r="J231" s="24"/>
      <c r="K231" s="24"/>
      <c r="L231" s="24"/>
      <c r="M231" s="24"/>
      <c r="N231" s="24"/>
      <c r="O231" s="24"/>
      <c r="P231" s="24"/>
      <c r="Q231" s="24"/>
      <c r="R231" s="24"/>
      <c r="S231" s="24"/>
    </row>
    <row r="232" spans="1:76" s="467" customFormat="1" ht="15" customHeight="1" x14ac:dyDescent="0.45">
      <c r="A232" s="1"/>
      <c r="B232" s="2" t="s">
        <v>412</v>
      </c>
      <c r="C232" s="2"/>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row>
    <row r="233" spans="1:76" ht="15" customHeight="1" x14ac:dyDescent="0.45">
      <c r="T233" s="467"/>
      <c r="U233" s="467"/>
      <c r="V233" s="467"/>
      <c r="W233" s="467"/>
      <c r="X233" s="467"/>
      <c r="Y233" s="467"/>
      <c r="Z233" s="467"/>
      <c r="AA233" s="467"/>
      <c r="AB233" s="467"/>
      <c r="AC233" s="467"/>
      <c r="AD233" s="467"/>
      <c r="AE233" s="467"/>
      <c r="AF233" s="467"/>
      <c r="AG233" s="467"/>
      <c r="AH233" s="467"/>
      <c r="AI233" s="467"/>
      <c r="AJ233" s="467"/>
      <c r="AK233" s="467"/>
      <c r="AL233" s="467"/>
      <c r="AM233" s="467"/>
      <c r="AN233" s="467"/>
      <c r="AO233" s="467"/>
      <c r="AP233" s="467"/>
      <c r="AQ233" s="467"/>
      <c r="AR233" s="467"/>
      <c r="AS233" s="467"/>
      <c r="AT233" s="467"/>
      <c r="AU233" s="467"/>
      <c r="AV233" s="467"/>
      <c r="AW233" s="467"/>
      <c r="AX233" s="467"/>
      <c r="AY233" s="467"/>
      <c r="AZ233" s="467"/>
      <c r="BA233" s="467"/>
      <c r="BB233" s="467"/>
      <c r="BC233" s="467"/>
      <c r="BD233" s="467"/>
      <c r="BE233" s="467"/>
      <c r="BF233" s="467"/>
      <c r="BG233" s="467"/>
      <c r="BH233" s="467"/>
      <c r="BI233" s="467"/>
      <c r="BJ233" s="467"/>
      <c r="BK233" s="467"/>
      <c r="BL233" s="467"/>
      <c r="BM233" s="467"/>
      <c r="BN233" s="467"/>
      <c r="BO233" s="467"/>
      <c r="BP233" s="467"/>
      <c r="BQ233" s="467"/>
      <c r="BR233" s="467"/>
      <c r="BS233" s="467"/>
      <c r="BT233" s="467"/>
      <c r="BU233" s="467"/>
      <c r="BV233" s="467"/>
      <c r="BW233" s="467"/>
      <c r="BX233" s="467"/>
    </row>
    <row r="234" spans="1:76" s="467" customFormat="1" ht="15" customHeight="1" x14ac:dyDescent="0.45">
      <c r="A234" s="1"/>
      <c r="B234" s="2" t="s">
        <v>285</v>
      </c>
      <c r="C234" s="1"/>
      <c r="E234" s="24"/>
      <c r="F234" s="24"/>
      <c r="G234" s="24"/>
      <c r="H234" s="24"/>
      <c r="I234" s="24"/>
      <c r="J234" s="24"/>
      <c r="K234" s="24"/>
      <c r="L234" s="24"/>
      <c r="M234" s="24"/>
      <c r="N234" s="24"/>
      <c r="O234" s="24"/>
      <c r="P234" s="24"/>
      <c r="Q234" s="24"/>
      <c r="R234" s="24"/>
      <c r="S234" s="24"/>
    </row>
    <row r="235" spans="1:76" s="467" customFormat="1" ht="15" customHeight="1" x14ac:dyDescent="0.45">
      <c r="A235" s="1"/>
      <c r="B235" s="2" t="s">
        <v>283</v>
      </c>
      <c r="C235" s="1"/>
      <c r="E235" s="24"/>
      <c r="F235" s="24"/>
      <c r="G235" s="24"/>
      <c r="H235" s="24"/>
      <c r="I235" s="24"/>
      <c r="J235" s="24"/>
      <c r="K235" s="24"/>
      <c r="L235" s="24"/>
      <c r="M235" s="24"/>
      <c r="N235" s="24"/>
      <c r="O235" s="24"/>
      <c r="P235" s="24"/>
      <c r="Q235" s="24"/>
      <c r="R235" s="24"/>
      <c r="S235" s="24"/>
    </row>
    <row r="236" spans="1:76" s="467" customFormat="1" ht="15" customHeight="1" x14ac:dyDescent="0.45">
      <c r="A236" s="1"/>
      <c r="B236" s="2" t="s">
        <v>136</v>
      </c>
      <c r="C236" s="1"/>
      <c r="E236" s="24"/>
      <c r="F236" s="24"/>
      <c r="G236" s="24"/>
      <c r="H236" s="24"/>
      <c r="I236" s="24"/>
      <c r="J236" s="24"/>
      <c r="K236" s="24"/>
      <c r="L236" s="24"/>
      <c r="M236" s="24"/>
      <c r="N236" s="24"/>
      <c r="O236" s="24"/>
      <c r="P236" s="24"/>
      <c r="Q236" s="24"/>
      <c r="R236" s="24"/>
      <c r="S236" s="24"/>
    </row>
    <row r="237" spans="1:76" s="467" customFormat="1" ht="15" customHeight="1" x14ac:dyDescent="0.45">
      <c r="A237" s="1"/>
      <c r="B237" s="2" t="s">
        <v>284</v>
      </c>
      <c r="C237" s="1"/>
      <c r="E237" s="24"/>
      <c r="F237" s="24"/>
      <c r="G237" s="24"/>
      <c r="H237" s="24"/>
      <c r="I237" s="24"/>
      <c r="J237" s="24"/>
      <c r="K237" s="24"/>
      <c r="L237" s="24"/>
      <c r="M237" s="24"/>
      <c r="N237" s="24"/>
      <c r="O237" s="24"/>
      <c r="P237" s="24"/>
      <c r="Q237" s="24"/>
      <c r="R237" s="24"/>
      <c r="S237" s="24"/>
    </row>
    <row r="238" spans="1:76" s="467" customFormat="1" ht="15" customHeight="1" x14ac:dyDescent="0.45">
      <c r="A238" s="1"/>
      <c r="B238" s="2" t="s">
        <v>278</v>
      </c>
      <c r="C238" s="1"/>
      <c r="E238" s="24"/>
      <c r="F238" s="24"/>
      <c r="G238" s="24"/>
      <c r="H238" s="24"/>
      <c r="I238" s="24"/>
      <c r="J238" s="24"/>
      <c r="K238" s="24"/>
      <c r="L238" s="24"/>
      <c r="M238" s="24"/>
      <c r="N238" s="24"/>
      <c r="O238" s="24"/>
      <c r="P238" s="24"/>
      <c r="Q238" s="24"/>
      <c r="R238" s="24"/>
      <c r="S238" s="24"/>
    </row>
    <row r="239" spans="1:76" s="467" customFormat="1" ht="15" customHeight="1" x14ac:dyDescent="0.45">
      <c r="A239" s="1"/>
      <c r="B239" s="2" t="s">
        <v>279</v>
      </c>
      <c r="C239" s="1"/>
      <c r="E239" s="24"/>
      <c r="F239" s="24"/>
      <c r="G239" s="24"/>
      <c r="H239" s="24"/>
      <c r="I239" s="24"/>
      <c r="J239" s="24"/>
      <c r="K239" s="24"/>
      <c r="L239" s="24"/>
      <c r="M239" s="24"/>
      <c r="N239" s="24"/>
      <c r="O239" s="24"/>
      <c r="P239" s="24"/>
      <c r="Q239" s="24"/>
      <c r="R239" s="24"/>
      <c r="S239" s="24"/>
    </row>
    <row r="240" spans="1:76" s="467" customFormat="1" ht="15" customHeight="1" x14ac:dyDescent="0.45">
      <c r="A240" s="1"/>
      <c r="B240" s="2" t="s">
        <v>544</v>
      </c>
      <c r="C240" s="1"/>
      <c r="E240" s="24"/>
      <c r="F240" s="24"/>
      <c r="G240" s="24"/>
      <c r="H240" s="24"/>
      <c r="I240" s="24"/>
      <c r="J240" s="24"/>
      <c r="K240" s="24"/>
      <c r="L240" s="24"/>
      <c r="M240" s="24"/>
      <c r="N240" s="24"/>
      <c r="O240" s="24"/>
      <c r="P240" s="24"/>
      <c r="Q240" s="24"/>
      <c r="R240" s="24"/>
      <c r="S240" s="24"/>
    </row>
    <row r="241" spans="1:76" s="467" customFormat="1" ht="15" customHeight="1" x14ac:dyDescent="0.45">
      <c r="A241" s="1"/>
      <c r="B241" s="2" t="s">
        <v>280</v>
      </c>
      <c r="C241" s="1"/>
      <c r="E241" s="24"/>
      <c r="F241" s="24"/>
      <c r="G241" s="24"/>
      <c r="H241" s="24"/>
      <c r="I241" s="24"/>
      <c r="J241" s="24"/>
      <c r="K241" s="24"/>
      <c r="L241" s="24"/>
      <c r="M241" s="24"/>
      <c r="N241" s="24"/>
      <c r="O241" s="24"/>
      <c r="P241" s="24"/>
      <c r="Q241" s="24"/>
      <c r="R241" s="24"/>
      <c r="S241" s="24"/>
    </row>
    <row r="242" spans="1:76" s="467" customFormat="1" ht="15" customHeight="1" x14ac:dyDescent="0.45">
      <c r="A242" s="1"/>
      <c r="B242" s="2" t="s">
        <v>281</v>
      </c>
      <c r="C242" s="1"/>
      <c r="E242" s="24"/>
      <c r="F242" s="24"/>
      <c r="G242" s="24"/>
      <c r="H242" s="24"/>
      <c r="I242" s="24"/>
      <c r="J242" s="24"/>
      <c r="K242" s="24"/>
      <c r="L242" s="24"/>
      <c r="M242" s="24"/>
      <c r="N242" s="24"/>
      <c r="O242" s="24"/>
      <c r="P242" s="24"/>
      <c r="Q242" s="24"/>
      <c r="R242" s="24"/>
      <c r="S242" s="24"/>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row>
    <row r="243" spans="1:76" s="1" customFormat="1" ht="15" customHeight="1" x14ac:dyDescent="0.45">
      <c r="B243" s="2" t="s">
        <v>545</v>
      </c>
      <c r="D243" s="467"/>
      <c r="E243" s="24"/>
      <c r="F243" s="24"/>
      <c r="G243" s="24"/>
      <c r="H243" s="24"/>
      <c r="I243" s="24"/>
      <c r="J243" s="24"/>
      <c r="K243" s="24"/>
      <c r="L243" s="24"/>
      <c r="M243" s="24"/>
      <c r="N243" s="24"/>
      <c r="O243" s="24"/>
      <c r="P243" s="24"/>
      <c r="Q243" s="24"/>
      <c r="R243" s="24"/>
      <c r="S243" s="24"/>
    </row>
    <row r="244" spans="1:76" s="1" customFormat="1" ht="15" customHeight="1" x14ac:dyDescent="0.45">
      <c r="B244" s="2" t="s">
        <v>546</v>
      </c>
      <c r="D244" s="467"/>
      <c r="E244" s="24"/>
      <c r="F244" s="24"/>
      <c r="G244" s="24"/>
      <c r="H244" s="24"/>
      <c r="I244" s="24"/>
      <c r="J244" s="24"/>
      <c r="K244" s="24"/>
      <c r="L244" s="24"/>
      <c r="M244" s="24"/>
      <c r="N244" s="24"/>
      <c r="O244" s="24"/>
      <c r="P244" s="24"/>
      <c r="Q244" s="24"/>
      <c r="R244" s="24"/>
      <c r="S244" s="24"/>
    </row>
    <row r="245" spans="1:76" s="1" customFormat="1" ht="15" customHeight="1" x14ac:dyDescent="0.45">
      <c r="B245" s="2" t="s">
        <v>287</v>
      </c>
      <c r="D245" s="467"/>
      <c r="E245" s="24"/>
      <c r="F245" s="24"/>
      <c r="G245" s="24"/>
      <c r="H245" s="24"/>
      <c r="I245" s="24"/>
      <c r="J245" s="24"/>
      <c r="K245" s="24"/>
      <c r="L245" s="24"/>
      <c r="M245" s="24"/>
      <c r="N245" s="24"/>
      <c r="O245" s="24"/>
      <c r="P245" s="24"/>
      <c r="Q245" s="24"/>
      <c r="R245" s="24"/>
      <c r="S245" s="24"/>
    </row>
    <row r="246" spans="1:76" s="1" customFormat="1" ht="15" customHeight="1" x14ac:dyDescent="0.45">
      <c r="B246" s="2" t="s">
        <v>298</v>
      </c>
      <c r="D246" s="467"/>
      <c r="E246" s="24"/>
      <c r="F246" s="24"/>
      <c r="G246" s="24"/>
      <c r="H246" s="24"/>
      <c r="I246" s="24"/>
      <c r="J246" s="24"/>
      <c r="K246" s="24"/>
      <c r="L246" s="24"/>
      <c r="M246" s="24"/>
      <c r="N246" s="24"/>
      <c r="O246" s="24"/>
      <c r="P246" s="24"/>
      <c r="Q246" s="24"/>
      <c r="R246" s="24"/>
      <c r="S246" s="24"/>
    </row>
    <row r="247" spans="1:76" s="1" customFormat="1" ht="15" customHeight="1" x14ac:dyDescent="0.45">
      <c r="B247" s="2" t="s">
        <v>296</v>
      </c>
      <c r="D247" s="467"/>
      <c r="E247" s="24"/>
      <c r="F247" s="24"/>
      <c r="G247" s="24"/>
      <c r="H247" s="24"/>
      <c r="I247" s="24"/>
      <c r="J247" s="24"/>
      <c r="K247" s="24"/>
      <c r="L247" s="24"/>
      <c r="M247" s="24"/>
      <c r="N247" s="24"/>
      <c r="O247" s="24"/>
      <c r="P247" s="24"/>
      <c r="Q247" s="24"/>
      <c r="R247" s="24"/>
      <c r="S247" s="24"/>
    </row>
    <row r="248" spans="1:76" s="1" customFormat="1" ht="15" customHeight="1" x14ac:dyDescent="0.45">
      <c r="B248" s="2" t="s">
        <v>297</v>
      </c>
      <c r="D248" s="467"/>
      <c r="E248" s="24"/>
      <c r="F248" s="24"/>
      <c r="G248" s="24"/>
      <c r="H248" s="24"/>
      <c r="I248" s="24"/>
      <c r="J248" s="24"/>
      <c r="K248" s="24"/>
      <c r="L248" s="24"/>
      <c r="M248" s="24"/>
      <c r="N248" s="24"/>
      <c r="O248" s="24"/>
      <c r="P248" s="24"/>
      <c r="Q248" s="24"/>
      <c r="R248" s="24"/>
      <c r="S248" s="24"/>
    </row>
    <row r="249" spans="1:76" s="1" customFormat="1" ht="15" customHeight="1" x14ac:dyDescent="0.45">
      <c r="B249" s="2" t="s">
        <v>292</v>
      </c>
      <c r="D249" s="467"/>
      <c r="E249" s="24"/>
      <c r="F249" s="24"/>
      <c r="G249" s="24"/>
      <c r="H249" s="24"/>
      <c r="I249" s="24"/>
      <c r="J249" s="24"/>
      <c r="K249" s="24"/>
      <c r="L249" s="24"/>
      <c r="M249" s="24"/>
      <c r="N249" s="24"/>
      <c r="O249" s="24"/>
      <c r="P249" s="24"/>
      <c r="Q249" s="24"/>
      <c r="R249" s="24"/>
      <c r="S249" s="24"/>
    </row>
    <row r="250" spans="1:76" s="1" customFormat="1" ht="15" customHeight="1" x14ac:dyDescent="0.45">
      <c r="B250" s="2" t="s">
        <v>293</v>
      </c>
      <c r="D250" s="467"/>
      <c r="E250" s="24"/>
      <c r="F250" s="24"/>
      <c r="G250" s="24"/>
      <c r="H250" s="24"/>
      <c r="I250" s="24"/>
      <c r="J250" s="24"/>
      <c r="K250" s="24"/>
      <c r="L250" s="24"/>
      <c r="M250" s="24"/>
      <c r="N250" s="24"/>
      <c r="O250" s="24"/>
      <c r="P250" s="24"/>
      <c r="Q250" s="24"/>
      <c r="R250" s="24"/>
      <c r="S250" s="24"/>
    </row>
    <row r="251" spans="1:76" s="1" customFormat="1" ht="15" customHeight="1" x14ac:dyDescent="0.45">
      <c r="B251" s="2" t="s">
        <v>547</v>
      </c>
      <c r="D251" s="467"/>
      <c r="E251" s="24"/>
      <c r="F251" s="24"/>
      <c r="G251" s="24"/>
      <c r="H251" s="24"/>
      <c r="I251" s="24"/>
      <c r="J251" s="24"/>
      <c r="K251" s="24"/>
      <c r="L251" s="24"/>
      <c r="M251" s="24"/>
      <c r="N251" s="24"/>
      <c r="O251" s="24"/>
      <c r="P251" s="24"/>
      <c r="Q251" s="24"/>
      <c r="R251" s="24"/>
      <c r="S251" s="24"/>
    </row>
    <row r="252" spans="1:76" s="1" customFormat="1" ht="15" customHeight="1" x14ac:dyDescent="0.45">
      <c r="B252" s="2" t="s">
        <v>294</v>
      </c>
      <c r="D252" s="467"/>
      <c r="E252" s="24"/>
      <c r="F252" s="24"/>
      <c r="G252" s="24"/>
      <c r="H252" s="24"/>
      <c r="I252" s="24"/>
      <c r="J252" s="24"/>
      <c r="K252" s="24"/>
      <c r="L252" s="24"/>
      <c r="M252" s="24"/>
      <c r="N252" s="24"/>
      <c r="O252" s="24"/>
      <c r="P252" s="24"/>
      <c r="Q252" s="24"/>
      <c r="R252" s="24"/>
      <c r="S252" s="24"/>
    </row>
    <row r="253" spans="1:76" s="1" customFormat="1" ht="15" customHeight="1" x14ac:dyDescent="0.45">
      <c r="B253" s="2" t="s">
        <v>291</v>
      </c>
      <c r="D253" s="467"/>
      <c r="E253" s="24"/>
      <c r="F253" s="24"/>
      <c r="G253" s="24"/>
      <c r="H253" s="24"/>
      <c r="I253" s="24"/>
      <c r="J253" s="24"/>
      <c r="K253" s="24"/>
      <c r="L253" s="24"/>
      <c r="M253" s="24"/>
      <c r="N253" s="24"/>
      <c r="O253" s="24"/>
      <c r="P253" s="24"/>
      <c r="Q253" s="24"/>
      <c r="R253" s="24"/>
      <c r="S253" s="24"/>
    </row>
    <row r="254" spans="1:76" s="1" customFormat="1" ht="15" customHeight="1" x14ac:dyDescent="0.45">
      <c r="B254" s="2" t="s">
        <v>290</v>
      </c>
      <c r="D254" s="467"/>
      <c r="E254" s="24"/>
      <c r="F254" s="24"/>
      <c r="G254" s="24"/>
      <c r="H254" s="24"/>
      <c r="I254" s="24"/>
      <c r="J254" s="24"/>
      <c r="K254" s="24"/>
      <c r="L254" s="24"/>
      <c r="M254" s="24"/>
      <c r="N254" s="24"/>
      <c r="O254" s="24"/>
      <c r="P254" s="24"/>
      <c r="Q254" s="24"/>
      <c r="R254" s="24"/>
      <c r="S254" s="24"/>
    </row>
    <row r="255" spans="1:76" s="1" customFormat="1" ht="15" customHeight="1" x14ac:dyDescent="0.45">
      <c r="B255" s="2" t="s">
        <v>289</v>
      </c>
      <c r="D255" s="467"/>
      <c r="E255" s="24"/>
      <c r="F255" s="24"/>
      <c r="G255" s="24"/>
      <c r="H255" s="24"/>
      <c r="I255" s="24"/>
      <c r="J255" s="24"/>
      <c r="K255" s="24"/>
      <c r="L255" s="24"/>
      <c r="M255" s="24"/>
      <c r="N255" s="24"/>
      <c r="O255" s="24"/>
      <c r="P255" s="24"/>
      <c r="Q255" s="24"/>
      <c r="R255" s="24"/>
      <c r="S255" s="24"/>
    </row>
    <row r="256" spans="1:76" s="1" customFormat="1" ht="15" customHeight="1" x14ac:dyDescent="0.45">
      <c r="B256" s="2" t="s">
        <v>548</v>
      </c>
      <c r="D256" s="467"/>
      <c r="E256" s="24"/>
      <c r="F256" s="24"/>
      <c r="G256" s="24"/>
      <c r="H256" s="24"/>
      <c r="I256" s="24"/>
      <c r="J256" s="24"/>
      <c r="K256" s="24"/>
      <c r="L256" s="24"/>
      <c r="M256" s="24"/>
      <c r="N256" s="24"/>
      <c r="O256" s="24"/>
      <c r="P256" s="24"/>
      <c r="Q256" s="24"/>
      <c r="R256" s="24"/>
      <c r="S256" s="24"/>
    </row>
    <row r="257" spans="2:76" s="1" customFormat="1" ht="15" customHeight="1" x14ac:dyDescent="0.45">
      <c r="B257" s="2" t="s">
        <v>300</v>
      </c>
      <c r="D257" s="467"/>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row>
    <row r="258" spans="2:76" ht="15" customHeight="1" x14ac:dyDescent="0.45">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row>
    <row r="259" spans="2:76" s="1" customFormat="1" ht="15" customHeight="1" x14ac:dyDescent="0.45">
      <c r="B259" s="2" t="s">
        <v>303</v>
      </c>
      <c r="D259" s="467"/>
      <c r="E259" s="24"/>
      <c r="F259" s="24"/>
      <c r="G259" s="24"/>
      <c r="H259" s="24"/>
      <c r="I259" s="24"/>
      <c r="J259" s="24"/>
      <c r="K259" s="24"/>
      <c r="L259" s="24"/>
      <c r="M259" s="24"/>
      <c r="N259" s="24"/>
      <c r="O259" s="24"/>
      <c r="P259" s="24"/>
      <c r="Q259" s="24"/>
      <c r="R259" s="24"/>
      <c r="S259" s="24"/>
    </row>
    <row r="260" spans="2:76" s="1" customFormat="1" ht="15" customHeight="1" x14ac:dyDescent="0.45">
      <c r="B260" s="2" t="s">
        <v>304</v>
      </c>
      <c r="D260" s="467"/>
      <c r="E260" s="24"/>
      <c r="F260" s="24"/>
      <c r="G260" s="24"/>
      <c r="H260" s="24"/>
      <c r="I260" s="24"/>
      <c r="J260" s="24"/>
      <c r="K260" s="24"/>
      <c r="L260" s="24"/>
      <c r="M260" s="24"/>
      <c r="N260" s="24"/>
      <c r="O260" s="24"/>
      <c r="P260" s="24"/>
      <c r="Q260" s="24"/>
      <c r="R260" s="24"/>
      <c r="S260" s="24"/>
    </row>
    <row r="261" spans="2:76" s="1" customFormat="1" ht="15" customHeight="1" x14ac:dyDescent="0.45">
      <c r="B261" s="2" t="s">
        <v>314</v>
      </c>
      <c r="D261" s="467"/>
      <c r="E261" s="24"/>
      <c r="F261" s="24"/>
      <c r="G261" s="24"/>
      <c r="H261" s="24"/>
      <c r="I261" s="24"/>
      <c r="J261" s="24"/>
      <c r="K261" s="24"/>
      <c r="L261" s="24"/>
      <c r="M261" s="24"/>
      <c r="N261" s="24"/>
      <c r="O261" s="24"/>
      <c r="P261" s="24"/>
      <c r="Q261" s="24"/>
      <c r="R261" s="24"/>
      <c r="S261" s="24"/>
    </row>
    <row r="262" spans="2:76" s="1" customFormat="1" ht="15" customHeight="1" x14ac:dyDescent="0.45">
      <c r="B262" s="2" t="s">
        <v>310</v>
      </c>
      <c r="D262" s="467"/>
      <c r="E262" s="24"/>
      <c r="F262" s="24"/>
      <c r="G262" s="24"/>
      <c r="H262" s="24"/>
      <c r="I262" s="24"/>
      <c r="J262" s="24"/>
      <c r="K262" s="24"/>
      <c r="L262" s="24"/>
      <c r="M262" s="24"/>
      <c r="N262" s="24"/>
      <c r="O262" s="24"/>
      <c r="P262" s="24"/>
      <c r="Q262" s="24"/>
      <c r="R262" s="24"/>
      <c r="S262" s="24"/>
    </row>
    <row r="263" spans="2:76" s="1" customFormat="1" ht="15" customHeight="1" x14ac:dyDescent="0.45">
      <c r="B263" s="2" t="s">
        <v>311</v>
      </c>
      <c r="D263" s="467"/>
      <c r="E263" s="24"/>
      <c r="F263" s="24"/>
      <c r="G263" s="24"/>
      <c r="H263" s="24"/>
      <c r="I263" s="24"/>
      <c r="J263" s="24"/>
      <c r="K263" s="24"/>
      <c r="L263" s="24"/>
      <c r="M263" s="24"/>
      <c r="N263" s="24"/>
      <c r="O263" s="24"/>
      <c r="P263" s="24"/>
      <c r="Q263" s="24"/>
      <c r="R263" s="24"/>
      <c r="S263" s="24"/>
    </row>
    <row r="264" spans="2:76" s="1" customFormat="1" ht="15" customHeight="1" x14ac:dyDescent="0.45">
      <c r="B264" s="2" t="s">
        <v>305</v>
      </c>
      <c r="D264" s="467"/>
      <c r="E264" s="24"/>
      <c r="F264" s="24"/>
      <c r="G264" s="24"/>
      <c r="H264" s="24"/>
      <c r="I264" s="24"/>
      <c r="J264" s="24"/>
      <c r="K264" s="24"/>
      <c r="L264" s="24"/>
      <c r="M264" s="24"/>
      <c r="N264" s="24"/>
      <c r="O264" s="24"/>
      <c r="P264" s="24"/>
      <c r="Q264" s="24"/>
      <c r="R264" s="24"/>
      <c r="S264" s="24"/>
    </row>
    <row r="265" spans="2:76" s="1" customFormat="1" ht="15" customHeight="1" x14ac:dyDescent="0.45">
      <c r="B265" s="2" t="s">
        <v>306</v>
      </c>
      <c r="D265" s="467"/>
      <c r="E265" s="24"/>
      <c r="F265" s="24"/>
      <c r="G265" s="24"/>
      <c r="H265" s="24"/>
      <c r="I265" s="24"/>
      <c r="J265" s="24"/>
      <c r="K265" s="24"/>
      <c r="L265" s="24"/>
      <c r="M265" s="24"/>
      <c r="N265" s="24"/>
      <c r="O265" s="24"/>
      <c r="P265" s="24"/>
      <c r="Q265" s="24"/>
      <c r="R265" s="24"/>
      <c r="S265" s="24"/>
    </row>
    <row r="266" spans="2:76" s="1" customFormat="1" ht="15" customHeight="1" x14ac:dyDescent="0.45">
      <c r="B266" s="2" t="s">
        <v>308</v>
      </c>
      <c r="D266" s="467"/>
      <c r="E266" s="24"/>
      <c r="F266" s="24"/>
      <c r="G266" s="24"/>
      <c r="H266" s="24"/>
      <c r="I266" s="24"/>
      <c r="J266" s="24"/>
      <c r="K266" s="24"/>
      <c r="L266" s="24"/>
      <c r="M266" s="24"/>
      <c r="N266" s="24"/>
      <c r="O266" s="24"/>
      <c r="P266" s="24"/>
      <c r="Q266" s="24"/>
      <c r="R266" s="24"/>
      <c r="S266" s="24"/>
    </row>
    <row r="267" spans="2:76" s="1" customFormat="1" ht="15" customHeight="1" x14ac:dyDescent="0.45">
      <c r="B267" s="2" t="s">
        <v>312</v>
      </c>
      <c r="D267" s="467"/>
      <c r="E267" s="24"/>
      <c r="F267" s="24"/>
      <c r="G267" s="24"/>
      <c r="H267" s="24"/>
      <c r="I267" s="24"/>
      <c r="J267" s="24"/>
      <c r="K267" s="24"/>
      <c r="L267" s="24"/>
      <c r="M267" s="24"/>
      <c r="N267" s="24"/>
      <c r="O267" s="24"/>
      <c r="P267" s="24"/>
      <c r="Q267" s="24"/>
      <c r="R267" s="24"/>
      <c r="S267" s="24"/>
    </row>
    <row r="268" spans="2:76" s="1" customFormat="1" ht="15" customHeight="1" x14ac:dyDescent="0.45">
      <c r="B268" s="2" t="s">
        <v>315</v>
      </c>
      <c r="D268" s="467"/>
      <c r="E268" s="24"/>
      <c r="F268" s="24"/>
      <c r="G268" s="24"/>
      <c r="H268" s="24"/>
      <c r="I268" s="24"/>
      <c r="J268" s="24"/>
      <c r="K268" s="24"/>
      <c r="L268" s="24"/>
      <c r="M268" s="24"/>
      <c r="N268" s="24"/>
      <c r="O268" s="24"/>
      <c r="P268" s="24"/>
      <c r="Q268" s="24"/>
      <c r="R268" s="24"/>
      <c r="S268" s="24"/>
    </row>
    <row r="269" spans="2:76" s="1" customFormat="1" ht="15" customHeight="1" x14ac:dyDescent="0.45">
      <c r="B269" s="2" t="s">
        <v>317</v>
      </c>
      <c r="D269" s="467"/>
      <c r="E269" s="24"/>
      <c r="F269" s="24"/>
      <c r="G269" s="24"/>
      <c r="H269" s="24"/>
      <c r="I269" s="24"/>
      <c r="J269" s="24"/>
      <c r="K269" s="24"/>
      <c r="L269" s="24"/>
      <c r="M269" s="24"/>
      <c r="N269" s="24"/>
      <c r="O269" s="24"/>
      <c r="P269" s="24"/>
      <c r="Q269" s="24"/>
      <c r="R269" s="24"/>
      <c r="S269" s="24"/>
    </row>
    <row r="270" spans="2:76" s="1" customFormat="1" ht="15" customHeight="1" x14ac:dyDescent="0.45">
      <c r="B270" s="2" t="s">
        <v>418</v>
      </c>
      <c r="D270" s="467"/>
      <c r="E270" s="24"/>
      <c r="F270" s="24"/>
      <c r="G270" s="24"/>
      <c r="H270" s="24"/>
      <c r="I270" s="24"/>
      <c r="J270" s="24"/>
      <c r="K270" s="24"/>
      <c r="L270" s="24"/>
      <c r="M270" s="24"/>
      <c r="N270" s="24"/>
      <c r="O270" s="24"/>
      <c r="P270" s="24"/>
      <c r="Q270" s="24"/>
      <c r="R270" s="24"/>
      <c r="S270" s="24"/>
    </row>
    <row r="271" spans="2:76" s="1" customFormat="1" ht="15" customHeight="1" x14ac:dyDescent="0.45">
      <c r="B271" s="2"/>
      <c r="D271" s="467"/>
      <c r="E271" s="24"/>
      <c r="F271" s="24"/>
      <c r="G271" s="24"/>
      <c r="H271" s="24"/>
      <c r="I271" s="24"/>
      <c r="J271" s="24"/>
      <c r="K271" s="24"/>
      <c r="L271" s="24"/>
      <c r="M271" s="24"/>
      <c r="N271" s="24"/>
      <c r="O271" s="24"/>
      <c r="P271" s="24"/>
      <c r="Q271" s="24"/>
      <c r="R271" s="24"/>
      <c r="S271" s="24"/>
    </row>
    <row r="272" spans="2:76" s="1" customFormat="1" ht="15" customHeight="1" x14ac:dyDescent="0.45">
      <c r="B272" s="2"/>
      <c r="D272" s="467"/>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row>
  </sheetData>
  <dataValidations count="4">
    <dataValidation type="list" allowBlank="1" showInputMessage="1" showErrorMessage="1" sqref="B111 B149:B150 B153:B154" xr:uid="{1477B94C-4340-B942-AE61-50EC02EB00D8}">
      <formula1>$B$279:$B$293</formula1>
    </dataValidation>
    <dataValidation type="list" allowBlank="1" showInputMessage="1" showErrorMessage="1" sqref="B108:B110 B112:B148 B155:B202" xr:uid="{E8930FF6-81D5-D043-8227-3595DBC68574}">
      <formula1>$B$259:$B$273</formula1>
    </dataValidation>
    <dataValidation type="list" allowBlank="1" showInputMessage="1" showErrorMessage="1" sqref="B62:B104" xr:uid="{72EACCE6-3E70-B44F-A6FB-2750AB3F9A3E}">
      <formula1>$B$234:$B$257</formula1>
    </dataValidation>
    <dataValidation type="list" allowBlank="1" showInputMessage="1" showErrorMessage="1" sqref="B45:B58 B23:B36 B8:B19 B21 B38:B42" xr:uid="{270EC1EB-108B-A14D-A869-8C122E16FA82}">
      <formula1>B$216:B$233</formula1>
    </dataValidation>
  </dataValidations>
  <pageMargins left="0.75" right="0.75" top="1" bottom="1" header="0.5" footer="0.5"/>
  <pageSetup orientation="portrait" horizontalDpi="4294967293" verticalDpi="0" r:id="rId1"/>
  <headerFooter alignWithMargins="0"/>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63552-1C72-4142-885B-3E55AD1B332D}">
  <sheetPr>
    <tabColor theme="3" tint="0.79998168889431442"/>
  </sheetPr>
  <dimension ref="A1"/>
  <sheetViews>
    <sheetView workbookViewId="0"/>
  </sheetViews>
  <sheetFormatPr defaultColWidth="8.6640625" defaultRowHeight="12.75" x14ac:dyDescent="0.35"/>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76BDD-3C85-41F0-A471-11D40ADFBB80}">
  <dimension ref="A1:M204"/>
  <sheetViews>
    <sheetView workbookViewId="0"/>
  </sheetViews>
  <sheetFormatPr defaultColWidth="10.6640625" defaultRowHeight="12.75" x14ac:dyDescent="0.35"/>
  <cols>
    <col min="2" max="2" width="41.1328125" customWidth="1"/>
  </cols>
  <sheetData>
    <row r="1" spans="1:13" x14ac:dyDescent="0.35">
      <c r="B1" s="513"/>
      <c r="C1" s="513"/>
      <c r="D1" s="513"/>
      <c r="E1" s="513"/>
      <c r="F1" s="512"/>
      <c r="G1" s="512"/>
      <c r="H1" s="512"/>
      <c r="I1" s="512"/>
      <c r="J1" s="512"/>
      <c r="K1" s="512"/>
      <c r="L1" s="512"/>
      <c r="M1" s="512"/>
    </row>
    <row r="2" spans="1:13" ht="17.649999999999999" x14ac:dyDescent="0.5">
      <c r="A2" t="s">
        <v>14</v>
      </c>
      <c r="B2" s="521" t="s">
        <v>663</v>
      </c>
      <c r="C2" s="521"/>
      <c r="D2" s="521"/>
      <c r="E2" s="521"/>
      <c r="F2" s="521"/>
      <c r="G2" s="521"/>
      <c r="H2" s="521"/>
      <c r="I2" s="521"/>
      <c r="J2" s="521"/>
      <c r="K2" s="521"/>
      <c r="L2" s="521"/>
      <c r="M2" s="521"/>
    </row>
    <row r="3" spans="1:13" x14ac:dyDescent="0.35">
      <c r="B3" s="510" t="s">
        <v>664</v>
      </c>
      <c r="C3" s="512"/>
      <c r="D3" s="512"/>
      <c r="E3" s="512"/>
      <c r="F3" s="512"/>
      <c r="G3" s="512"/>
      <c r="H3" s="512"/>
      <c r="I3" s="512"/>
      <c r="J3" s="512"/>
      <c r="K3" s="512"/>
      <c r="L3" s="512"/>
      <c r="M3" s="512"/>
    </row>
    <row r="4" spans="1:13" x14ac:dyDescent="0.35">
      <c r="B4" s="512"/>
      <c r="C4" s="512"/>
      <c r="D4" s="512"/>
      <c r="E4" s="512"/>
      <c r="F4" s="512"/>
      <c r="G4" s="512"/>
      <c r="H4" s="512"/>
      <c r="I4" s="512"/>
      <c r="J4" s="512"/>
      <c r="K4" s="512"/>
      <c r="L4" s="512"/>
      <c r="M4" s="512"/>
    </row>
    <row r="5" spans="1:13" x14ac:dyDescent="0.35">
      <c r="B5" s="510" t="s">
        <v>665</v>
      </c>
      <c r="C5" s="523"/>
      <c r="D5" s="512"/>
      <c r="E5" s="512"/>
      <c r="F5" s="512"/>
      <c r="G5" s="512"/>
      <c r="H5" s="512"/>
      <c r="I5" s="512"/>
      <c r="J5" s="512"/>
      <c r="K5" s="512"/>
      <c r="L5" s="512"/>
      <c r="M5" s="512"/>
    </row>
    <row r="6" spans="1:13" x14ac:dyDescent="0.35">
      <c r="B6" s="510" t="s">
        <v>666</v>
      </c>
      <c r="C6" s="523"/>
      <c r="D6" s="512"/>
      <c r="E6" s="512"/>
      <c r="F6" s="512"/>
      <c r="G6" s="512"/>
      <c r="H6" s="512"/>
      <c r="I6" s="512"/>
      <c r="J6" s="512"/>
      <c r="K6" s="512"/>
      <c r="L6" s="512"/>
      <c r="M6" s="512"/>
    </row>
    <row r="7" spans="1:13" x14ac:dyDescent="0.35">
      <c r="B7" s="510" t="s">
        <v>667</v>
      </c>
      <c r="C7" s="523"/>
      <c r="D7" s="512"/>
      <c r="E7" s="512"/>
      <c r="F7" s="512"/>
      <c r="G7" s="512"/>
      <c r="H7" s="512"/>
      <c r="I7" s="512"/>
      <c r="J7" s="512"/>
      <c r="K7" s="512"/>
      <c r="L7" s="512"/>
      <c r="M7" s="512"/>
    </row>
    <row r="8" spans="1:13" x14ac:dyDescent="0.35">
      <c r="B8" s="510" t="s">
        <v>668</v>
      </c>
      <c r="C8" s="523"/>
      <c r="D8" s="512"/>
      <c r="E8" s="512"/>
      <c r="F8" s="512"/>
      <c r="G8" s="512"/>
      <c r="H8" s="512"/>
      <c r="I8" s="512"/>
      <c r="J8" s="512"/>
      <c r="K8" s="512"/>
      <c r="L8" s="512"/>
      <c r="M8" s="512"/>
    </row>
    <row r="9" spans="1:13" x14ac:dyDescent="0.35">
      <c r="B9" s="510" t="s">
        <v>669</v>
      </c>
      <c r="C9" s="523"/>
      <c r="D9" s="512"/>
      <c r="E9" s="512"/>
      <c r="F9" s="512"/>
      <c r="G9" s="512"/>
      <c r="H9" s="512"/>
      <c r="I9" s="512"/>
      <c r="J9" s="512"/>
      <c r="K9" s="512"/>
      <c r="L9" s="512"/>
      <c r="M9" s="512"/>
    </row>
    <row r="10" spans="1:13" x14ac:dyDescent="0.35">
      <c r="B10" s="510"/>
      <c r="C10" s="512"/>
      <c r="D10" s="512"/>
      <c r="E10" s="512"/>
      <c r="F10" s="512"/>
      <c r="G10" s="512"/>
      <c r="H10" s="512"/>
      <c r="I10" s="512"/>
      <c r="J10" s="512"/>
      <c r="K10" s="512"/>
      <c r="L10" s="512"/>
      <c r="M10" s="512"/>
    </row>
    <row r="11" spans="1:13" x14ac:dyDescent="0.35">
      <c r="B11" s="526"/>
      <c r="C11" s="526"/>
      <c r="D11" s="526"/>
      <c r="E11" s="526"/>
      <c r="F11" s="526"/>
      <c r="G11" s="526"/>
      <c r="H11" s="526"/>
      <c r="I11" s="526"/>
      <c r="J11" s="512"/>
      <c r="K11" s="512"/>
      <c r="L11" s="512"/>
      <c r="M11" s="512"/>
    </row>
    <row r="12" spans="1:13" x14ac:dyDescent="0.35">
      <c r="B12" s="520" t="s">
        <v>670</v>
      </c>
      <c r="C12" s="519" t="s">
        <v>671</v>
      </c>
      <c r="D12" s="519" t="s">
        <v>672</v>
      </c>
      <c r="E12" s="519" t="s">
        <v>673</v>
      </c>
      <c r="F12" s="519" t="s">
        <v>674</v>
      </c>
      <c r="G12" s="519" t="s">
        <v>675</v>
      </c>
      <c r="H12" s="519" t="s">
        <v>676</v>
      </c>
      <c r="I12" s="519" t="s">
        <v>677</v>
      </c>
      <c r="J12" s="512"/>
      <c r="K12" s="512"/>
      <c r="L12" s="512"/>
      <c r="M12" s="512"/>
    </row>
    <row r="13" spans="1:13" x14ac:dyDescent="0.35">
      <c r="B13" s="510" t="s">
        <v>678</v>
      </c>
      <c r="C13" s="524" t="s">
        <v>679</v>
      </c>
      <c r="D13" s="524" t="s">
        <v>680</v>
      </c>
      <c r="E13" s="524" t="s">
        <v>681</v>
      </c>
      <c r="F13" s="524" t="s">
        <v>682</v>
      </c>
      <c r="G13" s="524" t="s">
        <v>683</v>
      </c>
      <c r="H13" s="524" t="s">
        <v>684</v>
      </c>
      <c r="I13" s="524" t="s">
        <v>685</v>
      </c>
      <c r="J13" s="512"/>
      <c r="K13" s="512"/>
      <c r="L13" s="512"/>
      <c r="M13" s="512"/>
    </row>
    <row r="14" spans="1:13" x14ac:dyDescent="0.35">
      <c r="B14" s="510" t="s">
        <v>421</v>
      </c>
      <c r="C14" s="524" t="s">
        <v>686</v>
      </c>
      <c r="D14" s="524" t="s">
        <v>686</v>
      </c>
      <c r="E14" s="524" t="s">
        <v>686</v>
      </c>
      <c r="F14" s="524" t="s">
        <v>686</v>
      </c>
      <c r="G14" s="524" t="s">
        <v>686</v>
      </c>
      <c r="H14" s="524" t="s">
        <v>686</v>
      </c>
      <c r="I14" s="524" t="s">
        <v>686</v>
      </c>
      <c r="J14" s="512"/>
      <c r="K14" s="512"/>
      <c r="L14" s="512"/>
      <c r="M14" s="512"/>
    </row>
    <row r="15" spans="1:13" x14ac:dyDescent="0.35">
      <c r="B15" s="510" t="s">
        <v>687</v>
      </c>
      <c r="C15" s="524" t="s">
        <v>688</v>
      </c>
      <c r="D15" s="524" t="s">
        <v>688</v>
      </c>
      <c r="E15" s="524" t="s">
        <v>423</v>
      </c>
      <c r="F15" s="524" t="s">
        <v>423</v>
      </c>
      <c r="G15" s="524" t="s">
        <v>423</v>
      </c>
      <c r="H15" s="524" t="s">
        <v>423</v>
      </c>
      <c r="I15" s="524" t="s">
        <v>423</v>
      </c>
      <c r="J15" s="512"/>
      <c r="K15" s="512"/>
      <c r="L15" s="512"/>
      <c r="M15" s="512"/>
    </row>
    <row r="16" spans="1:13" ht="13.15" x14ac:dyDescent="0.35">
      <c r="B16" s="517" t="s">
        <v>689</v>
      </c>
      <c r="C16" s="510"/>
      <c r="D16" s="510"/>
      <c r="E16" s="510"/>
      <c r="F16" s="510"/>
      <c r="G16" s="510"/>
      <c r="H16" s="510"/>
      <c r="I16" s="510"/>
      <c r="J16" s="512"/>
      <c r="K16" s="512"/>
      <c r="L16" s="512"/>
      <c r="M16" s="512"/>
    </row>
    <row r="17" spans="1:13" x14ac:dyDescent="0.35">
      <c r="B17" s="510" t="s">
        <v>425</v>
      </c>
      <c r="C17" s="524" t="s">
        <v>690</v>
      </c>
      <c r="D17" s="525">
        <v>101837</v>
      </c>
      <c r="E17" s="524">
        <v>84.4</v>
      </c>
      <c r="F17" s="524">
        <v>178.8</v>
      </c>
      <c r="G17" s="524">
        <v>102.7</v>
      </c>
      <c r="H17" s="524">
        <v>116</v>
      </c>
      <c r="I17" s="524">
        <v>3.5</v>
      </c>
      <c r="J17" s="512"/>
      <c r="K17" s="512"/>
      <c r="L17" s="512"/>
      <c r="M17" s="512"/>
    </row>
    <row r="18" spans="1:13" x14ac:dyDescent="0.35">
      <c r="B18" s="510" t="s">
        <v>426</v>
      </c>
      <c r="C18" s="524" t="s">
        <v>690</v>
      </c>
      <c r="D18" s="525">
        <v>25738</v>
      </c>
      <c r="E18" s="524">
        <v>24.2</v>
      </c>
      <c r="F18" s="524">
        <v>303.5</v>
      </c>
      <c r="G18" s="525">
        <v>18874</v>
      </c>
      <c r="H18" s="525">
        <v>17194.599999999999</v>
      </c>
      <c r="I18" s="525">
        <v>3815.5</v>
      </c>
      <c r="J18" s="512"/>
      <c r="K18" s="512"/>
      <c r="L18" s="512"/>
      <c r="M18" s="512"/>
    </row>
    <row r="19" spans="1:13" x14ac:dyDescent="0.35">
      <c r="B19" s="510" t="s">
        <v>427</v>
      </c>
      <c r="C19" s="525">
        <v>61598</v>
      </c>
      <c r="D19" s="524" t="s">
        <v>690</v>
      </c>
      <c r="E19" s="524" t="s">
        <v>690</v>
      </c>
      <c r="F19" s="524" t="s">
        <v>690</v>
      </c>
      <c r="G19" s="524" t="s">
        <v>690</v>
      </c>
      <c r="H19" s="524" t="s">
        <v>690</v>
      </c>
      <c r="I19" s="524" t="s">
        <v>690</v>
      </c>
      <c r="J19" s="512"/>
      <c r="K19" s="512"/>
      <c r="L19" s="512"/>
      <c r="M19" s="512"/>
    </row>
    <row r="20" spans="1:13" x14ac:dyDescent="0.35">
      <c r="B20" s="510" t="s">
        <v>428</v>
      </c>
      <c r="C20" s="524" t="s">
        <v>690</v>
      </c>
      <c r="D20" s="525">
        <v>127575</v>
      </c>
      <c r="E20" s="524">
        <v>108.6</v>
      </c>
      <c r="F20" s="524">
        <v>482.3</v>
      </c>
      <c r="G20" s="525">
        <v>18976.7</v>
      </c>
      <c r="H20" s="525">
        <v>17310.599999999999</v>
      </c>
      <c r="I20" s="525">
        <v>3819</v>
      </c>
      <c r="J20" s="512"/>
      <c r="K20" s="512"/>
      <c r="L20" s="512"/>
      <c r="M20" s="512"/>
    </row>
    <row r="21" spans="1:13" ht="13.15" x14ac:dyDescent="0.35">
      <c r="B21" s="517" t="s">
        <v>691</v>
      </c>
      <c r="C21" s="510"/>
      <c r="D21" s="510"/>
      <c r="E21" s="510"/>
      <c r="F21" s="510"/>
      <c r="G21" s="510"/>
      <c r="H21" s="510"/>
      <c r="I21" s="510"/>
      <c r="J21" s="512"/>
      <c r="K21" s="512"/>
      <c r="L21" s="512"/>
      <c r="M21" s="512"/>
    </row>
    <row r="22" spans="1:13" x14ac:dyDescent="0.35">
      <c r="B22" s="510" t="s">
        <v>429</v>
      </c>
      <c r="C22" s="525">
        <v>-9318</v>
      </c>
      <c r="D22" s="525">
        <v>-13690</v>
      </c>
      <c r="E22" s="524">
        <v>-17.399999999999999</v>
      </c>
      <c r="F22" s="524">
        <v>-59.3</v>
      </c>
      <c r="G22" s="525">
        <v>-2911.5</v>
      </c>
      <c r="H22" s="525">
        <v>-2995</v>
      </c>
      <c r="I22" s="524">
        <v>-599.79999999999995</v>
      </c>
      <c r="J22" s="512"/>
      <c r="K22" s="512"/>
      <c r="L22" s="512"/>
      <c r="M22" s="512"/>
    </row>
    <row r="23" spans="1:13" x14ac:dyDescent="0.35">
      <c r="B23" s="510" t="s">
        <v>431</v>
      </c>
      <c r="C23" s="525">
        <v>-6603</v>
      </c>
      <c r="D23" s="525">
        <v>-3041</v>
      </c>
      <c r="E23" s="524">
        <v>-2.7</v>
      </c>
      <c r="F23" s="524">
        <v>-14.5</v>
      </c>
      <c r="G23" s="524">
        <v>-50.4</v>
      </c>
      <c r="H23" s="524">
        <v>-59.5</v>
      </c>
      <c r="I23" s="524">
        <v>-62.7</v>
      </c>
      <c r="J23" s="512"/>
      <c r="K23" s="512"/>
      <c r="L23" s="512"/>
      <c r="M23" s="512"/>
    </row>
    <row r="24" spans="1:13" x14ac:dyDescent="0.35">
      <c r="B24" s="510" t="s">
        <v>432</v>
      </c>
      <c r="C24" s="525">
        <v>-23520</v>
      </c>
      <c r="D24" s="525">
        <v>-26334</v>
      </c>
      <c r="E24" s="524">
        <v>-45.5</v>
      </c>
      <c r="F24" s="524">
        <v>-94</v>
      </c>
      <c r="G24" s="524">
        <v>-276.8</v>
      </c>
      <c r="H24" s="524">
        <v>-481.7</v>
      </c>
      <c r="I24" s="524">
        <v>-495</v>
      </c>
      <c r="J24" s="512"/>
      <c r="K24" s="512"/>
      <c r="L24" s="512"/>
      <c r="M24" s="512"/>
    </row>
    <row r="25" spans="1:13" x14ac:dyDescent="0.35">
      <c r="B25" s="510" t="s">
        <v>433</v>
      </c>
      <c r="C25" s="525">
        <v>-85496</v>
      </c>
      <c r="D25" s="525">
        <v>-143040</v>
      </c>
      <c r="E25" s="524">
        <v>-226.5</v>
      </c>
      <c r="F25" s="524">
        <v>-645</v>
      </c>
      <c r="G25" s="524">
        <v>-949.2</v>
      </c>
      <c r="H25" s="525">
        <v>-1537</v>
      </c>
      <c r="I25" s="525">
        <v>-1783.1</v>
      </c>
      <c r="J25" s="512"/>
      <c r="K25" s="512"/>
      <c r="L25" s="512"/>
      <c r="M25" s="512"/>
    </row>
    <row r="26" spans="1:13" x14ac:dyDescent="0.35">
      <c r="B26" s="510" t="s">
        <v>692</v>
      </c>
      <c r="C26" s="524">
        <v>-288</v>
      </c>
      <c r="D26" s="524">
        <v>-720</v>
      </c>
      <c r="E26" s="524">
        <v>-0.7</v>
      </c>
      <c r="F26" s="524">
        <v>-2.4</v>
      </c>
      <c r="G26" s="524">
        <v>-103.4</v>
      </c>
      <c r="H26" s="524">
        <v>-410</v>
      </c>
      <c r="I26" s="524">
        <v>-293</v>
      </c>
      <c r="J26" s="512"/>
      <c r="K26" s="512"/>
      <c r="L26" s="512"/>
      <c r="M26" s="512"/>
    </row>
    <row r="27" spans="1:13" x14ac:dyDescent="0.35">
      <c r="A27" t="s">
        <v>14</v>
      </c>
      <c r="B27" s="510" t="s">
        <v>693</v>
      </c>
      <c r="C27" s="525">
        <v>2349</v>
      </c>
      <c r="D27" s="525">
        <v>5396</v>
      </c>
      <c r="E27" s="524">
        <v>2.7</v>
      </c>
      <c r="F27" s="524">
        <v>250.5</v>
      </c>
      <c r="G27" s="524">
        <v>598.4</v>
      </c>
      <c r="H27" s="524">
        <v>815.3</v>
      </c>
      <c r="I27" s="524">
        <v>105</v>
      </c>
      <c r="J27" s="512"/>
      <c r="K27" s="512"/>
      <c r="L27" s="512"/>
      <c r="M27" s="512"/>
    </row>
    <row r="28" spans="1:13" x14ac:dyDescent="0.35">
      <c r="A28" t="s">
        <v>14</v>
      </c>
      <c r="B28" s="510" t="s">
        <v>694</v>
      </c>
      <c r="C28" s="524">
        <v>-676</v>
      </c>
      <c r="D28" s="525">
        <v>-1721</v>
      </c>
      <c r="E28" s="524" t="s">
        <v>690</v>
      </c>
      <c r="F28" s="524" t="s">
        <v>690</v>
      </c>
      <c r="G28" s="524" t="s">
        <v>690</v>
      </c>
      <c r="H28" s="524" t="s">
        <v>690</v>
      </c>
      <c r="I28" s="524" t="s">
        <v>690</v>
      </c>
      <c r="J28" s="512"/>
      <c r="K28" s="512"/>
      <c r="L28" s="512"/>
      <c r="M28" s="512"/>
    </row>
    <row r="29" spans="1:13" x14ac:dyDescent="0.35">
      <c r="A29" t="s">
        <v>14</v>
      </c>
      <c r="B29" s="510" t="s">
        <v>695</v>
      </c>
      <c r="C29" s="524">
        <v>-78</v>
      </c>
      <c r="D29" s="524">
        <v>-84</v>
      </c>
      <c r="E29" s="524" t="s">
        <v>690</v>
      </c>
      <c r="F29" s="524" t="s">
        <v>690</v>
      </c>
      <c r="G29" s="524" t="s">
        <v>690</v>
      </c>
      <c r="H29" s="524" t="s">
        <v>690</v>
      </c>
      <c r="I29" s="524" t="s">
        <v>690</v>
      </c>
      <c r="J29" s="512"/>
      <c r="K29" s="512"/>
      <c r="L29" s="512"/>
      <c r="M29" s="512"/>
    </row>
    <row r="30" spans="1:13" x14ac:dyDescent="0.35">
      <c r="A30" t="s">
        <v>14</v>
      </c>
      <c r="B30" s="510" t="s">
        <v>436</v>
      </c>
      <c r="C30" s="525">
        <v>2133</v>
      </c>
      <c r="D30" s="525">
        <v>8046</v>
      </c>
      <c r="E30" s="524">
        <v>4.0999999999999996</v>
      </c>
      <c r="F30" s="524">
        <v>1.6</v>
      </c>
      <c r="G30" s="524">
        <v>67.7</v>
      </c>
      <c r="H30" s="524">
        <v>330.3</v>
      </c>
      <c r="I30" s="524">
        <v>519.6</v>
      </c>
      <c r="J30" s="512"/>
      <c r="K30" s="512"/>
      <c r="L30" s="512"/>
      <c r="M30" s="512"/>
    </row>
    <row r="31" spans="1:13" x14ac:dyDescent="0.35">
      <c r="A31" s="512" t="s">
        <v>14</v>
      </c>
      <c r="B31" s="510" t="s">
        <v>696</v>
      </c>
      <c r="C31" s="525">
        <v>-26007</v>
      </c>
      <c r="D31" s="524">
        <v>-48</v>
      </c>
      <c r="E31" s="524">
        <v>-2</v>
      </c>
      <c r="F31" s="524">
        <v>-65</v>
      </c>
      <c r="G31" s="524">
        <v>-305.10000000000002</v>
      </c>
      <c r="H31" s="524">
        <v>-18.899999999999999</v>
      </c>
      <c r="I31" s="524">
        <v>-23.9</v>
      </c>
      <c r="J31" s="512"/>
      <c r="K31" s="512"/>
      <c r="L31" s="512"/>
      <c r="M31" s="512"/>
    </row>
    <row r="32" spans="1:13" x14ac:dyDescent="0.35">
      <c r="A32" s="512" t="s">
        <v>14</v>
      </c>
      <c r="B32" s="510" t="s">
        <v>697</v>
      </c>
      <c r="C32" s="524">
        <v>1</v>
      </c>
      <c r="D32" s="524">
        <v>-1</v>
      </c>
      <c r="E32" s="524" t="s">
        <v>690</v>
      </c>
      <c r="F32" s="524" t="s">
        <v>690</v>
      </c>
      <c r="G32" s="524" t="s">
        <v>690</v>
      </c>
      <c r="H32" s="524" t="s">
        <v>690</v>
      </c>
      <c r="I32" s="524" t="s">
        <v>690</v>
      </c>
      <c r="J32" s="512"/>
      <c r="K32" s="512"/>
      <c r="L32" s="512"/>
      <c r="M32" s="512"/>
    </row>
    <row r="33" spans="1:13" x14ac:dyDescent="0.35">
      <c r="A33" s="512" t="s">
        <v>14</v>
      </c>
      <c r="B33" s="510" t="s">
        <v>698</v>
      </c>
      <c r="C33" s="525">
        <v>-85905</v>
      </c>
      <c r="D33" s="525">
        <v>-47662</v>
      </c>
      <c r="E33" s="524">
        <v>-179.4</v>
      </c>
      <c r="F33" s="524">
        <v>-145.80000000000001</v>
      </c>
      <c r="G33" s="525">
        <v>15046.4</v>
      </c>
      <c r="H33" s="525">
        <v>12954.1</v>
      </c>
      <c r="I33" s="525">
        <v>1186.0999999999999</v>
      </c>
      <c r="J33" s="512"/>
      <c r="K33" s="512"/>
      <c r="L33" s="512"/>
      <c r="M33" s="512"/>
    </row>
    <row r="34" spans="1:13" ht="13.15" x14ac:dyDescent="0.35">
      <c r="B34" s="517" t="s">
        <v>699</v>
      </c>
      <c r="C34" s="510"/>
      <c r="D34" s="510"/>
      <c r="E34" s="510"/>
      <c r="F34" s="510"/>
      <c r="G34" s="510"/>
      <c r="H34" s="510"/>
      <c r="I34" s="510"/>
      <c r="J34" s="512"/>
      <c r="K34" s="512"/>
      <c r="L34" s="512"/>
      <c r="M34" s="512"/>
    </row>
    <row r="35" spans="1:13" x14ac:dyDescent="0.35">
      <c r="B35" s="510" t="s">
        <v>439</v>
      </c>
      <c r="C35" s="524">
        <v>-45</v>
      </c>
      <c r="D35" s="524">
        <v>-600</v>
      </c>
      <c r="E35" s="524">
        <v>0.2</v>
      </c>
      <c r="F35" s="524">
        <v>161</v>
      </c>
      <c r="G35" s="525">
        <v>-4753.8999999999996</v>
      </c>
      <c r="H35" s="525">
        <v>-3519.7</v>
      </c>
      <c r="I35" s="524">
        <v>-255.8</v>
      </c>
      <c r="J35" s="512"/>
      <c r="K35" s="512"/>
      <c r="L35" s="512"/>
      <c r="M35" s="512"/>
    </row>
    <row r="36" spans="1:13" x14ac:dyDescent="0.35">
      <c r="B36" s="510" t="s">
        <v>440</v>
      </c>
      <c r="C36" s="524">
        <v>297</v>
      </c>
      <c r="D36" s="524">
        <v>243</v>
      </c>
      <c r="E36" s="524">
        <v>0.1</v>
      </c>
      <c r="F36" s="524" t="s">
        <v>690</v>
      </c>
      <c r="G36" s="524" t="s">
        <v>690</v>
      </c>
      <c r="H36" s="524" t="s">
        <v>690</v>
      </c>
      <c r="I36" s="524" t="s">
        <v>690</v>
      </c>
      <c r="J36" s="512"/>
      <c r="K36" s="512"/>
      <c r="L36" s="512"/>
      <c r="M36" s="512"/>
    </row>
    <row r="37" spans="1:13" x14ac:dyDescent="0.35">
      <c r="B37" s="510" t="s">
        <v>700</v>
      </c>
      <c r="C37" s="525">
        <v>-85653</v>
      </c>
      <c r="D37" s="525">
        <v>-48019</v>
      </c>
      <c r="E37" s="524">
        <v>-179.1</v>
      </c>
      <c r="F37" s="524">
        <v>15.2</v>
      </c>
      <c r="G37" s="525">
        <v>10292.5</v>
      </c>
      <c r="H37" s="525">
        <v>9434.4</v>
      </c>
      <c r="I37" s="524">
        <v>930.3</v>
      </c>
      <c r="J37" s="512"/>
      <c r="K37" s="512"/>
      <c r="L37" s="512"/>
      <c r="M37" s="512"/>
    </row>
    <row r="38" spans="1:13" ht="13.15" x14ac:dyDescent="0.35">
      <c r="B38" s="517" t="s">
        <v>701</v>
      </c>
      <c r="C38" s="510"/>
      <c r="D38" s="510"/>
      <c r="E38" s="510"/>
      <c r="F38" s="510"/>
      <c r="G38" s="510"/>
      <c r="H38" s="510"/>
      <c r="I38" s="510"/>
      <c r="J38" s="512"/>
      <c r="K38" s="512"/>
      <c r="L38" s="512"/>
      <c r="M38" s="512"/>
    </row>
    <row r="39" spans="1:13" x14ac:dyDescent="0.35">
      <c r="B39" s="510" t="s">
        <v>702</v>
      </c>
      <c r="C39" s="525">
        <v>52280</v>
      </c>
      <c r="D39" s="524" t="s">
        <v>690</v>
      </c>
      <c r="E39" s="524" t="s">
        <v>690</v>
      </c>
      <c r="F39" s="524" t="s">
        <v>690</v>
      </c>
      <c r="G39" s="524" t="s">
        <v>690</v>
      </c>
      <c r="H39" s="524" t="s">
        <v>690</v>
      </c>
      <c r="I39" s="524" t="s">
        <v>690</v>
      </c>
      <c r="J39" s="512"/>
      <c r="K39" s="512"/>
      <c r="L39" s="512"/>
      <c r="M39" s="512"/>
    </row>
    <row r="40" spans="1:13" x14ac:dyDescent="0.35">
      <c r="B40" s="510" t="s">
        <v>703</v>
      </c>
      <c r="C40" s="525">
        <v>-61277</v>
      </c>
      <c r="D40" s="525">
        <v>-53854</v>
      </c>
      <c r="E40" s="524">
        <v>-181.5</v>
      </c>
      <c r="F40" s="524">
        <v>-82.4</v>
      </c>
      <c r="G40" s="525">
        <v>15283.8</v>
      </c>
      <c r="H40" s="525">
        <v>12642.7</v>
      </c>
      <c r="I40" s="524">
        <v>690.4</v>
      </c>
      <c r="J40" s="512"/>
      <c r="K40" s="512"/>
      <c r="L40" s="512"/>
      <c r="M40" s="512"/>
    </row>
    <row r="41" spans="1:13" x14ac:dyDescent="0.35">
      <c r="B41" s="510" t="s">
        <v>704</v>
      </c>
      <c r="C41" s="524">
        <v>-0.51</v>
      </c>
      <c r="D41" s="524">
        <v>-0.25</v>
      </c>
      <c r="E41" s="524">
        <v>-0.85</v>
      </c>
      <c r="F41" s="524">
        <v>0.06</v>
      </c>
      <c r="G41" s="524">
        <v>42.18</v>
      </c>
      <c r="H41" s="524">
        <v>38.78</v>
      </c>
      <c r="I41" s="524">
        <v>3.87</v>
      </c>
      <c r="J41" s="512"/>
      <c r="K41" s="512"/>
      <c r="L41" s="512"/>
      <c r="M41" s="512"/>
    </row>
    <row r="42" spans="1:13" x14ac:dyDescent="0.35">
      <c r="B42" s="510" t="s">
        <v>705</v>
      </c>
      <c r="C42" s="524">
        <v>-0.51</v>
      </c>
      <c r="D42" s="524">
        <v>-0.25</v>
      </c>
      <c r="E42" s="524">
        <v>-0.85</v>
      </c>
      <c r="F42" s="524">
        <v>0.06</v>
      </c>
      <c r="G42" s="524">
        <v>39.630000000000003</v>
      </c>
      <c r="H42" s="524">
        <v>37.770000000000003</v>
      </c>
      <c r="I42" s="524">
        <v>3.83</v>
      </c>
      <c r="J42" s="512"/>
      <c r="K42" s="512"/>
      <c r="L42" s="512"/>
      <c r="M42" s="512"/>
    </row>
    <row r="43" spans="1:13" x14ac:dyDescent="0.35">
      <c r="B43" s="510"/>
      <c r="C43" s="512"/>
      <c r="D43" s="512"/>
      <c r="E43" s="512"/>
      <c r="F43" s="512"/>
      <c r="G43" s="512"/>
      <c r="H43" s="512"/>
      <c r="I43" s="512"/>
      <c r="J43" s="512"/>
      <c r="K43" s="512"/>
      <c r="L43" s="512"/>
      <c r="M43" s="512"/>
    </row>
    <row r="44" spans="1:13" x14ac:dyDescent="0.35">
      <c r="B44" s="523"/>
      <c r="C44" s="512"/>
      <c r="D44" s="512"/>
      <c r="E44" s="512"/>
      <c r="F44" s="512"/>
      <c r="G44" s="512"/>
      <c r="H44" s="512"/>
      <c r="I44" s="512"/>
      <c r="J44" s="512"/>
      <c r="K44" s="512"/>
      <c r="L44" s="512"/>
      <c r="M44" s="512"/>
    </row>
    <row r="45" spans="1:13" x14ac:dyDescent="0.35">
      <c r="B45" t="s">
        <v>706</v>
      </c>
    </row>
    <row r="47" spans="1:13" s="521" customFormat="1" ht="17.649999999999999" x14ac:dyDescent="0.5">
      <c r="A47" s="521" t="s">
        <v>14</v>
      </c>
      <c r="B47" s="521" t="s">
        <v>707</v>
      </c>
    </row>
    <row r="48" spans="1:13" s="510" customFormat="1" x14ac:dyDescent="0.35">
      <c r="B48" s="510" t="s">
        <v>664</v>
      </c>
    </row>
    <row r="50" spans="2:9" x14ac:dyDescent="0.35">
      <c r="B50" t="s">
        <v>665</v>
      </c>
    </row>
    <row r="51" spans="2:9" x14ac:dyDescent="0.35">
      <c r="B51" t="s">
        <v>666</v>
      </c>
    </row>
    <row r="52" spans="2:9" x14ac:dyDescent="0.35">
      <c r="B52" t="s">
        <v>667</v>
      </c>
    </row>
    <row r="53" spans="2:9" x14ac:dyDescent="0.35">
      <c r="B53" t="s">
        <v>668</v>
      </c>
    </row>
    <row r="54" spans="2:9" x14ac:dyDescent="0.35">
      <c r="B54" t="s">
        <v>669</v>
      </c>
    </row>
    <row r="57" spans="2:9" x14ac:dyDescent="0.35">
      <c r="B57" t="s">
        <v>670</v>
      </c>
      <c r="C57" t="s">
        <v>671</v>
      </c>
      <c r="D57" t="s">
        <v>672</v>
      </c>
      <c r="E57" t="s">
        <v>673</v>
      </c>
      <c r="F57" t="s">
        <v>674</v>
      </c>
      <c r="G57" t="s">
        <v>675</v>
      </c>
      <c r="H57" t="s">
        <v>676</v>
      </c>
      <c r="I57" t="s">
        <v>677</v>
      </c>
    </row>
    <row r="58" spans="2:9" x14ac:dyDescent="0.35">
      <c r="B58" t="s">
        <v>678</v>
      </c>
      <c r="C58" t="s">
        <v>679</v>
      </c>
      <c r="D58" t="s">
        <v>680</v>
      </c>
      <c r="E58" t="s">
        <v>681</v>
      </c>
      <c r="F58" t="s">
        <v>682</v>
      </c>
      <c r="G58" t="s">
        <v>683</v>
      </c>
      <c r="H58" t="s">
        <v>684</v>
      </c>
      <c r="I58" t="s">
        <v>685</v>
      </c>
    </row>
    <row r="59" spans="2:9" x14ac:dyDescent="0.35">
      <c r="B59" t="s">
        <v>421</v>
      </c>
      <c r="C59" t="s">
        <v>686</v>
      </c>
      <c r="D59" t="s">
        <v>686</v>
      </c>
      <c r="E59" t="s">
        <v>686</v>
      </c>
      <c r="F59" t="s">
        <v>686</v>
      </c>
      <c r="G59" t="s">
        <v>686</v>
      </c>
      <c r="H59" t="s">
        <v>686</v>
      </c>
      <c r="I59" t="s">
        <v>686</v>
      </c>
    </row>
    <row r="60" spans="2:9" x14ac:dyDescent="0.35">
      <c r="B60" t="s">
        <v>687</v>
      </c>
      <c r="C60" t="s">
        <v>688</v>
      </c>
      <c r="D60" t="s">
        <v>688</v>
      </c>
      <c r="E60" t="s">
        <v>423</v>
      </c>
      <c r="F60" t="s">
        <v>423</v>
      </c>
      <c r="G60" t="s">
        <v>423</v>
      </c>
      <c r="H60" t="s">
        <v>423</v>
      </c>
      <c r="I60" t="s">
        <v>423</v>
      </c>
    </row>
    <row r="61" spans="2:9" ht="13.15" x14ac:dyDescent="0.4">
      <c r="B61" s="522" t="s">
        <v>708</v>
      </c>
    </row>
    <row r="62" spans="2:9" x14ac:dyDescent="0.35">
      <c r="B62" t="s">
        <v>495</v>
      </c>
      <c r="C62" t="s">
        <v>690</v>
      </c>
      <c r="D62">
        <v>-48262</v>
      </c>
      <c r="E62">
        <v>-179.2</v>
      </c>
      <c r="F62">
        <v>15.2</v>
      </c>
      <c r="G62">
        <v>10292.5</v>
      </c>
      <c r="H62">
        <v>9434.4</v>
      </c>
      <c r="I62">
        <v>930.3</v>
      </c>
    </row>
    <row r="63" spans="2:9" x14ac:dyDescent="0.35">
      <c r="B63" t="s">
        <v>709</v>
      </c>
      <c r="C63">
        <v>-85950</v>
      </c>
      <c r="D63" t="s">
        <v>690</v>
      </c>
      <c r="E63" t="s">
        <v>690</v>
      </c>
      <c r="F63" t="s">
        <v>690</v>
      </c>
      <c r="G63" t="s">
        <v>690</v>
      </c>
      <c r="H63" t="s">
        <v>690</v>
      </c>
      <c r="I63" t="s">
        <v>690</v>
      </c>
    </row>
    <row r="64" spans="2:9" x14ac:dyDescent="0.35">
      <c r="B64" t="s">
        <v>498</v>
      </c>
      <c r="C64" t="s">
        <v>690</v>
      </c>
      <c r="D64" t="s">
        <v>690</v>
      </c>
      <c r="E64" t="s">
        <v>690</v>
      </c>
      <c r="F64">
        <v>38.700000000000003</v>
      </c>
      <c r="G64" t="s">
        <v>690</v>
      </c>
      <c r="H64" t="s">
        <v>690</v>
      </c>
      <c r="I64" t="s">
        <v>690</v>
      </c>
    </row>
    <row r="65" spans="2:9" x14ac:dyDescent="0.35">
      <c r="B65" t="s">
        <v>414</v>
      </c>
      <c r="C65">
        <v>10529</v>
      </c>
      <c r="D65">
        <v>21984</v>
      </c>
      <c r="E65">
        <v>33.9</v>
      </c>
      <c r="F65" t="s">
        <v>690</v>
      </c>
      <c r="G65">
        <v>75.2</v>
      </c>
      <c r="H65">
        <v>123.3</v>
      </c>
      <c r="I65">
        <v>183.4</v>
      </c>
    </row>
    <row r="66" spans="2:9" x14ac:dyDescent="0.35">
      <c r="B66" t="s">
        <v>499</v>
      </c>
      <c r="C66">
        <v>15</v>
      </c>
      <c r="D66">
        <v>-14</v>
      </c>
      <c r="E66">
        <v>0.5</v>
      </c>
      <c r="F66">
        <v>0.6</v>
      </c>
      <c r="G66">
        <v>4.5999999999999996</v>
      </c>
      <c r="H66">
        <v>0.6</v>
      </c>
      <c r="I66">
        <v>3.8</v>
      </c>
    </row>
    <row r="67" spans="2:9" x14ac:dyDescent="0.35">
      <c r="B67" t="s">
        <v>500</v>
      </c>
      <c r="C67" t="s">
        <v>690</v>
      </c>
      <c r="D67" t="s">
        <v>690</v>
      </c>
      <c r="E67" t="s">
        <v>690</v>
      </c>
      <c r="F67" t="s">
        <v>690</v>
      </c>
      <c r="G67">
        <v>57.3</v>
      </c>
      <c r="H67">
        <v>-241</v>
      </c>
      <c r="I67">
        <v>175.5</v>
      </c>
    </row>
    <row r="68" spans="2:9" x14ac:dyDescent="0.35">
      <c r="B68" t="s">
        <v>501</v>
      </c>
      <c r="C68">
        <v>78</v>
      </c>
      <c r="D68">
        <v>84</v>
      </c>
      <c r="E68" t="s">
        <v>690</v>
      </c>
      <c r="F68" t="s">
        <v>690</v>
      </c>
      <c r="G68" t="s">
        <v>690</v>
      </c>
      <c r="H68" t="s">
        <v>690</v>
      </c>
      <c r="I68" t="s">
        <v>690</v>
      </c>
    </row>
    <row r="69" spans="2:9" x14ac:dyDescent="0.35">
      <c r="B69" t="s">
        <v>502</v>
      </c>
      <c r="C69" t="s">
        <v>690</v>
      </c>
      <c r="D69" t="s">
        <v>690</v>
      </c>
      <c r="E69" t="s">
        <v>690</v>
      </c>
      <c r="F69" t="s">
        <v>690</v>
      </c>
      <c r="G69">
        <v>-13.4</v>
      </c>
      <c r="H69">
        <v>-51.8</v>
      </c>
      <c r="I69">
        <v>-766.2</v>
      </c>
    </row>
    <row r="70" spans="2:9" x14ac:dyDescent="0.35">
      <c r="B70" t="s">
        <v>503</v>
      </c>
      <c r="C70">
        <v>5909</v>
      </c>
      <c r="D70">
        <v>7641</v>
      </c>
      <c r="E70">
        <v>30.2</v>
      </c>
      <c r="F70">
        <v>32.1</v>
      </c>
      <c r="G70">
        <v>93.9</v>
      </c>
      <c r="H70">
        <v>108.6</v>
      </c>
      <c r="I70">
        <v>51.4</v>
      </c>
    </row>
    <row r="71" spans="2:9" x14ac:dyDescent="0.35">
      <c r="B71" t="s">
        <v>504</v>
      </c>
      <c r="C71">
        <v>24820</v>
      </c>
      <c r="D71">
        <v>459</v>
      </c>
      <c r="E71">
        <v>0.1</v>
      </c>
      <c r="F71">
        <v>41.3</v>
      </c>
      <c r="G71">
        <v>-387.5</v>
      </c>
      <c r="H71">
        <v>625.5</v>
      </c>
      <c r="I71">
        <v>-298</v>
      </c>
    </row>
    <row r="72" spans="2:9" x14ac:dyDescent="0.35">
      <c r="B72" t="s">
        <v>497</v>
      </c>
      <c r="C72">
        <v>45</v>
      </c>
      <c r="D72">
        <v>600</v>
      </c>
      <c r="E72">
        <v>-0.2</v>
      </c>
      <c r="F72">
        <v>-161</v>
      </c>
      <c r="G72">
        <v>4753.8999999999996</v>
      </c>
      <c r="H72">
        <v>3519.7</v>
      </c>
      <c r="I72">
        <v>255.8</v>
      </c>
    </row>
    <row r="73" spans="2:9" x14ac:dyDescent="0.35">
      <c r="B73" t="s">
        <v>505</v>
      </c>
      <c r="C73">
        <v>-45</v>
      </c>
      <c r="D73">
        <v>-304</v>
      </c>
      <c r="E73">
        <v>0.2</v>
      </c>
      <c r="F73">
        <v>0.5</v>
      </c>
      <c r="G73">
        <v>-3457.9</v>
      </c>
      <c r="H73">
        <v>-4222.1000000000004</v>
      </c>
      <c r="I73">
        <v>-482.9</v>
      </c>
    </row>
    <row r="74" spans="2:9" x14ac:dyDescent="0.35">
      <c r="B74" t="s">
        <v>506</v>
      </c>
      <c r="C74" t="s">
        <v>690</v>
      </c>
      <c r="D74" t="s">
        <v>690</v>
      </c>
      <c r="E74" t="s">
        <v>690</v>
      </c>
      <c r="F74">
        <v>92</v>
      </c>
      <c r="G74">
        <v>-89</v>
      </c>
      <c r="H74">
        <v>0.3</v>
      </c>
      <c r="I74">
        <v>2.4</v>
      </c>
    </row>
    <row r="75" spans="2:9" x14ac:dyDescent="0.35">
      <c r="B75" t="s">
        <v>314</v>
      </c>
      <c r="C75">
        <v>-729</v>
      </c>
      <c r="D75">
        <v>-1769</v>
      </c>
      <c r="E75">
        <v>-2</v>
      </c>
      <c r="F75">
        <v>-3.6</v>
      </c>
      <c r="G75" t="s">
        <v>690</v>
      </c>
      <c r="H75" t="s">
        <v>690</v>
      </c>
      <c r="I75" t="s">
        <v>690</v>
      </c>
    </row>
    <row r="76" spans="2:9" x14ac:dyDescent="0.35">
      <c r="B76" t="s">
        <v>507</v>
      </c>
      <c r="C76" t="s">
        <v>690</v>
      </c>
      <c r="D76" t="s">
        <v>690</v>
      </c>
      <c r="E76" t="s">
        <v>690</v>
      </c>
      <c r="F76" t="s">
        <v>690</v>
      </c>
      <c r="G76">
        <v>-2.2000000000000002</v>
      </c>
      <c r="H76" t="s">
        <v>690</v>
      </c>
      <c r="I76" t="s">
        <v>690</v>
      </c>
    </row>
    <row r="77" spans="2:9" x14ac:dyDescent="0.35">
      <c r="B77" t="s">
        <v>310</v>
      </c>
      <c r="C77">
        <v>2133</v>
      </c>
      <c r="D77">
        <v>1996</v>
      </c>
      <c r="E77">
        <v>1.3</v>
      </c>
      <c r="F77">
        <v>1.4</v>
      </c>
      <c r="G77" t="s">
        <v>690</v>
      </c>
      <c r="H77" t="s">
        <v>690</v>
      </c>
      <c r="I77" t="s">
        <v>690</v>
      </c>
    </row>
    <row r="78" spans="2:9" x14ac:dyDescent="0.35">
      <c r="B78" t="s">
        <v>508</v>
      </c>
      <c r="C78">
        <v>53</v>
      </c>
      <c r="D78">
        <v>48</v>
      </c>
      <c r="E78">
        <v>2</v>
      </c>
      <c r="F78">
        <v>22.3</v>
      </c>
      <c r="G78">
        <v>305.2</v>
      </c>
      <c r="H78">
        <v>18.899999999999999</v>
      </c>
      <c r="I78">
        <v>7.9</v>
      </c>
    </row>
    <row r="79" spans="2:9" x14ac:dyDescent="0.35">
      <c r="B79" t="s">
        <v>436</v>
      </c>
      <c r="C79">
        <v>-2133</v>
      </c>
      <c r="D79">
        <v>-1996</v>
      </c>
      <c r="E79">
        <v>-1.8</v>
      </c>
      <c r="F79">
        <v>-1.6</v>
      </c>
      <c r="G79">
        <v>-1.5</v>
      </c>
      <c r="H79">
        <v>-265.3</v>
      </c>
      <c r="I79">
        <v>-519.6</v>
      </c>
    </row>
    <row r="80" spans="2:9" x14ac:dyDescent="0.35">
      <c r="B80" t="s">
        <v>509</v>
      </c>
      <c r="C80">
        <v>1</v>
      </c>
      <c r="D80" t="s">
        <v>690</v>
      </c>
      <c r="E80" t="s">
        <v>690</v>
      </c>
      <c r="F80" t="s">
        <v>690</v>
      </c>
      <c r="G80" t="s">
        <v>690</v>
      </c>
      <c r="H80" t="s">
        <v>690</v>
      </c>
      <c r="I80" t="s">
        <v>690</v>
      </c>
    </row>
    <row r="81" spans="2:9" x14ac:dyDescent="0.35">
      <c r="B81" t="s">
        <v>510</v>
      </c>
      <c r="C81">
        <v>676</v>
      </c>
      <c r="D81">
        <v>1721</v>
      </c>
      <c r="E81" t="s">
        <v>690</v>
      </c>
      <c r="F81" t="s">
        <v>690</v>
      </c>
      <c r="G81" t="s">
        <v>690</v>
      </c>
      <c r="H81" t="s">
        <v>690</v>
      </c>
      <c r="I81" t="s">
        <v>690</v>
      </c>
    </row>
    <row r="82" spans="2:9" x14ac:dyDescent="0.35">
      <c r="B82" t="s">
        <v>511</v>
      </c>
      <c r="C82" t="s">
        <v>690</v>
      </c>
      <c r="D82" t="s">
        <v>690</v>
      </c>
      <c r="E82" t="s">
        <v>690</v>
      </c>
      <c r="F82" t="s">
        <v>690</v>
      </c>
      <c r="G82">
        <v>-12.2</v>
      </c>
      <c r="H82">
        <v>-21.5</v>
      </c>
      <c r="I82">
        <v>-5.4</v>
      </c>
    </row>
    <row r="83" spans="2:9" x14ac:dyDescent="0.35">
      <c r="B83" t="s">
        <v>512</v>
      </c>
      <c r="C83" t="s">
        <v>690</v>
      </c>
      <c r="D83" t="s">
        <v>690</v>
      </c>
      <c r="E83" t="s">
        <v>690</v>
      </c>
      <c r="F83" t="s">
        <v>690</v>
      </c>
      <c r="G83">
        <v>1.2</v>
      </c>
      <c r="H83">
        <v>29.3</v>
      </c>
      <c r="I83">
        <v>258.2</v>
      </c>
    </row>
    <row r="84" spans="2:9" x14ac:dyDescent="0.35">
      <c r="B84" t="s">
        <v>513</v>
      </c>
      <c r="C84" t="s">
        <v>690</v>
      </c>
      <c r="D84" t="s">
        <v>690</v>
      </c>
      <c r="E84" t="s">
        <v>690</v>
      </c>
      <c r="F84">
        <v>1.7</v>
      </c>
      <c r="G84" t="s">
        <v>690</v>
      </c>
      <c r="H84" t="s">
        <v>690</v>
      </c>
      <c r="I84" t="s">
        <v>690</v>
      </c>
    </row>
    <row r="85" spans="2:9" x14ac:dyDescent="0.35">
      <c r="B85" t="s">
        <v>514</v>
      </c>
      <c r="C85">
        <v>-2816</v>
      </c>
      <c r="D85">
        <v>-18732</v>
      </c>
      <c r="E85" t="s">
        <v>690</v>
      </c>
      <c r="F85" t="s">
        <v>690</v>
      </c>
      <c r="G85" t="s">
        <v>690</v>
      </c>
      <c r="H85" t="s">
        <v>690</v>
      </c>
      <c r="I85" t="s">
        <v>690</v>
      </c>
    </row>
    <row r="86" spans="2:9" x14ac:dyDescent="0.35">
      <c r="B86" t="s">
        <v>515</v>
      </c>
      <c r="C86" t="s">
        <v>690</v>
      </c>
      <c r="D86" t="s">
        <v>690</v>
      </c>
      <c r="E86">
        <v>2.9</v>
      </c>
      <c r="F86">
        <v>-247.9</v>
      </c>
      <c r="G86">
        <v>-11808.1</v>
      </c>
      <c r="H86">
        <v>4369.8999999999996</v>
      </c>
      <c r="I86">
        <v>5374</v>
      </c>
    </row>
    <row r="87" spans="2:9" x14ac:dyDescent="0.35">
      <c r="B87" t="s">
        <v>516</v>
      </c>
      <c r="C87">
        <v>-574</v>
      </c>
      <c r="D87">
        <v>-1253</v>
      </c>
      <c r="E87">
        <v>-5.8</v>
      </c>
      <c r="F87">
        <v>-49.8</v>
      </c>
      <c r="G87">
        <v>-438.4</v>
      </c>
      <c r="H87">
        <v>62.9</v>
      </c>
      <c r="I87">
        <v>81.900000000000006</v>
      </c>
    </row>
    <row r="88" spans="2:9" x14ac:dyDescent="0.35">
      <c r="B88" t="s">
        <v>517</v>
      </c>
      <c r="C88">
        <v>-4574</v>
      </c>
      <c r="D88">
        <v>-21080</v>
      </c>
      <c r="E88" t="s">
        <v>690</v>
      </c>
      <c r="F88" t="s">
        <v>690</v>
      </c>
      <c r="G88" t="s">
        <v>690</v>
      </c>
      <c r="H88" t="s">
        <v>690</v>
      </c>
      <c r="I88" t="s">
        <v>690</v>
      </c>
    </row>
    <row r="89" spans="2:9" x14ac:dyDescent="0.35">
      <c r="B89" t="s">
        <v>518</v>
      </c>
      <c r="C89" t="s">
        <v>690</v>
      </c>
      <c r="D89" t="s">
        <v>690</v>
      </c>
      <c r="E89">
        <v>-80.599999999999994</v>
      </c>
      <c r="F89">
        <v>204.6</v>
      </c>
      <c r="G89">
        <v>1516.1</v>
      </c>
      <c r="H89">
        <v>85.7</v>
      </c>
      <c r="I89">
        <v>118.9</v>
      </c>
    </row>
    <row r="90" spans="2:9" s="522" customFormat="1" ht="13.15" x14ac:dyDescent="0.4">
      <c r="B90" s="522" t="s">
        <v>710</v>
      </c>
      <c r="C90" s="522">
        <v>-52562</v>
      </c>
      <c r="D90" s="522">
        <v>-58877</v>
      </c>
      <c r="E90" s="522">
        <v>-198.5</v>
      </c>
      <c r="F90" s="522">
        <v>-13.5</v>
      </c>
      <c r="G90" s="522">
        <v>889.7</v>
      </c>
      <c r="H90" s="522">
        <v>13577.4</v>
      </c>
      <c r="I90" s="522">
        <v>5371.4</v>
      </c>
    </row>
    <row r="91" spans="2:9" ht="13.15" x14ac:dyDescent="0.4">
      <c r="B91" s="522" t="s">
        <v>711</v>
      </c>
    </row>
    <row r="92" spans="2:9" x14ac:dyDescent="0.35">
      <c r="B92" t="s">
        <v>521</v>
      </c>
      <c r="C92">
        <v>-24320</v>
      </c>
      <c r="D92">
        <v>-29901</v>
      </c>
      <c r="E92">
        <v>-38.6</v>
      </c>
      <c r="F92">
        <v>-66</v>
      </c>
      <c r="G92">
        <v>-127.5</v>
      </c>
      <c r="H92">
        <v>-329.2</v>
      </c>
      <c r="I92">
        <v>-249.4</v>
      </c>
    </row>
    <row r="93" spans="2:9" x14ac:dyDescent="0.35">
      <c r="B93" t="s">
        <v>522</v>
      </c>
      <c r="C93">
        <v>5193</v>
      </c>
      <c r="D93">
        <v>705</v>
      </c>
      <c r="E93" t="s">
        <v>690</v>
      </c>
      <c r="F93">
        <v>1.2</v>
      </c>
      <c r="G93">
        <v>3.4</v>
      </c>
      <c r="H93">
        <v>0.6</v>
      </c>
      <c r="I93">
        <v>-0.7</v>
      </c>
    </row>
    <row r="94" spans="2:9" x14ac:dyDescent="0.35">
      <c r="B94" t="s">
        <v>523</v>
      </c>
      <c r="C94" t="s">
        <v>690</v>
      </c>
      <c r="D94" t="s">
        <v>690</v>
      </c>
      <c r="E94">
        <v>-6.1</v>
      </c>
      <c r="F94">
        <v>-60.6</v>
      </c>
      <c r="G94">
        <v>-20.8</v>
      </c>
      <c r="H94" t="s">
        <v>690</v>
      </c>
      <c r="I94">
        <v>-336.9</v>
      </c>
    </row>
    <row r="95" spans="2:9" x14ac:dyDescent="0.35">
      <c r="B95" t="s">
        <v>524</v>
      </c>
      <c r="C95">
        <v>-33422</v>
      </c>
      <c r="D95" t="s">
        <v>690</v>
      </c>
      <c r="E95" t="s">
        <v>690</v>
      </c>
      <c r="F95" t="s">
        <v>690</v>
      </c>
      <c r="G95" t="s">
        <v>690</v>
      </c>
      <c r="H95" t="s">
        <v>690</v>
      </c>
      <c r="I95" t="s">
        <v>690</v>
      </c>
    </row>
    <row r="96" spans="2:9" x14ac:dyDescent="0.35">
      <c r="B96" t="s">
        <v>525</v>
      </c>
      <c r="C96" t="s">
        <v>690</v>
      </c>
      <c r="D96">
        <v>-37256</v>
      </c>
      <c r="E96">
        <v>-32.5</v>
      </c>
      <c r="F96" t="s">
        <v>690</v>
      </c>
      <c r="G96">
        <v>-26.5</v>
      </c>
      <c r="H96">
        <v>-34.1</v>
      </c>
      <c r="I96">
        <v>-455.4</v>
      </c>
    </row>
    <row r="97" spans="2:9" x14ac:dyDescent="0.35">
      <c r="B97" t="s">
        <v>526</v>
      </c>
      <c r="C97" t="s">
        <v>690</v>
      </c>
      <c r="D97" t="s">
        <v>690</v>
      </c>
      <c r="E97" t="s">
        <v>690</v>
      </c>
      <c r="F97" t="s">
        <v>690</v>
      </c>
      <c r="G97">
        <v>-19.5</v>
      </c>
      <c r="H97">
        <v>-47.8</v>
      </c>
      <c r="I97">
        <v>-7128.4</v>
      </c>
    </row>
    <row r="98" spans="2:9" x14ac:dyDescent="0.35">
      <c r="B98" t="s">
        <v>527</v>
      </c>
      <c r="C98" t="s">
        <v>690</v>
      </c>
      <c r="D98" t="s">
        <v>690</v>
      </c>
      <c r="E98" t="s">
        <v>690</v>
      </c>
      <c r="F98" t="s">
        <v>690</v>
      </c>
      <c r="G98">
        <v>-375.2</v>
      </c>
      <c r="H98">
        <v>375.2</v>
      </c>
      <c r="I98">
        <v>1216.3</v>
      </c>
    </row>
    <row r="99" spans="2:9" x14ac:dyDescent="0.35">
      <c r="B99" t="s">
        <v>528</v>
      </c>
      <c r="C99" t="s">
        <v>690</v>
      </c>
      <c r="D99" t="s">
        <v>690</v>
      </c>
      <c r="E99" t="s">
        <v>690</v>
      </c>
      <c r="F99">
        <v>-19.399999999999999</v>
      </c>
      <c r="G99" t="s">
        <v>690</v>
      </c>
      <c r="H99" t="s">
        <v>690</v>
      </c>
      <c r="I99" t="s">
        <v>690</v>
      </c>
    </row>
    <row r="100" spans="2:9" s="522" customFormat="1" ht="13.15" x14ac:dyDescent="0.4">
      <c r="B100" s="522" t="s">
        <v>712</v>
      </c>
      <c r="C100" s="522">
        <v>-52549</v>
      </c>
      <c r="D100" s="522">
        <v>-66452</v>
      </c>
      <c r="E100" s="522">
        <v>-77.2</v>
      </c>
      <c r="F100" s="522">
        <v>-144.80000000000001</v>
      </c>
      <c r="G100" s="522">
        <v>-566.1</v>
      </c>
      <c r="H100" s="522">
        <v>-35.299999999999997</v>
      </c>
      <c r="I100" s="522">
        <v>-6954.5</v>
      </c>
    </row>
    <row r="101" spans="2:9" ht="13.15" x14ac:dyDescent="0.4">
      <c r="B101" s="522" t="s">
        <v>713</v>
      </c>
    </row>
    <row r="102" spans="2:9" x14ac:dyDescent="0.35">
      <c r="B102" t="s">
        <v>530</v>
      </c>
      <c r="C102" t="s">
        <v>690</v>
      </c>
      <c r="D102" t="s">
        <v>690</v>
      </c>
      <c r="E102" t="s">
        <v>690</v>
      </c>
      <c r="F102">
        <v>-1.6</v>
      </c>
      <c r="G102">
        <v>-52.6</v>
      </c>
      <c r="H102">
        <v>-18.8</v>
      </c>
      <c r="I102">
        <v>-0.1</v>
      </c>
    </row>
    <row r="103" spans="2:9" x14ac:dyDescent="0.35">
      <c r="B103" t="s">
        <v>531</v>
      </c>
      <c r="C103" t="s">
        <v>690</v>
      </c>
      <c r="D103">
        <v>5600</v>
      </c>
      <c r="E103">
        <v>11</v>
      </c>
      <c r="F103">
        <v>156</v>
      </c>
      <c r="G103" t="s">
        <v>690</v>
      </c>
      <c r="H103">
        <v>0.8</v>
      </c>
      <c r="I103">
        <v>0.3</v>
      </c>
    </row>
    <row r="104" spans="2:9" x14ac:dyDescent="0.35">
      <c r="B104" t="s">
        <v>532</v>
      </c>
      <c r="C104">
        <v>-1643</v>
      </c>
      <c r="D104" t="s">
        <v>690</v>
      </c>
      <c r="E104" t="s">
        <v>690</v>
      </c>
      <c r="F104" t="s">
        <v>690</v>
      </c>
      <c r="G104" t="s">
        <v>690</v>
      </c>
      <c r="H104" t="s">
        <v>690</v>
      </c>
      <c r="I104" t="s">
        <v>690</v>
      </c>
    </row>
    <row r="105" spans="2:9" x14ac:dyDescent="0.35">
      <c r="B105" t="s">
        <v>533</v>
      </c>
      <c r="C105" t="s">
        <v>690</v>
      </c>
      <c r="D105">
        <v>-2148</v>
      </c>
      <c r="E105">
        <v>-3.1</v>
      </c>
      <c r="F105">
        <v>-12.7</v>
      </c>
      <c r="G105">
        <v>-14.1</v>
      </c>
      <c r="H105">
        <v>-41.1</v>
      </c>
      <c r="I105">
        <v>-40.299999999999997</v>
      </c>
    </row>
    <row r="106" spans="2:9" x14ac:dyDescent="0.35">
      <c r="B106" t="s">
        <v>534</v>
      </c>
      <c r="C106" t="s">
        <v>690</v>
      </c>
      <c r="D106">
        <v>361725</v>
      </c>
      <c r="E106" t="s">
        <v>690</v>
      </c>
      <c r="F106" t="s">
        <v>690</v>
      </c>
      <c r="G106" t="s">
        <v>690</v>
      </c>
      <c r="H106" t="s">
        <v>690</v>
      </c>
      <c r="I106" t="s">
        <v>690</v>
      </c>
    </row>
    <row r="107" spans="2:9" x14ac:dyDescent="0.35">
      <c r="B107" t="s">
        <v>535</v>
      </c>
      <c r="C107" t="s">
        <v>690</v>
      </c>
      <c r="D107" t="s">
        <v>690</v>
      </c>
      <c r="E107">
        <v>375.4</v>
      </c>
      <c r="F107">
        <v>753</v>
      </c>
      <c r="G107">
        <v>160.9</v>
      </c>
      <c r="H107">
        <v>110.5</v>
      </c>
      <c r="I107" t="s">
        <v>690</v>
      </c>
    </row>
    <row r="108" spans="2:9" x14ac:dyDescent="0.35">
      <c r="B108" t="s">
        <v>536</v>
      </c>
      <c r="C108" t="s">
        <v>690</v>
      </c>
      <c r="D108" t="s">
        <v>690</v>
      </c>
      <c r="E108" t="s">
        <v>690</v>
      </c>
      <c r="F108" t="s">
        <v>690</v>
      </c>
      <c r="G108" t="s">
        <v>690</v>
      </c>
      <c r="H108">
        <v>-986.4</v>
      </c>
      <c r="I108">
        <v>-738.5</v>
      </c>
    </row>
    <row r="109" spans="2:9" x14ac:dyDescent="0.35">
      <c r="B109" t="s">
        <v>537</v>
      </c>
      <c r="C109" t="s">
        <v>690</v>
      </c>
      <c r="D109" t="s">
        <v>690</v>
      </c>
      <c r="E109" t="s">
        <v>690</v>
      </c>
      <c r="F109" t="s">
        <v>690</v>
      </c>
      <c r="G109" t="s">
        <v>690</v>
      </c>
      <c r="H109">
        <v>-484.3</v>
      </c>
      <c r="I109" t="s">
        <v>690</v>
      </c>
    </row>
    <row r="110" spans="2:9" s="522" customFormat="1" ht="13.15" x14ac:dyDescent="0.4">
      <c r="B110" s="522" t="s">
        <v>714</v>
      </c>
      <c r="C110" s="522">
        <v>-1643</v>
      </c>
      <c r="D110" s="522">
        <v>365177</v>
      </c>
      <c r="E110" s="522">
        <v>383.3</v>
      </c>
      <c r="F110" s="522">
        <v>894.7</v>
      </c>
      <c r="G110" s="522">
        <v>94.2</v>
      </c>
      <c r="H110" s="522">
        <v>-1419.3</v>
      </c>
      <c r="I110" s="522">
        <v>-778.6</v>
      </c>
    </row>
    <row r="111" spans="2:9" x14ac:dyDescent="0.35">
      <c r="B111" t="s">
        <v>715</v>
      </c>
    </row>
    <row r="112" spans="2:9" x14ac:dyDescent="0.35">
      <c r="B112" t="s">
        <v>716</v>
      </c>
      <c r="C112">
        <v>1</v>
      </c>
      <c r="D112" t="s">
        <v>690</v>
      </c>
      <c r="E112" t="s">
        <v>690</v>
      </c>
      <c r="F112" t="s">
        <v>690</v>
      </c>
      <c r="G112" t="s">
        <v>690</v>
      </c>
      <c r="H112" t="s">
        <v>690</v>
      </c>
      <c r="I112" t="s">
        <v>690</v>
      </c>
    </row>
    <row r="113" spans="2:13" x14ac:dyDescent="0.35">
      <c r="B113" t="s">
        <v>717</v>
      </c>
      <c r="C113">
        <v>-131573</v>
      </c>
      <c r="D113">
        <v>239389</v>
      </c>
      <c r="E113">
        <v>107.6</v>
      </c>
      <c r="F113">
        <v>691.1</v>
      </c>
      <c r="G113">
        <v>482.5</v>
      </c>
      <c r="H113">
        <v>12182.4</v>
      </c>
      <c r="I113">
        <v>-2211.4</v>
      </c>
    </row>
    <row r="114" spans="2:13" x14ac:dyDescent="0.35">
      <c r="B114" t="s">
        <v>718</v>
      </c>
      <c r="C114">
        <v>-24820</v>
      </c>
      <c r="D114">
        <v>-459</v>
      </c>
      <c r="E114" t="s">
        <v>690</v>
      </c>
      <c r="F114">
        <v>-45.3</v>
      </c>
      <c r="G114" t="s">
        <v>690</v>
      </c>
      <c r="H114" t="s">
        <v>690</v>
      </c>
      <c r="I114" t="s">
        <v>690</v>
      </c>
    </row>
    <row r="117" spans="2:13" x14ac:dyDescent="0.35">
      <c r="B117" t="s">
        <v>706</v>
      </c>
    </row>
    <row r="122" spans="2:13" ht="17.649999999999999" x14ac:dyDescent="0.5">
      <c r="B122" s="521" t="s">
        <v>719</v>
      </c>
      <c r="C122" s="521"/>
      <c r="D122" s="521"/>
      <c r="E122" s="521"/>
      <c r="F122" s="521"/>
      <c r="G122" s="521"/>
      <c r="H122" s="521"/>
      <c r="I122" s="521"/>
      <c r="J122" s="521"/>
      <c r="K122" s="521"/>
      <c r="L122" s="521"/>
      <c r="M122" s="521"/>
    </row>
    <row r="123" spans="2:13" x14ac:dyDescent="0.35">
      <c r="B123" s="509" t="s">
        <v>664</v>
      </c>
    </row>
    <row r="125" spans="2:13" x14ac:dyDescent="0.35">
      <c r="B125" s="509" t="s">
        <v>665</v>
      </c>
      <c r="C125" s="514"/>
    </row>
    <row r="126" spans="2:13" x14ac:dyDescent="0.35">
      <c r="B126" s="509" t="s">
        <v>666</v>
      </c>
      <c r="C126" s="514"/>
    </row>
    <row r="127" spans="2:13" x14ac:dyDescent="0.35">
      <c r="B127" s="509" t="s">
        <v>667</v>
      </c>
      <c r="C127" s="514"/>
    </row>
    <row r="128" spans="2:13" x14ac:dyDescent="0.35">
      <c r="B128" s="509" t="s">
        <v>668</v>
      </c>
      <c r="C128" s="514"/>
    </row>
    <row r="129" spans="2:10" x14ac:dyDescent="0.35">
      <c r="B129" s="509" t="s">
        <v>669</v>
      </c>
      <c r="C129" s="514"/>
    </row>
    <row r="130" spans="2:10" x14ac:dyDescent="0.35">
      <c r="B130" s="509"/>
    </row>
    <row r="131" spans="2:10" x14ac:dyDescent="0.35">
      <c r="B131" s="520" t="s">
        <v>670</v>
      </c>
      <c r="C131" s="519" t="s">
        <v>720</v>
      </c>
      <c r="D131" s="519" t="s">
        <v>671</v>
      </c>
      <c r="E131" s="519" t="s">
        <v>672</v>
      </c>
      <c r="F131" s="519" t="s">
        <v>673</v>
      </c>
      <c r="G131" s="519" t="s">
        <v>674</v>
      </c>
      <c r="H131" s="519" t="s">
        <v>675</v>
      </c>
      <c r="I131" s="519" t="s">
        <v>676</v>
      </c>
      <c r="J131" s="519" t="s">
        <v>677</v>
      </c>
    </row>
    <row r="132" spans="2:10" x14ac:dyDescent="0.35">
      <c r="B132" s="509" t="s">
        <v>678</v>
      </c>
      <c r="C132" s="518">
        <v>42736</v>
      </c>
      <c r="D132" s="516" t="s">
        <v>679</v>
      </c>
      <c r="E132" s="516" t="s">
        <v>680</v>
      </c>
      <c r="F132" s="516" t="s">
        <v>681</v>
      </c>
      <c r="G132" s="516" t="s">
        <v>682</v>
      </c>
      <c r="H132" s="516" t="s">
        <v>683</v>
      </c>
      <c r="I132" s="516" t="s">
        <v>684</v>
      </c>
      <c r="J132" s="516" t="s">
        <v>685</v>
      </c>
    </row>
    <row r="133" spans="2:10" x14ac:dyDescent="0.35">
      <c r="B133" s="509" t="s">
        <v>421</v>
      </c>
      <c r="C133" s="516" t="s">
        <v>686</v>
      </c>
      <c r="D133" s="516" t="s">
        <v>686</v>
      </c>
      <c r="E133" s="516" t="s">
        <v>686</v>
      </c>
      <c r="F133" s="516" t="s">
        <v>686</v>
      </c>
      <c r="G133" s="516" t="s">
        <v>686</v>
      </c>
      <c r="H133" s="516" t="s">
        <v>686</v>
      </c>
      <c r="I133" s="516" t="s">
        <v>686</v>
      </c>
      <c r="J133" s="516" t="s">
        <v>686</v>
      </c>
    </row>
    <row r="134" spans="2:10" x14ac:dyDescent="0.35">
      <c r="B134" s="509" t="s">
        <v>687</v>
      </c>
      <c r="C134" s="516" t="s">
        <v>688</v>
      </c>
      <c r="D134" s="516" t="s">
        <v>688</v>
      </c>
      <c r="E134" s="516" t="s">
        <v>688</v>
      </c>
      <c r="F134" s="516" t="s">
        <v>688</v>
      </c>
      <c r="G134" s="516" t="s">
        <v>423</v>
      </c>
      <c r="H134" s="516" t="s">
        <v>423</v>
      </c>
      <c r="I134" s="516" t="s">
        <v>423</v>
      </c>
      <c r="J134" s="516" t="s">
        <v>423</v>
      </c>
    </row>
    <row r="135" spans="2:10" ht="13.15" x14ac:dyDescent="0.35">
      <c r="B135" s="517" t="s">
        <v>721</v>
      </c>
      <c r="C135" s="509"/>
      <c r="D135" s="509"/>
      <c r="E135" s="509"/>
      <c r="F135" s="509"/>
      <c r="G135" s="509"/>
      <c r="H135" s="509"/>
      <c r="I135" s="509"/>
      <c r="J135" s="509"/>
    </row>
    <row r="136" spans="2:10" x14ac:dyDescent="0.35">
      <c r="B136" s="509" t="s">
        <v>285</v>
      </c>
      <c r="C136" s="515">
        <v>303680</v>
      </c>
      <c r="D136" s="515">
        <v>172106</v>
      </c>
      <c r="E136" s="515">
        <v>411495</v>
      </c>
      <c r="F136" s="515">
        <v>519149</v>
      </c>
      <c r="G136" s="515">
        <v>1210.2</v>
      </c>
      <c r="H136" s="515">
        <v>1692.7</v>
      </c>
      <c r="I136" s="515">
        <v>13875.1</v>
      </c>
      <c r="J136" s="515">
        <v>11663.7</v>
      </c>
    </row>
    <row r="137" spans="2:10" x14ac:dyDescent="0.35">
      <c r="B137" s="509" t="s">
        <v>451</v>
      </c>
      <c r="C137" s="515">
        <v>1528</v>
      </c>
      <c r="D137" s="516">
        <v>246</v>
      </c>
      <c r="E137" s="516">
        <v>336</v>
      </c>
      <c r="F137" s="515">
        <v>1680</v>
      </c>
      <c r="G137" s="516">
        <v>137.19999999999999</v>
      </c>
      <c r="H137" s="516">
        <v>381.6</v>
      </c>
      <c r="I137" s="516">
        <v>189.4</v>
      </c>
      <c r="J137" s="515">
        <v>4885.3</v>
      </c>
    </row>
    <row r="138" spans="2:10" x14ac:dyDescent="0.35">
      <c r="B138" s="509" t="s">
        <v>283</v>
      </c>
      <c r="C138" s="515">
        <v>3161</v>
      </c>
      <c r="D138" s="515">
        <v>4575</v>
      </c>
      <c r="E138" s="515">
        <v>18938</v>
      </c>
      <c r="F138" s="515">
        <v>11913</v>
      </c>
      <c r="G138" s="516" t="s">
        <v>690</v>
      </c>
      <c r="H138" s="516" t="s">
        <v>690</v>
      </c>
      <c r="I138" s="516" t="s">
        <v>690</v>
      </c>
      <c r="J138" s="516" t="s">
        <v>690</v>
      </c>
    </row>
    <row r="139" spans="2:10" x14ac:dyDescent="0.35">
      <c r="B139" s="509" t="s">
        <v>461</v>
      </c>
      <c r="C139" s="516" t="s">
        <v>690</v>
      </c>
      <c r="D139" s="516" t="s">
        <v>690</v>
      </c>
      <c r="E139" s="516" t="s">
        <v>690</v>
      </c>
      <c r="F139" s="516" t="s">
        <v>690</v>
      </c>
      <c r="G139" s="516">
        <v>165.5</v>
      </c>
      <c r="H139" s="515">
        <v>12381.7</v>
      </c>
      <c r="I139" s="515">
        <v>7145.6</v>
      </c>
      <c r="J139" s="515">
        <v>2155.6999999999998</v>
      </c>
    </row>
    <row r="140" spans="2:10" x14ac:dyDescent="0.35">
      <c r="B140" s="509" t="s">
        <v>462</v>
      </c>
      <c r="C140" s="516">
        <v>637</v>
      </c>
      <c r="D140" s="516" t="s">
        <v>690</v>
      </c>
      <c r="E140" s="516" t="s">
        <v>690</v>
      </c>
      <c r="F140" s="516" t="s">
        <v>690</v>
      </c>
      <c r="G140" s="516" t="s">
        <v>690</v>
      </c>
      <c r="H140" s="516" t="s">
        <v>690</v>
      </c>
      <c r="I140" s="516" t="s">
        <v>690</v>
      </c>
      <c r="J140" s="516">
        <v>4.9000000000000004</v>
      </c>
    </row>
    <row r="141" spans="2:10" x14ac:dyDescent="0.35">
      <c r="B141" s="509" t="s">
        <v>463</v>
      </c>
      <c r="C141" s="516">
        <v>2</v>
      </c>
      <c r="D141" s="516">
        <v>687</v>
      </c>
      <c r="E141" s="516">
        <v>891</v>
      </c>
      <c r="F141" s="516">
        <v>756</v>
      </c>
      <c r="G141" s="516">
        <v>0.9</v>
      </c>
      <c r="H141" s="516">
        <v>0.4</v>
      </c>
      <c r="I141" s="516">
        <v>0.4</v>
      </c>
      <c r="J141" s="516">
        <v>179.1</v>
      </c>
    </row>
    <row r="142" spans="2:10" x14ac:dyDescent="0.35">
      <c r="B142" s="509" t="s">
        <v>136</v>
      </c>
      <c r="C142" s="515">
        <v>3266</v>
      </c>
      <c r="D142" s="515">
        <v>3876</v>
      </c>
      <c r="E142" s="515">
        <v>5789</v>
      </c>
      <c r="F142" s="515">
        <v>11722</v>
      </c>
      <c r="G142" s="516">
        <v>64.099999999999994</v>
      </c>
      <c r="H142" s="516">
        <v>502.5</v>
      </c>
      <c r="I142" s="516">
        <v>439.6</v>
      </c>
      <c r="J142" s="516">
        <v>357.7</v>
      </c>
    </row>
    <row r="143" spans="2:10" x14ac:dyDescent="0.35">
      <c r="B143" s="509" t="s">
        <v>464</v>
      </c>
      <c r="C143" s="515">
        <v>1153</v>
      </c>
      <c r="D143" s="515">
        <v>1872</v>
      </c>
      <c r="E143" s="515">
        <v>2348</v>
      </c>
      <c r="F143" s="515">
        <v>5862</v>
      </c>
      <c r="G143" s="516">
        <v>28</v>
      </c>
      <c r="H143" s="516" t="s">
        <v>690</v>
      </c>
      <c r="I143" s="516" t="s">
        <v>690</v>
      </c>
      <c r="J143" s="516" t="s">
        <v>690</v>
      </c>
    </row>
    <row r="144" spans="2:10" x14ac:dyDescent="0.35">
      <c r="B144" s="509" t="s">
        <v>456</v>
      </c>
      <c r="C144" s="515">
        <v>4699</v>
      </c>
      <c r="D144" s="515">
        <v>6227</v>
      </c>
      <c r="E144" s="515">
        <v>9164</v>
      </c>
      <c r="F144" s="515">
        <v>9069</v>
      </c>
      <c r="G144" s="516">
        <v>61</v>
      </c>
      <c r="H144" s="516" t="s">
        <v>690</v>
      </c>
      <c r="I144" s="516" t="s">
        <v>690</v>
      </c>
      <c r="J144" s="516" t="s">
        <v>690</v>
      </c>
    </row>
    <row r="145" spans="2:10" x14ac:dyDescent="0.35">
      <c r="B145" s="509" t="s">
        <v>457</v>
      </c>
      <c r="C145" s="516" t="s">
        <v>690</v>
      </c>
      <c r="D145" s="516" t="s">
        <v>690</v>
      </c>
      <c r="E145" s="516" t="s">
        <v>690</v>
      </c>
      <c r="F145" s="516" t="s">
        <v>690</v>
      </c>
      <c r="G145" s="516" t="s">
        <v>690</v>
      </c>
      <c r="H145" s="516">
        <v>113.4</v>
      </c>
      <c r="I145" s="516" t="s">
        <v>690</v>
      </c>
      <c r="J145" s="516" t="s">
        <v>690</v>
      </c>
    </row>
    <row r="146" spans="2:10" x14ac:dyDescent="0.35">
      <c r="B146" s="509" t="s">
        <v>458</v>
      </c>
      <c r="C146" s="516" t="s">
        <v>690</v>
      </c>
      <c r="D146" s="516" t="s">
        <v>690</v>
      </c>
      <c r="E146" s="516" t="s">
        <v>690</v>
      </c>
      <c r="F146" s="516" t="s">
        <v>690</v>
      </c>
      <c r="G146" s="516" t="s">
        <v>690</v>
      </c>
      <c r="H146" s="516" t="s">
        <v>690</v>
      </c>
      <c r="I146" s="516">
        <v>271.89999999999998</v>
      </c>
      <c r="J146" s="516">
        <v>280.89999999999998</v>
      </c>
    </row>
    <row r="147" spans="2:10" x14ac:dyDescent="0.35">
      <c r="B147" s="509" t="s">
        <v>465</v>
      </c>
      <c r="C147" s="516">
        <v>-1</v>
      </c>
      <c r="D147" s="516">
        <v>48</v>
      </c>
      <c r="E147" s="516" t="s">
        <v>690</v>
      </c>
      <c r="F147" s="516" t="s">
        <v>690</v>
      </c>
      <c r="G147" s="516" t="s">
        <v>690</v>
      </c>
      <c r="H147" s="516" t="s">
        <v>690</v>
      </c>
      <c r="I147" s="516" t="s">
        <v>690</v>
      </c>
      <c r="J147" s="516" t="s">
        <v>690</v>
      </c>
    </row>
    <row r="148" spans="2:10" x14ac:dyDescent="0.35">
      <c r="B148" s="509" t="s">
        <v>286</v>
      </c>
      <c r="C148" s="515">
        <v>318125</v>
      </c>
      <c r="D148" s="515">
        <v>189637</v>
      </c>
      <c r="E148" s="515">
        <v>448961</v>
      </c>
      <c r="F148" s="515">
        <v>560151</v>
      </c>
      <c r="G148" s="515">
        <v>1666.9</v>
      </c>
      <c r="H148" s="515">
        <v>15072.3</v>
      </c>
      <c r="I148" s="515">
        <v>21922</v>
      </c>
      <c r="J148" s="515">
        <v>19527.3</v>
      </c>
    </row>
    <row r="149" spans="2:10" ht="13.15" x14ac:dyDescent="0.35">
      <c r="B149" s="517" t="s">
        <v>722</v>
      </c>
      <c r="C149" s="509"/>
      <c r="D149" s="509"/>
      <c r="E149" s="509"/>
      <c r="F149" s="509"/>
      <c r="G149" s="509"/>
      <c r="H149" s="509"/>
      <c r="I149" s="509"/>
      <c r="J149" s="509"/>
    </row>
    <row r="150" spans="2:10" x14ac:dyDescent="0.35">
      <c r="B150" s="509" t="s">
        <v>449</v>
      </c>
      <c r="C150" s="516" t="s">
        <v>690</v>
      </c>
      <c r="D150" s="516" t="s">
        <v>690</v>
      </c>
      <c r="E150" s="515">
        <v>49766</v>
      </c>
      <c r="F150" s="515">
        <v>55018</v>
      </c>
      <c r="G150" s="516">
        <v>99</v>
      </c>
      <c r="H150" s="516">
        <v>197.9</v>
      </c>
      <c r="I150" s="516">
        <v>211.9</v>
      </c>
      <c r="J150" s="516">
        <v>214.4</v>
      </c>
    </row>
    <row r="151" spans="2:10" x14ac:dyDescent="0.35">
      <c r="B151" s="509" t="s">
        <v>450</v>
      </c>
      <c r="C151" s="515">
        <v>60506</v>
      </c>
      <c r="D151" s="515">
        <v>101521</v>
      </c>
      <c r="E151" s="515">
        <v>66200</v>
      </c>
      <c r="F151" s="515">
        <v>93044</v>
      </c>
      <c r="G151" s="516">
        <v>227</v>
      </c>
      <c r="H151" s="516">
        <v>322.5</v>
      </c>
      <c r="I151" s="516">
        <v>609.20000000000005</v>
      </c>
      <c r="J151" s="516">
        <v>757.2</v>
      </c>
    </row>
    <row r="152" spans="2:10" x14ac:dyDescent="0.35">
      <c r="B152" s="509" t="s">
        <v>451</v>
      </c>
      <c r="C152" s="516">
        <v>66</v>
      </c>
      <c r="D152" s="516">
        <v>19</v>
      </c>
      <c r="E152" s="516">
        <v>18</v>
      </c>
      <c r="F152" s="516" t="s">
        <v>690</v>
      </c>
      <c r="G152" s="516" t="s">
        <v>690</v>
      </c>
      <c r="H152" s="516">
        <v>21.3</v>
      </c>
      <c r="I152" s="516">
        <v>80.2</v>
      </c>
      <c r="J152" s="515">
        <v>1176.0999999999999</v>
      </c>
    </row>
    <row r="153" spans="2:10" x14ac:dyDescent="0.35">
      <c r="B153" s="509" t="s">
        <v>452</v>
      </c>
      <c r="C153" s="516" t="s">
        <v>690</v>
      </c>
      <c r="D153" s="516" t="s">
        <v>690</v>
      </c>
      <c r="E153" s="516" t="s">
        <v>690</v>
      </c>
      <c r="F153" s="516" t="s">
        <v>690</v>
      </c>
      <c r="G153" s="516">
        <v>161.19999999999999</v>
      </c>
      <c r="H153" s="516" t="s">
        <v>690</v>
      </c>
      <c r="I153" s="516">
        <v>229.6</v>
      </c>
      <c r="J153" s="516">
        <v>81.3</v>
      </c>
    </row>
    <row r="154" spans="2:10" x14ac:dyDescent="0.35">
      <c r="B154" s="509" t="s">
        <v>453</v>
      </c>
      <c r="C154" s="516" t="s">
        <v>690</v>
      </c>
      <c r="D154" s="516" t="s">
        <v>690</v>
      </c>
      <c r="E154" s="516" t="s">
        <v>690</v>
      </c>
      <c r="F154" s="516" t="s">
        <v>690</v>
      </c>
      <c r="G154" s="516" t="s">
        <v>690</v>
      </c>
      <c r="H154" s="516" t="s">
        <v>690</v>
      </c>
      <c r="I154" s="516">
        <v>61.2</v>
      </c>
      <c r="J154" s="516">
        <v>362.5</v>
      </c>
    </row>
    <row r="155" spans="2:10" x14ac:dyDescent="0.35">
      <c r="B155" s="509" t="s">
        <v>454</v>
      </c>
      <c r="C155" s="515">
        <v>11184</v>
      </c>
      <c r="D155" s="515">
        <v>83537</v>
      </c>
      <c r="E155" s="515">
        <v>88042</v>
      </c>
      <c r="F155" s="515">
        <v>89434</v>
      </c>
      <c r="G155" s="516">
        <v>163.5</v>
      </c>
      <c r="H155" s="516">
        <v>202.4</v>
      </c>
      <c r="I155" s="516" t="s">
        <v>690</v>
      </c>
      <c r="J155" s="516" t="s">
        <v>690</v>
      </c>
    </row>
    <row r="156" spans="2:10" x14ac:dyDescent="0.35">
      <c r="B156" s="509" t="s">
        <v>455</v>
      </c>
      <c r="C156" s="516" t="s">
        <v>690</v>
      </c>
      <c r="D156" s="516" t="s">
        <v>690</v>
      </c>
      <c r="E156" s="516" t="s">
        <v>690</v>
      </c>
      <c r="F156" s="516" t="s">
        <v>690</v>
      </c>
      <c r="G156" s="516" t="s">
        <v>690</v>
      </c>
      <c r="H156" s="516" t="s">
        <v>690</v>
      </c>
      <c r="I156" s="516">
        <v>158.5</v>
      </c>
      <c r="J156" s="516">
        <v>804.1</v>
      </c>
    </row>
    <row r="157" spans="2:10" x14ac:dyDescent="0.35">
      <c r="B157" s="509" t="s">
        <v>456</v>
      </c>
      <c r="C157" s="516">
        <v>78</v>
      </c>
      <c r="D157" s="516" t="s">
        <v>690</v>
      </c>
      <c r="E157" s="516" t="s">
        <v>690</v>
      </c>
      <c r="F157" s="516" t="s">
        <v>690</v>
      </c>
      <c r="G157" s="516">
        <v>1</v>
      </c>
      <c r="H157" s="516" t="s">
        <v>690</v>
      </c>
      <c r="I157" s="516" t="s">
        <v>690</v>
      </c>
      <c r="J157" s="516" t="s">
        <v>690</v>
      </c>
    </row>
    <row r="158" spans="2:10" x14ac:dyDescent="0.35">
      <c r="B158" s="509" t="s">
        <v>457</v>
      </c>
      <c r="C158" s="516" t="s">
        <v>690</v>
      </c>
      <c r="D158" s="516" t="s">
        <v>690</v>
      </c>
      <c r="E158" s="516" t="s">
        <v>690</v>
      </c>
      <c r="F158" s="516" t="s">
        <v>690</v>
      </c>
      <c r="G158" s="516" t="s">
        <v>690</v>
      </c>
      <c r="H158" s="516">
        <v>14.4</v>
      </c>
      <c r="I158" s="516" t="s">
        <v>690</v>
      </c>
      <c r="J158" s="516" t="s">
        <v>690</v>
      </c>
    </row>
    <row r="159" spans="2:10" x14ac:dyDescent="0.35">
      <c r="B159" s="509" t="s">
        <v>458</v>
      </c>
      <c r="C159" s="516" t="s">
        <v>690</v>
      </c>
      <c r="D159" s="516" t="s">
        <v>690</v>
      </c>
      <c r="E159" s="516" t="s">
        <v>690</v>
      </c>
      <c r="F159" s="516" t="s">
        <v>690</v>
      </c>
      <c r="G159" s="516" t="s">
        <v>690</v>
      </c>
      <c r="H159" s="516" t="s">
        <v>690</v>
      </c>
      <c r="I159" s="516">
        <v>6.5</v>
      </c>
      <c r="J159" s="516">
        <v>83.4</v>
      </c>
    </row>
    <row r="160" spans="2:10" x14ac:dyDescent="0.35">
      <c r="B160" s="509" t="s">
        <v>459</v>
      </c>
      <c r="C160" s="516" t="s">
        <v>690</v>
      </c>
      <c r="D160" s="516">
        <v>-1</v>
      </c>
      <c r="E160" s="516">
        <v>-1</v>
      </c>
      <c r="F160" s="516" t="s">
        <v>690</v>
      </c>
      <c r="G160" s="516" t="s">
        <v>690</v>
      </c>
      <c r="H160" s="516" t="s">
        <v>690</v>
      </c>
      <c r="I160" s="516" t="s">
        <v>690</v>
      </c>
      <c r="J160" s="516" t="s">
        <v>690</v>
      </c>
    </row>
    <row r="161" spans="2:10" x14ac:dyDescent="0.35">
      <c r="B161" s="509" t="s">
        <v>287</v>
      </c>
      <c r="C161" s="515">
        <v>389959</v>
      </c>
      <c r="D161" s="515">
        <v>374713</v>
      </c>
      <c r="E161" s="515">
        <v>652986</v>
      </c>
      <c r="F161" s="515">
        <v>797647</v>
      </c>
      <c r="G161" s="515">
        <v>2318.6</v>
      </c>
      <c r="H161" s="515">
        <v>15830.8</v>
      </c>
      <c r="I161" s="515">
        <v>23279.1</v>
      </c>
      <c r="J161" s="515">
        <v>23006.3</v>
      </c>
    </row>
    <row r="162" spans="2:10" ht="13.15" x14ac:dyDescent="0.35">
      <c r="B162" s="517" t="s">
        <v>299</v>
      </c>
      <c r="C162" s="509"/>
      <c r="D162" s="509"/>
      <c r="E162" s="509"/>
      <c r="F162" s="509"/>
      <c r="G162" s="509"/>
      <c r="H162" s="509"/>
      <c r="I162" s="509"/>
      <c r="J162" s="509"/>
    </row>
    <row r="163" spans="2:10" x14ac:dyDescent="0.35">
      <c r="B163" s="509" t="s">
        <v>296</v>
      </c>
      <c r="C163" s="515">
        <v>6218</v>
      </c>
      <c r="D163" s="515">
        <v>52538</v>
      </c>
      <c r="E163" s="515">
        <v>41721</v>
      </c>
      <c r="F163" s="515">
        <v>20498</v>
      </c>
      <c r="G163" s="516">
        <v>102.3</v>
      </c>
      <c r="H163" s="516">
        <v>160</v>
      </c>
      <c r="I163" s="516" t="s">
        <v>690</v>
      </c>
      <c r="J163" s="516" t="s">
        <v>690</v>
      </c>
    </row>
    <row r="164" spans="2:10" x14ac:dyDescent="0.35">
      <c r="B164" s="509" t="s">
        <v>487</v>
      </c>
      <c r="C164" s="516" t="s">
        <v>690</v>
      </c>
      <c r="D164" s="516" t="s">
        <v>690</v>
      </c>
      <c r="E164" s="516" t="s">
        <v>690</v>
      </c>
      <c r="F164" s="516" t="s">
        <v>690</v>
      </c>
      <c r="G164" s="516" t="s">
        <v>690</v>
      </c>
      <c r="H164" s="516" t="s">
        <v>690</v>
      </c>
      <c r="I164" s="516">
        <v>204.1</v>
      </c>
      <c r="J164" s="516">
        <v>354</v>
      </c>
    </row>
    <row r="165" spans="2:10" x14ac:dyDescent="0.35">
      <c r="B165" s="509" t="s">
        <v>473</v>
      </c>
      <c r="C165" s="516" t="s">
        <v>690</v>
      </c>
      <c r="D165" s="516" t="s">
        <v>690</v>
      </c>
      <c r="E165" s="516" t="s">
        <v>690</v>
      </c>
      <c r="F165" s="515">
        <v>5307</v>
      </c>
      <c r="G165" s="516">
        <v>9.1</v>
      </c>
      <c r="H165" s="516" t="s">
        <v>690</v>
      </c>
      <c r="I165" s="516" t="s">
        <v>690</v>
      </c>
      <c r="J165" s="516" t="s">
        <v>690</v>
      </c>
    </row>
    <row r="166" spans="2:10" x14ac:dyDescent="0.35">
      <c r="B166" s="509" t="s">
        <v>474</v>
      </c>
      <c r="C166" s="516" t="s">
        <v>690</v>
      </c>
      <c r="D166" s="516" t="s">
        <v>690</v>
      </c>
      <c r="E166" s="516" t="s">
        <v>690</v>
      </c>
      <c r="F166" s="516" t="s">
        <v>690</v>
      </c>
      <c r="G166" s="516" t="s">
        <v>690</v>
      </c>
      <c r="H166" s="516">
        <v>129.9</v>
      </c>
      <c r="I166" s="516">
        <v>36</v>
      </c>
      <c r="J166" s="516">
        <v>28.1</v>
      </c>
    </row>
    <row r="167" spans="2:10" x14ac:dyDescent="0.35">
      <c r="B167" s="509" t="s">
        <v>480</v>
      </c>
      <c r="C167" s="516" t="s">
        <v>690</v>
      </c>
      <c r="D167" s="516" t="s">
        <v>690</v>
      </c>
      <c r="E167" s="516">
        <v>297</v>
      </c>
      <c r="F167" s="516">
        <v>150</v>
      </c>
      <c r="G167" s="516" t="s">
        <v>690</v>
      </c>
      <c r="H167" s="515">
        <v>1568.9</v>
      </c>
      <c r="I167" s="516">
        <v>595.9</v>
      </c>
      <c r="J167" s="516">
        <v>525.5</v>
      </c>
    </row>
    <row r="168" spans="2:10" x14ac:dyDescent="0.35">
      <c r="B168" s="509" t="s">
        <v>488</v>
      </c>
      <c r="C168" s="516" t="s">
        <v>690</v>
      </c>
      <c r="D168" s="516" t="s">
        <v>690</v>
      </c>
      <c r="E168" s="516" t="s">
        <v>690</v>
      </c>
      <c r="F168" s="516" t="s">
        <v>690</v>
      </c>
      <c r="G168" s="516">
        <v>92</v>
      </c>
      <c r="H168" s="516" t="s">
        <v>690</v>
      </c>
      <c r="I168" s="516" t="s">
        <v>690</v>
      </c>
      <c r="J168" s="516" t="s">
        <v>690</v>
      </c>
    </row>
    <row r="169" spans="2:10" x14ac:dyDescent="0.35">
      <c r="B169" s="509" t="s">
        <v>475</v>
      </c>
      <c r="C169" s="515">
        <v>33466</v>
      </c>
      <c r="D169" s="515">
        <v>77346</v>
      </c>
      <c r="E169" s="515">
        <v>66027</v>
      </c>
      <c r="F169" s="515">
        <v>93583</v>
      </c>
      <c r="G169" s="516">
        <v>299.60000000000002</v>
      </c>
      <c r="H169" s="516">
        <v>186.1</v>
      </c>
      <c r="I169" s="516">
        <v>77.099999999999994</v>
      </c>
      <c r="J169" s="516">
        <v>353.3</v>
      </c>
    </row>
    <row r="170" spans="2:10" x14ac:dyDescent="0.35">
      <c r="B170" s="509" t="s">
        <v>478</v>
      </c>
      <c r="C170" s="515">
        <v>4067</v>
      </c>
      <c r="D170" s="515">
        <v>24771</v>
      </c>
      <c r="E170" s="515">
        <v>9100</v>
      </c>
      <c r="F170" s="515">
        <v>7490</v>
      </c>
      <c r="G170" s="516">
        <v>28</v>
      </c>
      <c r="H170" s="516" t="s">
        <v>690</v>
      </c>
      <c r="I170" s="516" t="s">
        <v>690</v>
      </c>
      <c r="J170" s="516" t="s">
        <v>690</v>
      </c>
    </row>
    <row r="171" spans="2:10" x14ac:dyDescent="0.35">
      <c r="B171" s="509" t="s">
        <v>489</v>
      </c>
      <c r="C171" s="516" t="s">
        <v>690</v>
      </c>
      <c r="D171" s="516" t="s">
        <v>690</v>
      </c>
      <c r="E171" s="516" t="s">
        <v>690</v>
      </c>
      <c r="F171" s="516">
        <v>762</v>
      </c>
      <c r="G171" s="516" t="s">
        <v>690</v>
      </c>
      <c r="H171" s="516" t="s">
        <v>690</v>
      </c>
      <c r="I171" s="516" t="s">
        <v>690</v>
      </c>
      <c r="J171" s="516" t="s">
        <v>690</v>
      </c>
    </row>
    <row r="172" spans="2:10" x14ac:dyDescent="0.35">
      <c r="B172" s="509" t="s">
        <v>479</v>
      </c>
      <c r="C172" s="516">
        <v>120</v>
      </c>
      <c r="D172" s="516">
        <v>118</v>
      </c>
      <c r="E172" s="516">
        <v>710</v>
      </c>
      <c r="F172" s="516" t="s">
        <v>690</v>
      </c>
      <c r="G172" s="516">
        <v>0.9</v>
      </c>
      <c r="H172" s="516">
        <v>110.2</v>
      </c>
      <c r="I172" s="516">
        <v>367.2</v>
      </c>
      <c r="J172" s="516">
        <v>269.3</v>
      </c>
    </row>
    <row r="173" spans="2:10" x14ac:dyDescent="0.35">
      <c r="B173" s="509" t="s">
        <v>481</v>
      </c>
      <c r="C173" s="516" t="s">
        <v>690</v>
      </c>
      <c r="D173" s="516" t="s">
        <v>690</v>
      </c>
      <c r="E173" s="516" t="s">
        <v>690</v>
      </c>
      <c r="F173" s="516" t="s">
        <v>690</v>
      </c>
      <c r="G173" s="516" t="s">
        <v>690</v>
      </c>
      <c r="H173" s="516">
        <v>46.1</v>
      </c>
      <c r="I173" s="516" t="s">
        <v>690</v>
      </c>
      <c r="J173" s="516" t="s">
        <v>690</v>
      </c>
    </row>
    <row r="174" spans="2:10" x14ac:dyDescent="0.35">
      <c r="B174" s="509" t="s">
        <v>482</v>
      </c>
      <c r="C174" s="515">
        <v>12765</v>
      </c>
      <c r="D174" s="515">
        <v>3771</v>
      </c>
      <c r="E174" s="515">
        <v>8266</v>
      </c>
      <c r="F174" s="515">
        <v>10352</v>
      </c>
      <c r="G174" s="516">
        <v>74.099999999999994</v>
      </c>
      <c r="H174" s="515">
        <v>1190.4000000000001</v>
      </c>
      <c r="I174" s="516">
        <v>785.1</v>
      </c>
      <c r="J174" s="516">
        <v>415.2</v>
      </c>
    </row>
    <row r="175" spans="2:10" x14ac:dyDescent="0.35">
      <c r="B175" s="509" t="s">
        <v>484</v>
      </c>
      <c r="C175" s="516" t="s">
        <v>690</v>
      </c>
      <c r="D175" s="516" t="s">
        <v>690</v>
      </c>
      <c r="E175" s="516" t="s">
        <v>690</v>
      </c>
      <c r="F175" s="516" t="s">
        <v>690</v>
      </c>
      <c r="G175" s="516" t="s">
        <v>690</v>
      </c>
      <c r="H175" s="516" t="s">
        <v>690</v>
      </c>
      <c r="I175" s="516">
        <v>860.8</v>
      </c>
      <c r="J175" s="516">
        <v>125.1</v>
      </c>
    </row>
    <row r="176" spans="2:10" x14ac:dyDescent="0.35">
      <c r="B176" s="509" t="s">
        <v>490</v>
      </c>
      <c r="C176" s="516" t="s">
        <v>690</v>
      </c>
      <c r="D176" s="516" t="s">
        <v>690</v>
      </c>
      <c r="E176" s="516" t="s">
        <v>690</v>
      </c>
      <c r="F176" s="516" t="s">
        <v>690</v>
      </c>
      <c r="G176" s="516" t="s">
        <v>690</v>
      </c>
      <c r="H176" s="516">
        <v>90</v>
      </c>
      <c r="I176" s="516">
        <v>24.4</v>
      </c>
      <c r="J176" s="516" t="s">
        <v>690</v>
      </c>
    </row>
    <row r="177" spans="2:10" x14ac:dyDescent="0.35">
      <c r="B177" s="509" t="s">
        <v>723</v>
      </c>
      <c r="C177" s="515">
        <v>56636</v>
      </c>
      <c r="D177" s="515">
        <v>158544</v>
      </c>
      <c r="E177" s="515">
        <v>126121</v>
      </c>
      <c r="F177" s="515">
        <v>138142</v>
      </c>
      <c r="G177" s="516">
        <v>606</v>
      </c>
      <c r="H177" s="515">
        <v>3481.6</v>
      </c>
      <c r="I177" s="515">
        <v>2950.6</v>
      </c>
      <c r="J177" s="515">
        <v>2070.5</v>
      </c>
    </row>
    <row r="178" spans="2:10" ht="13.15" x14ac:dyDescent="0.35">
      <c r="B178" s="517" t="s">
        <v>724</v>
      </c>
      <c r="C178" s="509"/>
      <c r="D178" s="509"/>
      <c r="E178" s="509"/>
      <c r="F178" s="509"/>
      <c r="G178" s="509"/>
      <c r="H178" s="509"/>
      <c r="I178" s="509"/>
      <c r="J178" s="509"/>
    </row>
    <row r="179" spans="2:10" x14ac:dyDescent="0.35">
      <c r="B179" s="509" t="s">
        <v>473</v>
      </c>
      <c r="C179" s="516" t="s">
        <v>690</v>
      </c>
      <c r="D179" s="516" t="s">
        <v>690</v>
      </c>
      <c r="E179" s="516" t="s">
        <v>690</v>
      </c>
      <c r="F179" s="515">
        <v>68904</v>
      </c>
      <c r="G179" s="516">
        <v>231</v>
      </c>
      <c r="H179" s="516" t="s">
        <v>690</v>
      </c>
      <c r="I179" s="516" t="s">
        <v>690</v>
      </c>
      <c r="J179" s="516" t="s">
        <v>690</v>
      </c>
    </row>
    <row r="180" spans="2:10" x14ac:dyDescent="0.35">
      <c r="B180" s="509" t="s">
        <v>474</v>
      </c>
      <c r="C180" s="516" t="s">
        <v>690</v>
      </c>
      <c r="D180" s="516" t="s">
        <v>690</v>
      </c>
      <c r="E180" s="516" t="s">
        <v>690</v>
      </c>
      <c r="F180" s="516" t="s">
        <v>690</v>
      </c>
      <c r="G180" s="516" t="s">
        <v>690</v>
      </c>
      <c r="H180" s="516">
        <v>171.6</v>
      </c>
      <c r="I180" s="516">
        <v>176.2</v>
      </c>
      <c r="J180" s="516">
        <v>191</v>
      </c>
    </row>
    <row r="181" spans="2:10" x14ac:dyDescent="0.35">
      <c r="B181" s="509" t="s">
        <v>475</v>
      </c>
      <c r="C181" s="515">
        <v>273414</v>
      </c>
      <c r="D181" s="515">
        <v>214026</v>
      </c>
      <c r="E181" s="515">
        <v>205647</v>
      </c>
      <c r="F181" s="515">
        <v>97109</v>
      </c>
      <c r="G181" s="516">
        <v>71.900000000000006</v>
      </c>
      <c r="H181" s="516">
        <v>9</v>
      </c>
      <c r="I181" s="516">
        <v>48.4</v>
      </c>
      <c r="J181" s="516">
        <v>398.5</v>
      </c>
    </row>
    <row r="182" spans="2:10" x14ac:dyDescent="0.35">
      <c r="B182" s="509" t="s">
        <v>476</v>
      </c>
      <c r="C182" s="516" t="s">
        <v>690</v>
      </c>
      <c r="D182" s="516" t="s">
        <v>690</v>
      </c>
      <c r="E182" s="516" t="s">
        <v>690</v>
      </c>
      <c r="F182" s="516" t="s">
        <v>690</v>
      </c>
      <c r="G182" s="516">
        <v>0.2</v>
      </c>
      <c r="H182" s="516">
        <v>66.7</v>
      </c>
      <c r="I182" s="516">
        <v>6.2</v>
      </c>
      <c r="J182" s="516">
        <v>39.700000000000003</v>
      </c>
    </row>
    <row r="183" spans="2:10" x14ac:dyDescent="0.35">
      <c r="B183" s="509" t="s">
        <v>477</v>
      </c>
      <c r="C183" s="515">
        <v>1387</v>
      </c>
      <c r="D183" s="515">
        <v>1090</v>
      </c>
      <c r="E183" s="516">
        <v>847</v>
      </c>
      <c r="F183" s="516" t="s">
        <v>690</v>
      </c>
      <c r="G183" s="516" t="s">
        <v>690</v>
      </c>
      <c r="H183" s="516" t="s">
        <v>690</v>
      </c>
      <c r="I183" s="516" t="s">
        <v>690</v>
      </c>
      <c r="J183" s="516" t="s">
        <v>690</v>
      </c>
    </row>
    <row r="184" spans="2:10" x14ac:dyDescent="0.35">
      <c r="B184" s="509" t="s">
        <v>478</v>
      </c>
      <c r="C184" s="515">
        <v>1383</v>
      </c>
      <c r="D184" s="516" t="s">
        <v>690</v>
      </c>
      <c r="E184" s="516" t="s">
        <v>690</v>
      </c>
      <c r="F184" s="516" t="s">
        <v>690</v>
      </c>
      <c r="G184" s="516">
        <v>0.7</v>
      </c>
      <c r="H184" s="516" t="s">
        <v>690</v>
      </c>
      <c r="I184" s="516" t="s">
        <v>690</v>
      </c>
      <c r="J184" s="516" t="s">
        <v>690</v>
      </c>
    </row>
    <row r="185" spans="2:10" x14ac:dyDescent="0.35">
      <c r="B185" s="509" t="s">
        <v>479</v>
      </c>
      <c r="C185" s="516" t="s">
        <v>690</v>
      </c>
      <c r="D185" s="516" t="s">
        <v>690</v>
      </c>
      <c r="E185" s="516" t="s">
        <v>690</v>
      </c>
      <c r="F185" s="516" t="s">
        <v>690</v>
      </c>
      <c r="G185" s="516">
        <v>5.5</v>
      </c>
      <c r="H185" s="516">
        <v>184.9</v>
      </c>
      <c r="I185" s="516">
        <v>8.6</v>
      </c>
      <c r="J185" s="516">
        <v>8.8000000000000007</v>
      </c>
    </row>
    <row r="186" spans="2:10" x14ac:dyDescent="0.35">
      <c r="B186" s="509" t="s">
        <v>480</v>
      </c>
      <c r="C186" s="516" t="s">
        <v>690</v>
      </c>
      <c r="D186" s="516" t="s">
        <v>690</v>
      </c>
      <c r="E186" s="516" t="s">
        <v>690</v>
      </c>
      <c r="F186" s="516" t="s">
        <v>690</v>
      </c>
      <c r="G186" s="516" t="s">
        <v>690</v>
      </c>
      <c r="H186" s="516">
        <v>4.4000000000000004</v>
      </c>
      <c r="I186" s="516">
        <v>10.4</v>
      </c>
      <c r="J186" s="516" t="s">
        <v>690</v>
      </c>
    </row>
    <row r="187" spans="2:10" x14ac:dyDescent="0.35">
      <c r="B187" s="509" t="s">
        <v>481</v>
      </c>
      <c r="C187" s="516" t="s">
        <v>690</v>
      </c>
      <c r="D187" s="516" t="s">
        <v>690</v>
      </c>
      <c r="E187" s="516" t="s">
        <v>690</v>
      </c>
      <c r="F187" s="516" t="s">
        <v>690</v>
      </c>
      <c r="G187" s="516" t="s">
        <v>690</v>
      </c>
      <c r="H187" s="516">
        <v>12.8</v>
      </c>
      <c r="I187" s="516" t="s">
        <v>690</v>
      </c>
      <c r="J187" s="516" t="s">
        <v>690</v>
      </c>
    </row>
    <row r="188" spans="2:10" x14ac:dyDescent="0.35">
      <c r="B188" s="509" t="s">
        <v>482</v>
      </c>
      <c r="C188" s="516" t="s">
        <v>690</v>
      </c>
      <c r="D188" s="516" t="s">
        <v>690</v>
      </c>
      <c r="E188" s="516" t="s">
        <v>690</v>
      </c>
      <c r="F188" s="516" t="s">
        <v>690</v>
      </c>
      <c r="G188" s="516">
        <v>31.5</v>
      </c>
      <c r="H188" s="516">
        <v>6.1</v>
      </c>
      <c r="I188" s="516">
        <v>6.1</v>
      </c>
      <c r="J188" s="516">
        <v>38.799999999999997</v>
      </c>
    </row>
    <row r="189" spans="2:10" x14ac:dyDescent="0.35">
      <c r="B189" s="509" t="s">
        <v>483</v>
      </c>
      <c r="C189" s="515">
        <v>26669</v>
      </c>
      <c r="D189" s="515">
        <v>50349</v>
      </c>
      <c r="E189" s="515">
        <v>54218</v>
      </c>
      <c r="F189" s="516" t="s">
        <v>690</v>
      </c>
      <c r="G189" s="516" t="s">
        <v>690</v>
      </c>
      <c r="H189" s="516" t="s">
        <v>690</v>
      </c>
      <c r="I189" s="516" t="s">
        <v>690</v>
      </c>
      <c r="J189" s="516" t="s">
        <v>690</v>
      </c>
    </row>
    <row r="190" spans="2:10" x14ac:dyDescent="0.35">
      <c r="B190" s="509" t="s">
        <v>484</v>
      </c>
      <c r="C190" s="516" t="s">
        <v>690</v>
      </c>
      <c r="D190" s="516" t="s">
        <v>690</v>
      </c>
      <c r="E190" s="516" t="s">
        <v>690</v>
      </c>
      <c r="F190" s="516" t="s">
        <v>690</v>
      </c>
      <c r="G190" s="516" t="s">
        <v>690</v>
      </c>
      <c r="H190" s="516" t="s">
        <v>690</v>
      </c>
      <c r="I190" s="516">
        <v>17</v>
      </c>
      <c r="J190" s="516">
        <v>13.1</v>
      </c>
    </row>
    <row r="191" spans="2:10" x14ac:dyDescent="0.35">
      <c r="B191" s="509" t="s">
        <v>485</v>
      </c>
      <c r="C191" s="516">
        <v>-1</v>
      </c>
      <c r="D191" s="516" t="s">
        <v>690</v>
      </c>
      <c r="E191" s="516" t="s">
        <v>690</v>
      </c>
      <c r="F191" s="516" t="s">
        <v>690</v>
      </c>
      <c r="G191" s="516" t="s">
        <v>690</v>
      </c>
      <c r="H191" s="516" t="s">
        <v>690</v>
      </c>
      <c r="I191" s="516" t="s">
        <v>690</v>
      </c>
      <c r="J191" s="516" t="s">
        <v>690</v>
      </c>
    </row>
    <row r="192" spans="2:10" ht="13.15" x14ac:dyDescent="0.35">
      <c r="B192" s="517" t="s">
        <v>725</v>
      </c>
      <c r="C192" s="509"/>
      <c r="D192" s="509"/>
      <c r="E192" s="509"/>
      <c r="F192" s="509"/>
      <c r="G192" s="509"/>
      <c r="H192" s="509"/>
      <c r="I192" s="509"/>
      <c r="J192" s="509"/>
    </row>
    <row r="193" spans="2:13" x14ac:dyDescent="0.35">
      <c r="B193" s="509" t="s">
        <v>468</v>
      </c>
      <c r="C193" s="515">
        <v>3270</v>
      </c>
      <c r="D193" s="515">
        <v>166764</v>
      </c>
      <c r="E193" s="515">
        <v>193296</v>
      </c>
      <c r="F193" s="515">
        <v>232304</v>
      </c>
      <c r="G193" s="516">
        <v>246.3</v>
      </c>
      <c r="H193" s="516">
        <v>246.3</v>
      </c>
      <c r="I193" s="516">
        <v>248.6</v>
      </c>
      <c r="J193" s="516">
        <v>248.6</v>
      </c>
    </row>
    <row r="194" spans="2:13" x14ac:dyDescent="0.35">
      <c r="B194" s="509" t="s">
        <v>469</v>
      </c>
      <c r="C194" s="516" t="s">
        <v>690</v>
      </c>
      <c r="D194" s="516" t="s">
        <v>690</v>
      </c>
      <c r="E194" s="516" t="s">
        <v>690</v>
      </c>
      <c r="F194" s="515">
        <v>-5525</v>
      </c>
      <c r="G194" s="516">
        <v>-4.8</v>
      </c>
      <c r="H194" s="516">
        <v>-3.8</v>
      </c>
      <c r="I194" s="516">
        <v>-5.3</v>
      </c>
      <c r="J194" s="516">
        <v>-10.8</v>
      </c>
    </row>
    <row r="195" spans="2:13" x14ac:dyDescent="0.35">
      <c r="B195" s="509" t="s">
        <v>470</v>
      </c>
      <c r="C195" s="515">
        <v>-112100</v>
      </c>
      <c r="D195" s="515">
        <v>-197753</v>
      </c>
      <c r="E195" s="515">
        <v>-245771</v>
      </c>
      <c r="F195" s="515">
        <v>-424827</v>
      </c>
      <c r="G195" s="516">
        <v>-409.6</v>
      </c>
      <c r="H195" s="515">
        <v>9882.9</v>
      </c>
      <c r="I195" s="515">
        <v>18833</v>
      </c>
      <c r="J195" s="515">
        <v>19763.3</v>
      </c>
    </row>
    <row r="196" spans="2:13" x14ac:dyDescent="0.35">
      <c r="B196" s="509" t="s">
        <v>471</v>
      </c>
      <c r="C196" s="515">
        <v>172416</v>
      </c>
      <c r="D196" s="515">
        <v>8922</v>
      </c>
      <c r="E196" s="515">
        <v>344115</v>
      </c>
      <c r="F196" s="515">
        <v>686714</v>
      </c>
      <c r="G196" s="515">
        <v>1514.5</v>
      </c>
      <c r="H196" s="515">
        <v>1674.4</v>
      </c>
      <c r="I196" s="515">
        <v>1828.2</v>
      </c>
      <c r="J196" s="515">
        <v>1229.4000000000001</v>
      </c>
    </row>
    <row r="197" spans="2:13" x14ac:dyDescent="0.35">
      <c r="B197" s="509" t="s">
        <v>472</v>
      </c>
      <c r="C197" s="515">
        <v>-33115</v>
      </c>
      <c r="D197" s="515">
        <v>-27229</v>
      </c>
      <c r="E197" s="515">
        <v>-25487</v>
      </c>
      <c r="F197" s="515">
        <v>4826</v>
      </c>
      <c r="G197" s="516">
        <v>25.4</v>
      </c>
      <c r="H197" s="516">
        <v>93.9</v>
      </c>
      <c r="I197" s="516">
        <v>-848.9</v>
      </c>
      <c r="J197" s="516">
        <v>-984.6</v>
      </c>
    </row>
    <row r="198" spans="2:13" x14ac:dyDescent="0.35">
      <c r="B198" s="509" t="s">
        <v>726</v>
      </c>
      <c r="C198" s="515">
        <v>30471</v>
      </c>
      <c r="D198" s="515">
        <v>-49296</v>
      </c>
      <c r="E198" s="515">
        <v>266153</v>
      </c>
      <c r="F198" s="515">
        <v>493492</v>
      </c>
      <c r="G198" s="515">
        <v>1371.8</v>
      </c>
      <c r="H198" s="515">
        <v>11893.7</v>
      </c>
      <c r="I198" s="515">
        <v>20055.599999999999</v>
      </c>
      <c r="J198" s="515">
        <v>20245.900000000001</v>
      </c>
    </row>
    <row r="199" spans="2:13" x14ac:dyDescent="0.35">
      <c r="B199" s="509" t="s">
        <v>727</v>
      </c>
      <c r="C199" s="515">
        <v>389959</v>
      </c>
      <c r="D199" s="515">
        <v>374713</v>
      </c>
      <c r="E199" s="515">
        <v>652986</v>
      </c>
      <c r="F199" s="515">
        <v>797647</v>
      </c>
      <c r="G199" s="515">
        <v>2318.6</v>
      </c>
      <c r="H199" s="515">
        <v>15830.8</v>
      </c>
      <c r="I199" s="515">
        <v>23279.1</v>
      </c>
      <c r="J199" s="515">
        <v>23006.3</v>
      </c>
    </row>
    <row r="201" spans="2:13" x14ac:dyDescent="0.35">
      <c r="B201" s="509"/>
    </row>
    <row r="202" spans="2:13" ht="127.5" customHeight="1" x14ac:dyDescent="0.35">
      <c r="B202" s="514"/>
    </row>
    <row r="203" spans="2:13" ht="63.75" customHeight="1" x14ac:dyDescent="0.35">
      <c r="B203" s="514" t="s">
        <v>706</v>
      </c>
      <c r="C203" s="514"/>
      <c r="D203" s="514"/>
      <c r="E203" s="514"/>
      <c r="F203" s="514"/>
      <c r="G203" s="514"/>
    </row>
    <row r="204" spans="2:13" x14ac:dyDescent="0.35">
      <c r="B204" s="513"/>
      <c r="C204" s="513"/>
      <c r="D204" s="513"/>
      <c r="E204" s="513"/>
      <c r="F204" s="512"/>
      <c r="G204" s="512"/>
      <c r="H204" s="512"/>
      <c r="I204" s="512"/>
      <c r="J204" s="512"/>
      <c r="K204" s="512"/>
      <c r="L204" s="512"/>
      <c r="M204" s="512"/>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F138B-3997-45A2-A0B1-46685E264AC9}">
  <dimension ref="A1:L267"/>
  <sheetViews>
    <sheetView workbookViewId="0"/>
  </sheetViews>
  <sheetFormatPr defaultColWidth="8.6640625" defaultRowHeight="12.75" x14ac:dyDescent="0.35"/>
  <cols>
    <col min="1" max="1" width="51.46484375" bestFit="1" customWidth="1"/>
    <col min="2" max="10" width="10.6640625" customWidth="1"/>
    <col min="11" max="11" width="12.6640625" bestFit="1" customWidth="1"/>
  </cols>
  <sheetData>
    <row r="1" spans="1:12" x14ac:dyDescent="0.35">
      <c r="A1" s="513"/>
      <c r="B1" s="513"/>
      <c r="C1" s="513"/>
      <c r="D1" s="513"/>
      <c r="E1" s="512"/>
      <c r="F1" s="512"/>
      <c r="G1" s="512"/>
      <c r="H1" s="512"/>
      <c r="I1" s="512"/>
      <c r="J1" s="512"/>
      <c r="K1" s="512"/>
      <c r="L1" s="512"/>
    </row>
    <row r="2" spans="1:12" ht="17.649999999999999" x14ac:dyDescent="0.5">
      <c r="A2" s="521" t="s">
        <v>728</v>
      </c>
      <c r="B2" s="521"/>
      <c r="C2" s="521"/>
      <c r="D2" s="521"/>
      <c r="E2" s="521"/>
      <c r="F2" s="521"/>
      <c r="G2" s="521"/>
      <c r="H2" s="521"/>
      <c r="I2" s="521"/>
      <c r="J2" s="521"/>
      <c r="K2" s="521"/>
      <c r="L2" s="521"/>
    </row>
    <row r="3" spans="1:12" x14ac:dyDescent="0.35">
      <c r="A3" s="510" t="s">
        <v>729</v>
      </c>
      <c r="B3" s="512"/>
      <c r="C3" s="512"/>
      <c r="D3" s="512"/>
      <c r="E3" s="512"/>
      <c r="F3" s="512"/>
      <c r="G3" s="512"/>
      <c r="H3" s="512"/>
      <c r="I3" s="512"/>
      <c r="J3" s="512"/>
      <c r="K3" s="512"/>
      <c r="L3" s="512"/>
    </row>
    <row r="4" spans="1:12" x14ac:dyDescent="0.35">
      <c r="A4" s="512"/>
      <c r="B4" s="512"/>
      <c r="C4" s="512"/>
      <c r="D4" s="512"/>
      <c r="E4" s="512"/>
      <c r="F4" s="512"/>
      <c r="G4" s="512"/>
      <c r="H4" s="512"/>
      <c r="I4" s="512"/>
      <c r="J4" s="512"/>
      <c r="K4" s="512"/>
      <c r="L4" s="512"/>
    </row>
    <row r="5" spans="1:12" x14ac:dyDescent="0.35">
      <c r="A5" s="510" t="s">
        <v>665</v>
      </c>
      <c r="B5" s="523"/>
      <c r="C5" s="512"/>
      <c r="D5" s="512"/>
      <c r="E5" s="512"/>
      <c r="F5" s="512"/>
      <c r="G5" s="512"/>
      <c r="H5" s="512"/>
      <c r="I5" s="512"/>
      <c r="J5" s="512"/>
      <c r="K5" s="512"/>
      <c r="L5" s="512"/>
    </row>
    <row r="6" spans="1:12" x14ac:dyDescent="0.35">
      <c r="A6" s="510" t="s">
        <v>666</v>
      </c>
      <c r="B6" s="523"/>
      <c r="C6" s="512"/>
      <c r="D6" s="512"/>
      <c r="E6" s="512"/>
      <c r="F6" s="512"/>
      <c r="G6" s="512"/>
      <c r="H6" s="512"/>
      <c r="I6" s="512"/>
      <c r="J6" s="512"/>
      <c r="K6" s="512"/>
      <c r="L6" s="512"/>
    </row>
    <row r="7" spans="1:12" x14ac:dyDescent="0.35">
      <c r="A7" s="510" t="s">
        <v>667</v>
      </c>
      <c r="B7" s="523"/>
      <c r="C7" s="512"/>
      <c r="D7" s="512"/>
      <c r="E7" s="512"/>
      <c r="F7" s="512"/>
      <c r="G7" s="512"/>
      <c r="H7" s="512"/>
      <c r="I7" s="512"/>
      <c r="J7" s="512"/>
      <c r="K7" s="512"/>
      <c r="L7" s="512"/>
    </row>
    <row r="8" spans="1:12" x14ac:dyDescent="0.35">
      <c r="A8" s="510" t="s">
        <v>730</v>
      </c>
      <c r="B8" s="523"/>
      <c r="C8" s="512"/>
      <c r="D8" s="512"/>
      <c r="E8" s="512"/>
      <c r="F8" s="512"/>
      <c r="G8" s="512"/>
      <c r="H8" s="512"/>
      <c r="I8" s="512"/>
      <c r="J8" s="512"/>
      <c r="K8" s="512"/>
      <c r="L8" s="512"/>
    </row>
    <row r="9" spans="1:12" x14ac:dyDescent="0.35">
      <c r="A9" s="510" t="s">
        <v>668</v>
      </c>
      <c r="B9" s="523"/>
      <c r="C9" s="512"/>
      <c r="D9" s="512"/>
      <c r="E9" s="512"/>
      <c r="F9" s="512"/>
      <c r="G9" s="512"/>
      <c r="H9" s="512"/>
      <c r="I9" s="512"/>
      <c r="J9" s="512"/>
      <c r="K9" s="512"/>
      <c r="L9" s="512"/>
    </row>
    <row r="10" spans="1:12" x14ac:dyDescent="0.35">
      <c r="A10" s="510" t="s">
        <v>731</v>
      </c>
      <c r="B10" s="523"/>
      <c r="C10" s="512"/>
      <c r="D10" s="512"/>
      <c r="E10" s="512"/>
      <c r="F10" s="512"/>
      <c r="G10" s="512"/>
      <c r="H10" s="512"/>
      <c r="I10" s="512"/>
      <c r="J10" s="512"/>
      <c r="K10" s="512"/>
      <c r="L10" s="512"/>
    </row>
    <row r="11" spans="1:12" x14ac:dyDescent="0.35">
      <c r="A11" s="510" t="s">
        <v>732</v>
      </c>
      <c r="B11" s="523"/>
      <c r="C11" s="512"/>
      <c r="D11" s="512"/>
      <c r="E11" s="512"/>
      <c r="F11" s="512"/>
      <c r="G11" s="512"/>
      <c r="H11" s="512"/>
      <c r="I11" s="512"/>
      <c r="J11" s="512"/>
      <c r="K11" s="512"/>
      <c r="L11" s="512"/>
    </row>
    <row r="12" spans="1:12" x14ac:dyDescent="0.35">
      <c r="A12" s="526"/>
      <c r="B12" s="526"/>
      <c r="C12" s="526"/>
      <c r="D12" s="526"/>
      <c r="E12" s="526"/>
      <c r="F12" s="526"/>
      <c r="G12" s="526"/>
      <c r="H12" s="526"/>
      <c r="I12" s="526"/>
      <c r="J12" s="526"/>
      <c r="K12" s="526"/>
      <c r="L12" s="512"/>
    </row>
    <row r="13" spans="1:12" x14ac:dyDescent="0.35">
      <c r="A13" s="520" t="s">
        <v>670</v>
      </c>
      <c r="B13" s="519" t="s">
        <v>733</v>
      </c>
      <c r="C13" s="519" t="s">
        <v>720</v>
      </c>
      <c r="D13" s="519" t="s">
        <v>671</v>
      </c>
      <c r="E13" s="519" t="s">
        <v>672</v>
      </c>
      <c r="F13" s="519" t="s">
        <v>673</v>
      </c>
      <c r="G13" s="519" t="s">
        <v>674</v>
      </c>
      <c r="H13" s="519" t="s">
        <v>675</v>
      </c>
      <c r="I13" s="519" t="s">
        <v>676</v>
      </c>
      <c r="J13" s="519" t="s">
        <v>677</v>
      </c>
      <c r="K13" s="519" t="s">
        <v>734</v>
      </c>
      <c r="L13" s="512"/>
    </row>
    <row r="14" spans="1:12" ht="25.5" x14ac:dyDescent="0.35">
      <c r="A14" s="510" t="s">
        <v>73</v>
      </c>
      <c r="B14" s="528" t="s">
        <v>735</v>
      </c>
      <c r="C14" s="528" t="s">
        <v>735</v>
      </c>
      <c r="D14" s="528" t="s">
        <v>735</v>
      </c>
      <c r="E14" s="528" t="s">
        <v>735</v>
      </c>
      <c r="F14" s="528" t="s">
        <v>735</v>
      </c>
      <c r="G14" s="528" t="s">
        <v>735</v>
      </c>
      <c r="H14" s="528" t="s">
        <v>735</v>
      </c>
      <c r="I14" s="528" t="s">
        <v>735</v>
      </c>
      <c r="J14" s="528" t="s">
        <v>735</v>
      </c>
      <c r="K14" s="528" t="s">
        <v>735</v>
      </c>
      <c r="L14" s="512"/>
    </row>
    <row r="15" spans="1:12" x14ac:dyDescent="0.35">
      <c r="A15" s="510" t="s">
        <v>678</v>
      </c>
      <c r="B15" s="528" t="s">
        <v>736</v>
      </c>
      <c r="C15" s="528" t="s">
        <v>737</v>
      </c>
      <c r="D15" s="528" t="s">
        <v>679</v>
      </c>
      <c r="E15" s="528" t="s">
        <v>680</v>
      </c>
      <c r="F15" s="528" t="s">
        <v>681</v>
      </c>
      <c r="G15" s="528" t="s">
        <v>682</v>
      </c>
      <c r="H15" s="528" t="s">
        <v>683</v>
      </c>
      <c r="I15" s="528" t="s">
        <v>684</v>
      </c>
      <c r="J15" s="528" t="s">
        <v>685</v>
      </c>
      <c r="K15" s="528" t="s">
        <v>738</v>
      </c>
      <c r="L15" s="512"/>
    </row>
    <row r="16" spans="1:12" x14ac:dyDescent="0.35">
      <c r="A16" s="510" t="s">
        <v>739</v>
      </c>
      <c r="B16" s="530">
        <v>43254</v>
      </c>
      <c r="C16" s="530">
        <v>43588</v>
      </c>
      <c r="D16" s="530">
        <v>43893</v>
      </c>
      <c r="E16" s="528" t="s">
        <v>740</v>
      </c>
      <c r="F16" s="528" t="s">
        <v>741</v>
      </c>
      <c r="G16" s="528" t="s">
        <v>742</v>
      </c>
      <c r="H16" s="528" t="s">
        <v>743</v>
      </c>
      <c r="I16" s="528" t="s">
        <v>744</v>
      </c>
      <c r="J16" s="528" t="s">
        <v>744</v>
      </c>
      <c r="K16" s="528" t="s">
        <v>744</v>
      </c>
      <c r="L16" s="512"/>
    </row>
    <row r="17" spans="1:12" x14ac:dyDescent="0.35">
      <c r="A17" s="510" t="s">
        <v>745</v>
      </c>
      <c r="B17" s="528">
        <v>0.92069999999999996</v>
      </c>
      <c r="C17" s="528">
        <v>0.94820000000000004</v>
      </c>
      <c r="D17" s="528">
        <v>0.83279999999999998</v>
      </c>
      <c r="E17" s="528">
        <v>0.87339999999999995</v>
      </c>
      <c r="F17" s="528">
        <v>0.8911</v>
      </c>
      <c r="G17" s="528">
        <v>0.8175</v>
      </c>
      <c r="H17" s="528">
        <v>0.87929999999999997</v>
      </c>
      <c r="I17" s="528">
        <v>0.93569999999999998</v>
      </c>
      <c r="J17" s="528">
        <v>0.90469999999999995</v>
      </c>
      <c r="K17" s="528">
        <v>0.96589999999999998</v>
      </c>
      <c r="L17" s="512"/>
    </row>
    <row r="18" spans="1:12" x14ac:dyDescent="0.35">
      <c r="A18" s="510" t="s">
        <v>746</v>
      </c>
      <c r="B18" s="528">
        <v>0.90156899999999995</v>
      </c>
      <c r="C18" s="528">
        <v>0.90425999999999995</v>
      </c>
      <c r="D18" s="528">
        <v>0.88688500000000003</v>
      </c>
      <c r="E18" s="528">
        <v>0.84757199999999999</v>
      </c>
      <c r="F18" s="528">
        <v>0.89333399999999996</v>
      </c>
      <c r="G18" s="528">
        <v>0.87713099999999999</v>
      </c>
      <c r="H18" s="528">
        <v>0.84595600000000004</v>
      </c>
      <c r="I18" s="528">
        <v>0.95131500000000002</v>
      </c>
      <c r="J18" s="528">
        <v>0.92486299999999999</v>
      </c>
      <c r="K18" s="528">
        <v>0.92458499999999999</v>
      </c>
      <c r="L18" s="512"/>
    </row>
    <row r="19" spans="1:12" x14ac:dyDescent="0.35">
      <c r="A19" s="510" t="s">
        <v>73</v>
      </c>
      <c r="B19" s="528"/>
      <c r="C19" s="528"/>
      <c r="D19" s="528"/>
      <c r="E19" s="528"/>
      <c r="F19" s="528"/>
      <c r="G19" s="528"/>
      <c r="H19" s="528"/>
      <c r="I19" s="528"/>
      <c r="J19" s="528"/>
      <c r="K19" s="528"/>
      <c r="L19" s="512"/>
    </row>
    <row r="20" spans="1:12" ht="13.15" x14ac:dyDescent="0.35">
      <c r="A20" s="531">
        <v>0</v>
      </c>
      <c r="B20" s="528"/>
      <c r="C20" s="528"/>
      <c r="D20" s="528"/>
      <c r="E20" s="528"/>
      <c r="F20" s="528"/>
      <c r="G20" s="528"/>
      <c r="H20" s="528"/>
      <c r="I20" s="528"/>
      <c r="J20" s="528"/>
      <c r="K20" s="528"/>
      <c r="L20" s="512"/>
    </row>
    <row r="21" spans="1:12" x14ac:dyDescent="0.35">
      <c r="A21" s="510" t="s">
        <v>96</v>
      </c>
      <c r="B21" s="527">
        <v>21314001</v>
      </c>
      <c r="C21" s="527">
        <v>19277922</v>
      </c>
      <c r="D21" s="527">
        <v>19923863</v>
      </c>
      <c r="E21" s="527">
        <v>18722875</v>
      </c>
      <c r="F21" s="527">
        <v>21783049</v>
      </c>
      <c r="G21" s="527">
        <v>23346583</v>
      </c>
      <c r="H21" s="527">
        <v>31653119</v>
      </c>
      <c r="I21" s="527">
        <v>42191755</v>
      </c>
      <c r="J21" s="527">
        <v>42368920</v>
      </c>
      <c r="K21" s="527">
        <v>49995091</v>
      </c>
      <c r="L21" s="512"/>
    </row>
    <row r="22" spans="1:12" x14ac:dyDescent="0.35">
      <c r="A22" s="510" t="s">
        <v>585</v>
      </c>
      <c r="B22" s="527">
        <v>961974</v>
      </c>
      <c r="C22" s="527">
        <v>1521870</v>
      </c>
      <c r="D22" s="528" t="s">
        <v>690</v>
      </c>
      <c r="E22" s="528" t="s">
        <v>690</v>
      </c>
      <c r="F22" s="528" t="s">
        <v>690</v>
      </c>
      <c r="G22" s="528" t="s">
        <v>690</v>
      </c>
      <c r="H22" s="528" t="s">
        <v>690</v>
      </c>
      <c r="I22" s="528" t="s">
        <v>690</v>
      </c>
      <c r="J22" s="528" t="s">
        <v>690</v>
      </c>
      <c r="K22" s="528" t="s">
        <v>690</v>
      </c>
      <c r="L22" s="512"/>
    </row>
    <row r="23" spans="1:12" x14ac:dyDescent="0.35">
      <c r="A23" s="510" t="s">
        <v>655</v>
      </c>
      <c r="B23" s="527">
        <v>22275975</v>
      </c>
      <c r="C23" s="527">
        <v>20799792</v>
      </c>
      <c r="D23" s="527">
        <v>19923863</v>
      </c>
      <c r="E23" s="527">
        <v>18722875</v>
      </c>
      <c r="F23" s="527">
        <v>21783049</v>
      </c>
      <c r="G23" s="527">
        <v>23346583</v>
      </c>
      <c r="H23" s="527">
        <v>31653119</v>
      </c>
      <c r="I23" s="527">
        <v>42191755</v>
      </c>
      <c r="J23" s="527">
        <v>42368920</v>
      </c>
      <c r="K23" s="527">
        <v>49995091</v>
      </c>
      <c r="L23" s="512"/>
    </row>
    <row r="24" spans="1:12" x14ac:dyDescent="0.35">
      <c r="A24" s="510" t="s">
        <v>656</v>
      </c>
      <c r="B24" s="527">
        <v>4046243</v>
      </c>
      <c r="C24" s="527">
        <v>3613424</v>
      </c>
      <c r="D24" s="527">
        <v>3669042</v>
      </c>
      <c r="E24" s="527">
        <v>3817466</v>
      </c>
      <c r="F24" s="527">
        <v>4330882</v>
      </c>
      <c r="G24" s="527">
        <v>4601427</v>
      </c>
      <c r="H24" s="527">
        <v>10155696</v>
      </c>
      <c r="I24" s="527">
        <v>8220310</v>
      </c>
      <c r="J24" s="527">
        <v>7435902</v>
      </c>
      <c r="K24" s="527">
        <v>8911151</v>
      </c>
      <c r="L24" s="512"/>
    </row>
    <row r="25" spans="1:12" x14ac:dyDescent="0.35">
      <c r="A25" s="510" t="s">
        <v>747</v>
      </c>
      <c r="B25" s="527">
        <v>18229732</v>
      </c>
      <c r="C25" s="527">
        <v>17186368</v>
      </c>
      <c r="D25" s="527">
        <v>16254821</v>
      </c>
      <c r="E25" s="527">
        <v>14905408</v>
      </c>
      <c r="F25" s="527">
        <v>17452167</v>
      </c>
      <c r="G25" s="527">
        <v>18745157</v>
      </c>
      <c r="H25" s="527">
        <v>21497423</v>
      </c>
      <c r="I25" s="527">
        <v>33971445</v>
      </c>
      <c r="J25" s="527">
        <v>34933018</v>
      </c>
      <c r="K25" s="527">
        <v>41083940</v>
      </c>
      <c r="L25" s="512"/>
    </row>
    <row r="26" spans="1:12" x14ac:dyDescent="0.35">
      <c r="A26" s="510" t="s">
        <v>73</v>
      </c>
      <c r="B26" s="528"/>
      <c r="C26" s="528"/>
      <c r="D26" s="528"/>
      <c r="E26" s="528"/>
      <c r="F26" s="528"/>
      <c r="G26" s="528"/>
      <c r="H26" s="528"/>
      <c r="I26" s="528"/>
      <c r="J26" s="528"/>
      <c r="K26" s="528"/>
      <c r="L26" s="512"/>
    </row>
    <row r="27" spans="1:12" x14ac:dyDescent="0.35">
      <c r="A27" s="510" t="s">
        <v>586</v>
      </c>
      <c r="B27" s="527">
        <v>9938900</v>
      </c>
      <c r="C27" s="527">
        <v>8810207</v>
      </c>
      <c r="D27" s="527">
        <v>8342037</v>
      </c>
      <c r="E27" s="527">
        <v>9172429</v>
      </c>
      <c r="F27" s="527">
        <v>10217951</v>
      </c>
      <c r="G27" s="527">
        <v>10162434</v>
      </c>
      <c r="H27" s="527">
        <v>12412706</v>
      </c>
      <c r="I27" s="527">
        <v>16609953</v>
      </c>
      <c r="J27" s="527">
        <v>16670664</v>
      </c>
      <c r="K27" s="527">
        <v>17985954</v>
      </c>
      <c r="L27" s="512"/>
    </row>
    <row r="28" spans="1:12" x14ac:dyDescent="0.35">
      <c r="A28" s="510" t="s">
        <v>630</v>
      </c>
      <c r="B28" s="527">
        <v>5102883</v>
      </c>
      <c r="C28" s="527">
        <v>5135293</v>
      </c>
      <c r="D28" s="527">
        <v>4837956</v>
      </c>
      <c r="E28" s="527">
        <v>4491286</v>
      </c>
      <c r="F28" s="527">
        <v>4778442</v>
      </c>
      <c r="G28" s="527">
        <v>5175947</v>
      </c>
      <c r="H28" s="527">
        <v>6809096</v>
      </c>
      <c r="I28" s="527">
        <v>9198261</v>
      </c>
      <c r="J28" s="527">
        <v>9593609</v>
      </c>
      <c r="K28" s="527">
        <v>11319696</v>
      </c>
      <c r="L28" s="512"/>
    </row>
    <row r="29" spans="1:12" x14ac:dyDescent="0.35">
      <c r="A29" s="510" t="s">
        <v>631</v>
      </c>
      <c r="B29" s="527">
        <v>-482340</v>
      </c>
      <c r="C29" s="527">
        <v>-291172</v>
      </c>
      <c r="D29" s="527">
        <v>-194228</v>
      </c>
      <c r="E29" s="527">
        <v>-225454</v>
      </c>
      <c r="F29" s="527">
        <v>-284973</v>
      </c>
      <c r="G29" s="527">
        <v>-426285</v>
      </c>
      <c r="H29" s="527">
        <v>-175113</v>
      </c>
      <c r="I29" s="527">
        <v>-219754</v>
      </c>
      <c r="J29" s="527">
        <v>-254337</v>
      </c>
      <c r="K29" s="527">
        <v>-175671</v>
      </c>
      <c r="L29" s="512"/>
    </row>
    <row r="30" spans="1:12" x14ac:dyDescent="0.35">
      <c r="A30" s="510" t="s">
        <v>748</v>
      </c>
      <c r="B30" s="527">
        <v>14559443</v>
      </c>
      <c r="C30" s="527">
        <v>13654328</v>
      </c>
      <c r="D30" s="527">
        <v>12985765</v>
      </c>
      <c r="E30" s="527">
        <v>13438261</v>
      </c>
      <c r="F30" s="527">
        <v>14711420</v>
      </c>
      <c r="G30" s="527">
        <v>14912096</v>
      </c>
      <c r="H30" s="527">
        <v>19046689</v>
      </c>
      <c r="I30" s="527">
        <v>25588461</v>
      </c>
      <c r="J30" s="527">
        <v>26009935</v>
      </c>
      <c r="K30" s="527">
        <v>29129979</v>
      </c>
      <c r="L30" s="512"/>
    </row>
    <row r="31" spans="1:12" x14ac:dyDescent="0.35">
      <c r="A31" s="510" t="s">
        <v>749</v>
      </c>
      <c r="B31" s="527">
        <v>3670289</v>
      </c>
      <c r="C31" s="527">
        <v>3532040</v>
      </c>
      <c r="D31" s="527">
        <v>3269057</v>
      </c>
      <c r="E31" s="527">
        <v>1467148</v>
      </c>
      <c r="F31" s="527">
        <v>2740748</v>
      </c>
      <c r="G31" s="527">
        <v>3833060</v>
      </c>
      <c r="H31" s="527">
        <v>2450733</v>
      </c>
      <c r="I31" s="527">
        <v>8382984</v>
      </c>
      <c r="J31" s="527">
        <v>8923083</v>
      </c>
      <c r="K31" s="527">
        <v>11953961</v>
      </c>
      <c r="L31" s="512"/>
    </row>
    <row r="32" spans="1:12" x14ac:dyDescent="0.35">
      <c r="A32" s="510" t="s">
        <v>73</v>
      </c>
      <c r="B32" s="528"/>
      <c r="C32" s="528"/>
      <c r="D32" s="528"/>
      <c r="E32" s="528"/>
      <c r="F32" s="528"/>
      <c r="G32" s="528"/>
      <c r="H32" s="528"/>
      <c r="I32" s="528"/>
      <c r="J32" s="528"/>
      <c r="K32" s="528"/>
      <c r="L32" s="512"/>
    </row>
    <row r="33" spans="1:12" x14ac:dyDescent="0.35">
      <c r="A33" s="510" t="s">
        <v>408</v>
      </c>
      <c r="B33" s="527">
        <v>-353415</v>
      </c>
      <c r="C33" s="527">
        <v>-557929</v>
      </c>
      <c r="D33" s="527">
        <v>-588891</v>
      </c>
      <c r="E33" s="527">
        <v>-630594</v>
      </c>
      <c r="F33" s="527">
        <v>-696800</v>
      </c>
      <c r="G33" s="527">
        <v>-647322</v>
      </c>
      <c r="H33" s="527">
        <v>-656462</v>
      </c>
      <c r="I33" s="527">
        <v>-872356</v>
      </c>
      <c r="J33" s="527">
        <v>-1127409</v>
      </c>
      <c r="K33" s="527">
        <v>-1297193</v>
      </c>
      <c r="L33" s="512"/>
    </row>
    <row r="34" spans="1:12" x14ac:dyDescent="0.35">
      <c r="A34" s="510" t="s">
        <v>558</v>
      </c>
      <c r="B34" s="527">
        <v>32456</v>
      </c>
      <c r="C34" s="527">
        <v>38883</v>
      </c>
      <c r="D34" s="527">
        <v>87802</v>
      </c>
      <c r="E34" s="527">
        <v>111880</v>
      </c>
      <c r="F34" s="527">
        <v>129533</v>
      </c>
      <c r="G34" s="527">
        <v>67539</v>
      </c>
      <c r="H34" s="527">
        <v>36376</v>
      </c>
      <c r="I34" s="527">
        <v>77056</v>
      </c>
      <c r="J34" s="527">
        <v>278384</v>
      </c>
      <c r="K34" s="527">
        <v>318982</v>
      </c>
      <c r="L34" s="512"/>
    </row>
    <row r="35" spans="1:12" x14ac:dyDescent="0.35">
      <c r="A35" s="510" t="s">
        <v>750</v>
      </c>
      <c r="B35" s="527">
        <v>-320959</v>
      </c>
      <c r="C35" s="527">
        <v>-519045</v>
      </c>
      <c r="D35" s="527">
        <v>-501090</v>
      </c>
      <c r="E35" s="527">
        <v>-518714</v>
      </c>
      <c r="F35" s="527">
        <v>-567267</v>
      </c>
      <c r="G35" s="527">
        <v>-579783</v>
      </c>
      <c r="H35" s="527">
        <v>-620085</v>
      </c>
      <c r="I35" s="527">
        <v>-795299</v>
      </c>
      <c r="J35" s="527">
        <v>-849025</v>
      </c>
      <c r="K35" s="527">
        <v>-978211</v>
      </c>
      <c r="L35" s="512"/>
    </row>
    <row r="36" spans="1:12" x14ac:dyDescent="0.35">
      <c r="A36" s="510" t="s">
        <v>632</v>
      </c>
      <c r="B36" s="527">
        <v>-14425</v>
      </c>
      <c r="C36" s="527">
        <v>-29841</v>
      </c>
      <c r="D36" s="527">
        <v>-48779</v>
      </c>
      <c r="E36" s="527">
        <v>-95776</v>
      </c>
      <c r="F36" s="527">
        <v>-103627</v>
      </c>
      <c r="G36" s="527">
        <v>-23683</v>
      </c>
      <c r="H36" s="527">
        <v>-54141</v>
      </c>
      <c r="I36" s="527">
        <v>-4757</v>
      </c>
      <c r="J36" s="527">
        <v>-11098</v>
      </c>
      <c r="K36" s="527">
        <v>-25888</v>
      </c>
      <c r="L36" s="512"/>
    </row>
    <row r="37" spans="1:12" x14ac:dyDescent="0.35">
      <c r="A37" s="510" t="s">
        <v>633</v>
      </c>
      <c r="B37" s="527">
        <v>-32456</v>
      </c>
      <c r="C37" s="527">
        <v>7234</v>
      </c>
      <c r="D37" s="527">
        <v>-131259</v>
      </c>
      <c r="E37" s="527">
        <v>-43226</v>
      </c>
      <c r="F37" s="527">
        <v>-26800</v>
      </c>
      <c r="G37" s="527">
        <v>-29822</v>
      </c>
      <c r="H37" s="527">
        <v>-16919</v>
      </c>
      <c r="I37" s="527">
        <v>-15221</v>
      </c>
      <c r="J37" s="527">
        <v>-31445</v>
      </c>
      <c r="K37" s="527">
        <v>-38833</v>
      </c>
      <c r="L37" s="512"/>
    </row>
    <row r="38" spans="1:12" x14ac:dyDescent="0.35">
      <c r="A38" s="510" t="s">
        <v>634</v>
      </c>
      <c r="B38" s="527">
        <v>-504879</v>
      </c>
      <c r="C38" s="527">
        <v>-622131</v>
      </c>
      <c r="D38" s="527">
        <v>-561398</v>
      </c>
      <c r="E38" s="527">
        <v>-479726</v>
      </c>
      <c r="F38" s="527">
        <v>-484187</v>
      </c>
      <c r="G38" s="527">
        <v>-427163</v>
      </c>
      <c r="H38" s="527">
        <v>-404367</v>
      </c>
      <c r="I38" s="527">
        <v>-351986</v>
      </c>
      <c r="J38" s="527">
        <v>-270060</v>
      </c>
      <c r="K38" s="527">
        <v>-123894</v>
      </c>
      <c r="L38" s="512"/>
    </row>
    <row r="39" spans="1:12" x14ac:dyDescent="0.35">
      <c r="A39" s="510" t="s">
        <v>751</v>
      </c>
      <c r="B39" s="527">
        <v>2797570</v>
      </c>
      <c r="C39" s="527">
        <v>2368257</v>
      </c>
      <c r="D39" s="527">
        <v>2026531</v>
      </c>
      <c r="E39" s="527">
        <v>329706</v>
      </c>
      <c r="F39" s="527">
        <v>1558867</v>
      </c>
      <c r="G39" s="527">
        <v>2772610</v>
      </c>
      <c r="H39" s="527">
        <v>1355221</v>
      </c>
      <c r="I39" s="527">
        <v>7215721</v>
      </c>
      <c r="J39" s="527">
        <v>7761454</v>
      </c>
      <c r="K39" s="527">
        <v>10787135</v>
      </c>
      <c r="L39" s="512"/>
    </row>
    <row r="40" spans="1:12" x14ac:dyDescent="0.35">
      <c r="A40" s="510" t="s">
        <v>635</v>
      </c>
      <c r="B40" s="527">
        <v>-932223</v>
      </c>
      <c r="C40" s="527">
        <v>-1001016</v>
      </c>
      <c r="D40" s="527">
        <v>-715716</v>
      </c>
      <c r="E40" s="527">
        <v>-590758</v>
      </c>
      <c r="F40" s="527">
        <v>-309987</v>
      </c>
      <c r="G40" s="527">
        <v>-220160</v>
      </c>
      <c r="H40" s="527">
        <v>-1085361</v>
      </c>
      <c r="I40" s="527">
        <v>-682093</v>
      </c>
      <c r="J40" s="527">
        <v>-431911</v>
      </c>
      <c r="K40" s="527">
        <v>-1066971</v>
      </c>
      <c r="L40" s="512"/>
    </row>
    <row r="41" spans="1:12" x14ac:dyDescent="0.35">
      <c r="A41" s="510" t="s">
        <v>636</v>
      </c>
      <c r="B41" s="528" t="s">
        <v>690</v>
      </c>
      <c r="C41" s="528" t="s">
        <v>690</v>
      </c>
      <c r="D41" s="528" t="s">
        <v>690</v>
      </c>
      <c r="E41" s="528" t="s">
        <v>690</v>
      </c>
      <c r="F41" s="528" t="s">
        <v>690</v>
      </c>
      <c r="G41" s="528" t="s">
        <v>690</v>
      </c>
      <c r="H41" s="528" t="s">
        <v>690</v>
      </c>
      <c r="I41" s="527">
        <v>-3314380</v>
      </c>
      <c r="J41" s="527">
        <v>-126706</v>
      </c>
      <c r="K41" s="528" t="s">
        <v>690</v>
      </c>
      <c r="L41" s="512"/>
    </row>
    <row r="42" spans="1:12" x14ac:dyDescent="0.35">
      <c r="A42" s="510" t="s">
        <v>637</v>
      </c>
      <c r="B42" s="527">
        <v>-15327</v>
      </c>
      <c r="C42" s="527">
        <v>-18989</v>
      </c>
      <c r="D42" s="527">
        <v>130372</v>
      </c>
      <c r="E42" s="528" t="s">
        <v>690</v>
      </c>
      <c r="F42" s="528" t="s">
        <v>690</v>
      </c>
      <c r="G42" s="528" t="s">
        <v>690</v>
      </c>
      <c r="H42" s="527">
        <v>656462</v>
      </c>
      <c r="I42" s="528" t="s">
        <v>690</v>
      </c>
      <c r="J42" s="528" t="s">
        <v>690</v>
      </c>
      <c r="K42" s="528" t="s">
        <v>690</v>
      </c>
      <c r="L42" s="512"/>
    </row>
    <row r="43" spans="1:12" x14ac:dyDescent="0.35">
      <c r="A43" s="510" t="s">
        <v>638</v>
      </c>
      <c r="B43" s="527">
        <v>943042</v>
      </c>
      <c r="C43" s="527">
        <v>1202666</v>
      </c>
      <c r="D43" s="527">
        <v>1367576</v>
      </c>
      <c r="E43" s="527">
        <v>1590893</v>
      </c>
      <c r="F43" s="527">
        <v>1091654</v>
      </c>
      <c r="G43" s="527">
        <v>925373</v>
      </c>
      <c r="H43" s="527">
        <v>430591</v>
      </c>
      <c r="I43" s="527">
        <v>205484</v>
      </c>
      <c r="J43" s="527">
        <v>270060</v>
      </c>
      <c r="K43" s="527">
        <v>55475</v>
      </c>
      <c r="L43" s="512"/>
    </row>
    <row r="44" spans="1:12" x14ac:dyDescent="0.35">
      <c r="A44" s="510" t="s">
        <v>639</v>
      </c>
      <c r="B44" s="527">
        <v>-133432</v>
      </c>
      <c r="C44" s="527">
        <v>-40692</v>
      </c>
      <c r="D44" s="527">
        <v>-435460</v>
      </c>
      <c r="E44" s="527">
        <v>-578892</v>
      </c>
      <c r="F44" s="527">
        <v>-925494</v>
      </c>
      <c r="G44" s="527">
        <v>-221037</v>
      </c>
      <c r="H44" s="527">
        <v>-1750282</v>
      </c>
      <c r="I44" s="527">
        <v>-229267</v>
      </c>
      <c r="J44" s="527">
        <v>-401391</v>
      </c>
      <c r="K44" s="527">
        <v>-1455297</v>
      </c>
      <c r="L44" s="512"/>
    </row>
    <row r="45" spans="1:12" x14ac:dyDescent="0.35">
      <c r="A45" s="510" t="s">
        <v>640</v>
      </c>
      <c r="B45" s="527">
        <v>-282191</v>
      </c>
      <c r="C45" s="527">
        <v>-201650</v>
      </c>
      <c r="D45" s="527">
        <v>-213739</v>
      </c>
      <c r="E45" s="527">
        <v>502610</v>
      </c>
      <c r="F45" s="527">
        <v>-544934</v>
      </c>
      <c r="G45" s="527">
        <v>7894</v>
      </c>
      <c r="H45" s="527">
        <v>-40606</v>
      </c>
      <c r="I45" s="527">
        <v>-750587</v>
      </c>
      <c r="J45" s="527">
        <v>-936887</v>
      </c>
      <c r="K45" s="527">
        <v>-44380</v>
      </c>
      <c r="L45" s="512"/>
    </row>
    <row r="46" spans="1:12" x14ac:dyDescent="0.35">
      <c r="A46" s="510" t="s">
        <v>641</v>
      </c>
      <c r="B46" s="527">
        <v>389478</v>
      </c>
      <c r="C46" s="527">
        <v>903356</v>
      </c>
      <c r="D46" s="527">
        <v>-184472</v>
      </c>
      <c r="E46" s="527">
        <v>435652</v>
      </c>
      <c r="F46" s="527">
        <v>512774</v>
      </c>
      <c r="G46" s="527">
        <v>170163</v>
      </c>
      <c r="H46" s="527">
        <v>209797</v>
      </c>
      <c r="I46" s="527">
        <v>-65641</v>
      </c>
      <c r="J46" s="527">
        <v>246014</v>
      </c>
      <c r="K46" s="527">
        <v>-240392</v>
      </c>
      <c r="L46" s="512"/>
    </row>
    <row r="47" spans="1:12" x14ac:dyDescent="0.35">
      <c r="A47" s="510" t="s">
        <v>752</v>
      </c>
      <c r="B47" s="527">
        <v>2766916</v>
      </c>
      <c r="C47" s="527">
        <v>3211932</v>
      </c>
      <c r="D47" s="527">
        <v>1975092</v>
      </c>
      <c r="E47" s="527">
        <v>1689212</v>
      </c>
      <c r="F47" s="527">
        <v>1382881</v>
      </c>
      <c r="G47" s="527">
        <v>3434843</v>
      </c>
      <c r="H47" s="527">
        <v>-224178</v>
      </c>
      <c r="I47" s="527">
        <v>2379238</v>
      </c>
      <c r="J47" s="527">
        <v>6380633</v>
      </c>
      <c r="K47" s="527">
        <v>8035569</v>
      </c>
      <c r="L47" s="512"/>
    </row>
    <row r="48" spans="1:12" x14ac:dyDescent="0.35">
      <c r="A48" s="510" t="s">
        <v>73</v>
      </c>
      <c r="B48" s="528"/>
      <c r="C48" s="528"/>
      <c r="D48" s="528"/>
      <c r="E48" s="528"/>
      <c r="F48" s="528"/>
      <c r="G48" s="528"/>
      <c r="H48" s="528"/>
      <c r="I48" s="528"/>
      <c r="J48" s="528"/>
      <c r="K48" s="528"/>
      <c r="L48" s="512"/>
    </row>
    <row r="49" spans="1:12" x14ac:dyDescent="0.35">
      <c r="A49" s="510" t="s">
        <v>559</v>
      </c>
      <c r="B49" s="527">
        <v>219081</v>
      </c>
      <c r="C49" s="527">
        <v>132022</v>
      </c>
      <c r="D49" s="527">
        <v>-568493</v>
      </c>
      <c r="E49" s="527">
        <v>-48312</v>
      </c>
      <c r="F49" s="527">
        <v>286760</v>
      </c>
      <c r="G49" s="527">
        <v>677145</v>
      </c>
      <c r="H49" s="527">
        <v>-321463</v>
      </c>
      <c r="I49" s="527">
        <v>-753441</v>
      </c>
      <c r="J49" s="527">
        <v>867522</v>
      </c>
      <c r="K49" s="527">
        <v>1525565</v>
      </c>
      <c r="L49" s="512"/>
    </row>
    <row r="50" spans="1:12" x14ac:dyDescent="0.35">
      <c r="A50" s="510" t="s">
        <v>753</v>
      </c>
      <c r="B50" s="527">
        <v>2547835</v>
      </c>
      <c r="C50" s="527">
        <v>3079910</v>
      </c>
      <c r="D50" s="527">
        <v>2543585</v>
      </c>
      <c r="E50" s="527">
        <v>1737523</v>
      </c>
      <c r="F50" s="527">
        <v>1096120</v>
      </c>
      <c r="G50" s="527">
        <v>2757698</v>
      </c>
      <c r="H50" s="527">
        <v>97285</v>
      </c>
      <c r="I50" s="527">
        <v>3132679</v>
      </c>
      <c r="J50" s="527">
        <v>5513111</v>
      </c>
      <c r="K50" s="527">
        <v>6510004</v>
      </c>
      <c r="L50" s="512"/>
    </row>
    <row r="51" spans="1:12" x14ac:dyDescent="0.35">
      <c r="A51" s="510" t="s">
        <v>754</v>
      </c>
      <c r="B51" s="527">
        <v>2547835</v>
      </c>
      <c r="C51" s="527">
        <v>3079910</v>
      </c>
      <c r="D51" s="527">
        <v>2543585</v>
      </c>
      <c r="E51" s="527">
        <v>1737523</v>
      </c>
      <c r="F51" s="527">
        <v>1096120</v>
      </c>
      <c r="G51" s="527">
        <v>2757698</v>
      </c>
      <c r="H51" s="527">
        <v>97285</v>
      </c>
      <c r="I51" s="527">
        <v>3132679</v>
      </c>
      <c r="J51" s="527">
        <v>5513111</v>
      </c>
      <c r="K51" s="527">
        <v>6510004</v>
      </c>
      <c r="L51" s="512"/>
    </row>
    <row r="52" spans="1:12" x14ac:dyDescent="0.35">
      <c r="A52" s="510" t="s">
        <v>642</v>
      </c>
      <c r="B52" s="528">
        <v>-902</v>
      </c>
      <c r="C52" s="527">
        <v>84096</v>
      </c>
      <c r="D52" s="527">
        <v>117956</v>
      </c>
      <c r="E52" s="527">
        <v>88995</v>
      </c>
      <c r="F52" s="527">
        <v>96480</v>
      </c>
      <c r="G52" s="527">
        <v>45611</v>
      </c>
      <c r="H52" s="527">
        <v>-2538</v>
      </c>
      <c r="I52" s="527">
        <v>-4757</v>
      </c>
      <c r="J52" s="527">
        <v>-5549</v>
      </c>
      <c r="K52" s="527">
        <v>-5548</v>
      </c>
      <c r="L52" s="512"/>
    </row>
    <row r="53" spans="1:12" x14ac:dyDescent="0.35">
      <c r="A53" s="510" t="s">
        <v>495</v>
      </c>
      <c r="B53" s="527">
        <v>2546933</v>
      </c>
      <c r="C53" s="527">
        <v>3164006</v>
      </c>
      <c r="D53" s="527">
        <v>2661541</v>
      </c>
      <c r="E53" s="527">
        <v>1826519</v>
      </c>
      <c r="F53" s="527">
        <v>1192601</v>
      </c>
      <c r="G53" s="527">
        <v>2803309</v>
      </c>
      <c r="H53" s="527">
        <v>94747</v>
      </c>
      <c r="I53" s="527">
        <v>3127922</v>
      </c>
      <c r="J53" s="527">
        <v>5507562</v>
      </c>
      <c r="K53" s="527">
        <v>6504456</v>
      </c>
      <c r="L53" s="512"/>
    </row>
    <row r="54" spans="1:12" x14ac:dyDescent="0.35">
      <c r="A54" s="510" t="s">
        <v>755</v>
      </c>
      <c r="B54" s="527">
        <v>2546933</v>
      </c>
      <c r="C54" s="527">
        <v>3164006</v>
      </c>
      <c r="D54" s="527">
        <v>2661541</v>
      </c>
      <c r="E54" s="527">
        <v>1826519</v>
      </c>
      <c r="F54" s="527">
        <v>1192601</v>
      </c>
      <c r="G54" s="527">
        <v>2803309</v>
      </c>
      <c r="H54" s="527">
        <v>94747</v>
      </c>
      <c r="I54" s="527">
        <v>3127922</v>
      </c>
      <c r="J54" s="527">
        <v>5507562</v>
      </c>
      <c r="K54" s="527">
        <v>6504456</v>
      </c>
      <c r="L54" s="512"/>
    </row>
    <row r="55" spans="1:12" x14ac:dyDescent="0.35">
      <c r="A55" s="510" t="s">
        <v>756</v>
      </c>
      <c r="B55" s="527">
        <v>2546933</v>
      </c>
      <c r="C55" s="527">
        <v>3164006</v>
      </c>
      <c r="D55" s="527">
        <v>2661541</v>
      </c>
      <c r="E55" s="527">
        <v>1826519</v>
      </c>
      <c r="F55" s="527">
        <v>1192601</v>
      </c>
      <c r="G55" s="527">
        <v>2803309</v>
      </c>
      <c r="H55" s="527">
        <v>94747</v>
      </c>
      <c r="I55" s="527">
        <v>3127922</v>
      </c>
      <c r="J55" s="527">
        <v>5507562</v>
      </c>
      <c r="K55" s="527">
        <v>6504456</v>
      </c>
      <c r="L55" s="512"/>
    </row>
    <row r="56" spans="1:12" ht="13.15" x14ac:dyDescent="0.35">
      <c r="A56" s="517" t="s">
        <v>757</v>
      </c>
      <c r="B56" s="528"/>
      <c r="C56" s="528"/>
      <c r="D56" s="528"/>
      <c r="E56" s="528"/>
      <c r="F56" s="528"/>
      <c r="G56" s="528"/>
      <c r="H56" s="528"/>
      <c r="I56" s="528"/>
      <c r="J56" s="528"/>
      <c r="K56" s="528"/>
      <c r="L56" s="512"/>
    </row>
    <row r="57" spans="1:12" x14ac:dyDescent="0.35">
      <c r="A57" s="510" t="s">
        <v>758</v>
      </c>
      <c r="B57" s="528">
        <v>2.02</v>
      </c>
      <c r="C57" s="528">
        <v>2.5</v>
      </c>
      <c r="D57" s="528">
        <v>2.1</v>
      </c>
      <c r="E57" s="528">
        <v>1.44</v>
      </c>
      <c r="F57" s="528">
        <v>0.92</v>
      </c>
      <c r="G57" s="528">
        <v>2.14</v>
      </c>
      <c r="H57" s="528">
        <v>7.0000000000000007E-2</v>
      </c>
      <c r="I57" s="528">
        <v>2.02</v>
      </c>
      <c r="J57" s="528">
        <v>3.56</v>
      </c>
      <c r="K57" s="528">
        <v>4.2</v>
      </c>
      <c r="L57" s="512"/>
    </row>
    <row r="58" spans="1:12" x14ac:dyDescent="0.35">
      <c r="A58" s="510" t="s">
        <v>759</v>
      </c>
      <c r="B58" s="528">
        <v>2.02</v>
      </c>
      <c r="C58" s="528">
        <v>2.5</v>
      </c>
      <c r="D58" s="528">
        <v>2.1</v>
      </c>
      <c r="E58" s="528">
        <v>1.44</v>
      </c>
      <c r="F58" s="528">
        <v>0.92</v>
      </c>
      <c r="G58" s="528">
        <v>2.14</v>
      </c>
      <c r="H58" s="528">
        <v>7.0000000000000007E-2</v>
      </c>
      <c r="I58" s="528">
        <v>2.02</v>
      </c>
      <c r="J58" s="528">
        <v>3.56</v>
      </c>
      <c r="K58" s="528">
        <v>4.2</v>
      </c>
      <c r="L58" s="512"/>
    </row>
    <row r="59" spans="1:12" x14ac:dyDescent="0.35">
      <c r="A59" s="510" t="s">
        <v>760</v>
      </c>
      <c r="B59" s="527">
        <v>1264000000</v>
      </c>
      <c r="C59" s="527">
        <v>1265000000</v>
      </c>
      <c r="D59" s="527">
        <v>1266000000</v>
      </c>
      <c r="E59" s="527">
        <v>1267000000</v>
      </c>
      <c r="F59" s="527">
        <v>1301000000</v>
      </c>
      <c r="G59" s="527">
        <v>1312000000</v>
      </c>
      <c r="H59" s="527">
        <v>1418000000</v>
      </c>
      <c r="I59" s="527">
        <v>1548000000</v>
      </c>
      <c r="J59" s="527">
        <v>1549000000</v>
      </c>
      <c r="K59" s="527">
        <v>1550000000</v>
      </c>
      <c r="L59" s="512"/>
    </row>
    <row r="60" spans="1:12" x14ac:dyDescent="0.35">
      <c r="A60" s="510" t="s">
        <v>761</v>
      </c>
      <c r="B60" s="528">
        <v>2.0099999999999998</v>
      </c>
      <c r="C60" s="528">
        <v>2.5</v>
      </c>
      <c r="D60" s="528">
        <v>2.1</v>
      </c>
      <c r="E60" s="528">
        <v>1.44</v>
      </c>
      <c r="F60" s="528">
        <v>0.92</v>
      </c>
      <c r="G60" s="528">
        <v>2.14</v>
      </c>
      <c r="H60" s="528">
        <v>7.0000000000000007E-2</v>
      </c>
      <c r="I60" s="528">
        <v>2.0099999999999998</v>
      </c>
      <c r="J60" s="528">
        <v>3.52</v>
      </c>
      <c r="K60" s="528">
        <v>4.16</v>
      </c>
      <c r="L60" s="512"/>
    </row>
    <row r="61" spans="1:12" x14ac:dyDescent="0.35">
      <c r="A61" s="510" t="s">
        <v>762</v>
      </c>
      <c r="B61" s="528">
        <v>2.0099999999999998</v>
      </c>
      <c r="C61" s="528">
        <v>2.5</v>
      </c>
      <c r="D61" s="528">
        <v>2.1</v>
      </c>
      <c r="E61" s="528">
        <v>1.44</v>
      </c>
      <c r="F61" s="528">
        <v>0.92</v>
      </c>
      <c r="G61" s="528">
        <v>2.14</v>
      </c>
      <c r="H61" s="528">
        <v>7.0000000000000007E-2</v>
      </c>
      <c r="I61" s="528">
        <v>2.0099999999999998</v>
      </c>
      <c r="J61" s="528">
        <v>3.52</v>
      </c>
      <c r="K61" s="528">
        <v>4.16</v>
      </c>
      <c r="L61" s="512"/>
    </row>
    <row r="62" spans="1:12" x14ac:dyDescent="0.35">
      <c r="A62" s="510" t="s">
        <v>763</v>
      </c>
      <c r="B62" s="527">
        <v>1265000000</v>
      </c>
      <c r="C62" s="527">
        <v>1266000000</v>
      </c>
      <c r="D62" s="527">
        <v>1267000000</v>
      </c>
      <c r="E62" s="527">
        <v>1267000000</v>
      </c>
      <c r="F62" s="527">
        <v>1301000000</v>
      </c>
      <c r="G62" s="527">
        <v>1313000000</v>
      </c>
      <c r="H62" s="527">
        <v>1427000000</v>
      </c>
      <c r="I62" s="527">
        <v>1560000000</v>
      </c>
      <c r="J62" s="527">
        <v>1562000000</v>
      </c>
      <c r="K62" s="527">
        <v>1563000000</v>
      </c>
      <c r="L62" s="512"/>
    </row>
    <row r="63" spans="1:12" x14ac:dyDescent="0.35">
      <c r="A63" s="510" t="s">
        <v>764</v>
      </c>
      <c r="B63" s="528">
        <v>1.38</v>
      </c>
      <c r="C63" s="528">
        <v>1.24</v>
      </c>
      <c r="D63" s="528">
        <v>1.0900000000000001</v>
      </c>
      <c r="E63" s="528">
        <v>0.23</v>
      </c>
      <c r="F63" s="528">
        <v>0.82</v>
      </c>
      <c r="G63" s="528">
        <v>1.36</v>
      </c>
      <c r="H63" s="528">
        <v>0.6</v>
      </c>
      <c r="I63" s="528">
        <v>2.91</v>
      </c>
      <c r="J63" s="528">
        <v>3.13</v>
      </c>
      <c r="K63" s="528">
        <v>4.3499999999999996</v>
      </c>
      <c r="L63" s="512"/>
    </row>
    <row r="64" spans="1:12" x14ac:dyDescent="0.35">
      <c r="A64" s="510" t="s">
        <v>765</v>
      </c>
      <c r="B64" s="528">
        <v>1.38</v>
      </c>
      <c r="C64" s="528">
        <v>1.24</v>
      </c>
      <c r="D64" s="528">
        <v>1.0900000000000001</v>
      </c>
      <c r="E64" s="528">
        <v>0.23</v>
      </c>
      <c r="F64" s="528">
        <v>0.82</v>
      </c>
      <c r="G64" s="528">
        <v>1.35</v>
      </c>
      <c r="H64" s="528">
        <v>0.59</v>
      </c>
      <c r="I64" s="528">
        <v>2.89</v>
      </c>
      <c r="J64" s="528">
        <v>3.1</v>
      </c>
      <c r="K64" s="528">
        <v>4.3099999999999996</v>
      </c>
      <c r="L64" s="512"/>
    </row>
    <row r="65" spans="1:12" x14ac:dyDescent="0.35">
      <c r="A65" s="510" t="s">
        <v>766</v>
      </c>
      <c r="B65" s="528">
        <v>2.52</v>
      </c>
      <c r="C65" s="528">
        <v>2.5299999999999998</v>
      </c>
      <c r="D65" s="528">
        <v>2.48</v>
      </c>
      <c r="E65" s="528">
        <v>2.37</v>
      </c>
      <c r="F65" s="528">
        <v>2.5</v>
      </c>
      <c r="G65" s="528">
        <v>2.46</v>
      </c>
      <c r="H65" s="528">
        <v>2.4300000000000002</v>
      </c>
      <c r="I65" s="528">
        <v>2.76</v>
      </c>
      <c r="J65" s="528">
        <v>2.68</v>
      </c>
      <c r="K65" s="528">
        <v>2.87</v>
      </c>
      <c r="L65" s="512"/>
    </row>
    <row r="66" spans="1:12" x14ac:dyDescent="0.35">
      <c r="A66" s="510" t="s">
        <v>767</v>
      </c>
      <c r="B66" s="528">
        <v>123.4</v>
      </c>
      <c r="C66" s="528">
        <v>101.77</v>
      </c>
      <c r="D66" s="528">
        <v>117.26</v>
      </c>
      <c r="E66" s="528">
        <v>161.66999999999999</v>
      </c>
      <c r="F66" s="528">
        <v>269.06</v>
      </c>
      <c r="G66" s="528">
        <v>111.77</v>
      </c>
      <c r="H66" s="528" t="s">
        <v>768</v>
      </c>
      <c r="I66" s="528">
        <v>136.44</v>
      </c>
      <c r="J66" s="528">
        <v>75.42</v>
      </c>
      <c r="K66" s="528">
        <v>65.47</v>
      </c>
      <c r="L66" s="512"/>
    </row>
    <row r="67" spans="1:12" x14ac:dyDescent="0.35">
      <c r="A67" s="510" t="s">
        <v>769</v>
      </c>
      <c r="B67" s="528">
        <v>0</v>
      </c>
      <c r="C67" s="528">
        <v>0</v>
      </c>
      <c r="D67" s="528">
        <v>0</v>
      </c>
      <c r="E67" s="528">
        <v>0</v>
      </c>
      <c r="F67" s="528">
        <v>0</v>
      </c>
      <c r="G67" s="528">
        <v>0</v>
      </c>
      <c r="H67" s="528">
        <v>0</v>
      </c>
      <c r="I67" s="528">
        <v>0</v>
      </c>
      <c r="J67" s="528">
        <v>0</v>
      </c>
      <c r="K67" s="528">
        <v>0</v>
      </c>
      <c r="L67" s="512"/>
    </row>
    <row r="68" spans="1:12" ht="13.15" x14ac:dyDescent="0.35">
      <c r="A68" s="517" t="s">
        <v>770</v>
      </c>
      <c r="B68" s="528"/>
      <c r="C68" s="528"/>
      <c r="D68" s="528"/>
      <c r="E68" s="528"/>
      <c r="F68" s="528"/>
      <c r="G68" s="528"/>
      <c r="H68" s="528"/>
      <c r="I68" s="528"/>
      <c r="J68" s="528"/>
      <c r="K68" s="528"/>
      <c r="L68" s="512"/>
    </row>
    <row r="69" spans="1:12" x14ac:dyDescent="0.35">
      <c r="A69" s="510" t="s">
        <v>771</v>
      </c>
      <c r="B69" s="527">
        <v>5938637</v>
      </c>
      <c r="C69" s="527">
        <v>5504232</v>
      </c>
      <c r="D69" s="527">
        <v>5326629</v>
      </c>
      <c r="E69" s="527">
        <v>3781868</v>
      </c>
      <c r="F69" s="527">
        <v>4980335</v>
      </c>
      <c r="G69" s="527">
        <v>6131142</v>
      </c>
      <c r="H69" s="527">
        <v>5668748</v>
      </c>
      <c r="I69" s="527">
        <v>13074868</v>
      </c>
      <c r="J69" s="527">
        <v>13155258</v>
      </c>
      <c r="K69" s="527">
        <v>16242187</v>
      </c>
      <c r="L69" s="512"/>
    </row>
    <row r="70" spans="1:12" x14ac:dyDescent="0.35">
      <c r="A70" s="510" t="s">
        <v>772</v>
      </c>
      <c r="B70" s="527">
        <v>5376058</v>
      </c>
      <c r="C70" s="527">
        <v>4993325</v>
      </c>
      <c r="D70" s="527">
        <v>4816670</v>
      </c>
      <c r="E70" s="527">
        <v>3234336</v>
      </c>
      <c r="F70" s="527">
        <v>4402349</v>
      </c>
      <c r="G70" s="527">
        <v>5526799</v>
      </c>
      <c r="H70" s="527">
        <v>5056276</v>
      </c>
      <c r="I70" s="527">
        <v>12264348</v>
      </c>
      <c r="J70" s="527">
        <v>12480108</v>
      </c>
      <c r="K70" s="527">
        <v>15503443</v>
      </c>
      <c r="L70" s="512"/>
    </row>
    <row r="71" spans="1:12" x14ac:dyDescent="0.35">
      <c r="A71" s="510" t="s">
        <v>58</v>
      </c>
      <c r="B71" s="527">
        <v>3670289</v>
      </c>
      <c r="C71" s="527">
        <v>3532040</v>
      </c>
      <c r="D71" s="527">
        <v>3269057</v>
      </c>
      <c r="E71" s="527">
        <v>1467148</v>
      </c>
      <c r="F71" s="527">
        <v>2740748</v>
      </c>
      <c r="G71" s="527">
        <v>3833060</v>
      </c>
      <c r="H71" s="527">
        <v>2450733</v>
      </c>
      <c r="I71" s="527">
        <v>8382984</v>
      </c>
      <c r="J71" s="527">
        <v>8923083</v>
      </c>
      <c r="K71" s="527">
        <v>11953961</v>
      </c>
      <c r="L71" s="512"/>
    </row>
    <row r="72" spans="1:12" x14ac:dyDescent="0.35">
      <c r="A72" s="510" t="s">
        <v>773</v>
      </c>
      <c r="B72" s="527">
        <v>6105428</v>
      </c>
      <c r="C72" s="527">
        <v>5661573</v>
      </c>
      <c r="D72" s="527">
        <v>5481834</v>
      </c>
      <c r="E72" s="527">
        <v>3941212</v>
      </c>
      <c r="F72" s="527">
        <v>4978549</v>
      </c>
      <c r="G72" s="528" t="s">
        <v>690</v>
      </c>
      <c r="H72" s="528" t="s">
        <v>690</v>
      </c>
      <c r="I72" s="528" t="s">
        <v>690</v>
      </c>
      <c r="J72" s="528" t="s">
        <v>690</v>
      </c>
      <c r="K72" s="528" t="s">
        <v>690</v>
      </c>
      <c r="L72" s="512"/>
    </row>
    <row r="73" spans="1:12" x14ac:dyDescent="0.35">
      <c r="A73" s="510" t="s">
        <v>774</v>
      </c>
      <c r="B73" s="527">
        <v>22275975</v>
      </c>
      <c r="C73" s="527">
        <v>20799792</v>
      </c>
      <c r="D73" s="527">
        <v>19923863</v>
      </c>
      <c r="E73" s="527">
        <v>18722875</v>
      </c>
      <c r="F73" s="527">
        <v>21783049</v>
      </c>
      <c r="G73" s="527">
        <v>23346583</v>
      </c>
      <c r="H73" s="527">
        <v>31653119</v>
      </c>
      <c r="I73" s="527">
        <v>42191755</v>
      </c>
      <c r="J73" s="527">
        <v>42368920</v>
      </c>
      <c r="K73" s="527">
        <v>49995091</v>
      </c>
      <c r="L73" s="512"/>
    </row>
    <row r="74" spans="1:12" x14ac:dyDescent="0.35">
      <c r="A74" s="510" t="s">
        <v>775</v>
      </c>
      <c r="B74" s="528">
        <v>7.92</v>
      </c>
      <c r="C74" s="528">
        <v>4.1100000000000003</v>
      </c>
      <c r="D74" s="528" t="s">
        <v>768</v>
      </c>
      <c r="E74" s="528" t="s">
        <v>768</v>
      </c>
      <c r="F74" s="528">
        <v>20.74</v>
      </c>
      <c r="G74" s="528">
        <v>19.71</v>
      </c>
      <c r="H74" s="528">
        <v>143.4</v>
      </c>
      <c r="I74" s="528" t="s">
        <v>768</v>
      </c>
      <c r="J74" s="528">
        <v>13.6</v>
      </c>
      <c r="K74" s="528">
        <v>18.989999999999998</v>
      </c>
      <c r="L74" s="512"/>
    </row>
    <row r="75" spans="1:12" x14ac:dyDescent="0.35">
      <c r="A75" s="510" t="s">
        <v>776</v>
      </c>
      <c r="B75" s="527">
        <v>570693</v>
      </c>
      <c r="C75" s="527">
        <v>334576</v>
      </c>
      <c r="D75" s="527">
        <v>335242</v>
      </c>
      <c r="E75" s="527">
        <v>634832</v>
      </c>
      <c r="F75" s="527">
        <v>1169374</v>
      </c>
      <c r="G75" s="527">
        <v>851694</v>
      </c>
      <c r="H75" s="527">
        <v>1010917</v>
      </c>
      <c r="I75" s="527">
        <v>1556351</v>
      </c>
      <c r="J75" s="527">
        <v>2261291</v>
      </c>
      <c r="K75" s="527">
        <v>2260611</v>
      </c>
      <c r="L75" s="512"/>
    </row>
    <row r="76" spans="1:12" x14ac:dyDescent="0.35">
      <c r="A76" s="510" t="s">
        <v>777</v>
      </c>
      <c r="B76" s="527">
        <v>-351612</v>
      </c>
      <c r="C76" s="527">
        <v>-202554</v>
      </c>
      <c r="D76" s="527">
        <v>-903735</v>
      </c>
      <c r="E76" s="527">
        <v>-683143</v>
      </c>
      <c r="F76" s="527">
        <v>-882614</v>
      </c>
      <c r="G76" s="527">
        <v>-174549</v>
      </c>
      <c r="H76" s="527">
        <v>-1332380</v>
      </c>
      <c r="I76" s="527">
        <v>-2309792</v>
      </c>
      <c r="J76" s="527">
        <v>-1393769</v>
      </c>
      <c r="K76" s="527">
        <v>-735045</v>
      </c>
      <c r="L76" s="512"/>
    </row>
    <row r="77" spans="1:12" x14ac:dyDescent="0.35">
      <c r="A77" s="510" t="s">
        <v>778</v>
      </c>
      <c r="B77" s="527">
        <v>1747579</v>
      </c>
      <c r="C77" s="527">
        <v>1564257</v>
      </c>
      <c r="D77" s="527">
        <v>1384538</v>
      </c>
      <c r="E77" s="527">
        <v>295061</v>
      </c>
      <c r="F77" s="527">
        <v>1070772</v>
      </c>
      <c r="G77" s="527">
        <v>1778492</v>
      </c>
      <c r="H77" s="527">
        <v>844475</v>
      </c>
      <c r="I77" s="527">
        <v>4505069</v>
      </c>
      <c r="J77" s="527">
        <v>4845360</v>
      </c>
      <c r="K77" s="527">
        <v>6736412</v>
      </c>
      <c r="L77" s="512"/>
    </row>
    <row r="78" spans="1:12" x14ac:dyDescent="0.35">
      <c r="A78" s="510" t="s">
        <v>779</v>
      </c>
      <c r="B78" s="528" t="s">
        <v>690</v>
      </c>
      <c r="C78" s="528" t="s">
        <v>690</v>
      </c>
      <c r="D78" s="528" t="s">
        <v>690</v>
      </c>
      <c r="E78" s="528" t="s">
        <v>690</v>
      </c>
      <c r="F78" s="527">
        <v>19653</v>
      </c>
      <c r="G78" s="527">
        <v>18420</v>
      </c>
      <c r="H78" s="527">
        <v>18611</v>
      </c>
      <c r="I78" s="527">
        <v>22832</v>
      </c>
      <c r="J78" s="527">
        <v>30520</v>
      </c>
      <c r="K78" s="527">
        <v>56400</v>
      </c>
      <c r="L78" s="512"/>
    </row>
    <row r="79" spans="1:12" x14ac:dyDescent="0.35">
      <c r="A79" s="510" t="s">
        <v>780</v>
      </c>
      <c r="B79" s="528" t="s">
        <v>690</v>
      </c>
      <c r="C79" s="528" t="s">
        <v>690</v>
      </c>
      <c r="D79" s="528" t="s">
        <v>690</v>
      </c>
      <c r="E79" s="528" t="s">
        <v>690</v>
      </c>
      <c r="F79" s="528" t="s">
        <v>690</v>
      </c>
      <c r="G79" s="528" t="s">
        <v>690</v>
      </c>
      <c r="H79" s="528" t="s">
        <v>690</v>
      </c>
      <c r="I79" s="528" t="s">
        <v>690</v>
      </c>
      <c r="J79" s="527">
        <v>34220</v>
      </c>
      <c r="K79" s="527">
        <v>59173</v>
      </c>
      <c r="L79" s="512"/>
    </row>
    <row r="80" spans="1:12" ht="13.15" x14ac:dyDescent="0.35">
      <c r="A80" s="517" t="s">
        <v>781</v>
      </c>
      <c r="B80" s="528"/>
      <c r="C80" s="528"/>
      <c r="D80" s="528"/>
      <c r="E80" s="528"/>
      <c r="F80" s="528"/>
      <c r="G80" s="528"/>
      <c r="H80" s="528"/>
      <c r="I80" s="528"/>
      <c r="J80" s="528"/>
      <c r="K80" s="528"/>
      <c r="L80" s="512"/>
    </row>
    <row r="81" spans="1:12" x14ac:dyDescent="0.35">
      <c r="A81" s="510" t="s">
        <v>549</v>
      </c>
      <c r="B81" s="527">
        <v>305632</v>
      </c>
      <c r="C81" s="527">
        <v>294789</v>
      </c>
      <c r="D81" s="527">
        <v>274934</v>
      </c>
      <c r="E81" s="527">
        <v>280546</v>
      </c>
      <c r="F81" s="527">
        <v>302840</v>
      </c>
      <c r="G81" s="527">
        <v>349975</v>
      </c>
      <c r="H81" s="527">
        <v>377296</v>
      </c>
      <c r="I81" s="527">
        <v>508002</v>
      </c>
      <c r="J81" s="527">
        <v>498501</v>
      </c>
      <c r="K81" s="527">
        <v>513145</v>
      </c>
      <c r="L81" s="512"/>
    </row>
    <row r="82" spans="1:12" x14ac:dyDescent="0.35">
      <c r="A82" s="510" t="s">
        <v>550</v>
      </c>
      <c r="B82" s="527">
        <v>5507687</v>
      </c>
      <c r="C82" s="527">
        <v>5403859</v>
      </c>
      <c r="D82" s="527">
        <v>5182954</v>
      </c>
      <c r="E82" s="527">
        <v>5095605</v>
      </c>
      <c r="F82" s="527">
        <v>5475242</v>
      </c>
      <c r="G82" s="527">
        <v>5308394</v>
      </c>
      <c r="H82" s="527">
        <v>8304746</v>
      </c>
      <c r="I82" s="527">
        <v>9359033</v>
      </c>
      <c r="J82" s="527">
        <v>10187371</v>
      </c>
      <c r="K82" s="527">
        <v>12638154</v>
      </c>
      <c r="L82" s="512"/>
    </row>
    <row r="83" spans="1:12" x14ac:dyDescent="0.35">
      <c r="A83" s="510" t="s">
        <v>551</v>
      </c>
      <c r="B83" s="527">
        <v>166790</v>
      </c>
      <c r="C83" s="527">
        <v>157341</v>
      </c>
      <c r="D83" s="527">
        <v>155205</v>
      </c>
      <c r="E83" s="527">
        <v>159344</v>
      </c>
      <c r="F83" s="527">
        <v>-1787</v>
      </c>
      <c r="G83" s="528" t="s">
        <v>690</v>
      </c>
      <c r="H83" s="528" t="s">
        <v>690</v>
      </c>
      <c r="I83" s="528" t="s">
        <v>690</v>
      </c>
      <c r="J83" s="528" t="s">
        <v>690</v>
      </c>
      <c r="K83" s="528" t="s">
        <v>690</v>
      </c>
      <c r="L83" s="512"/>
    </row>
    <row r="84" spans="1:12" x14ac:dyDescent="0.35">
      <c r="A84" s="510" t="s">
        <v>552</v>
      </c>
      <c r="B84" s="527">
        <v>40347</v>
      </c>
      <c r="C84" s="527">
        <v>45809</v>
      </c>
      <c r="D84" s="527">
        <v>42825</v>
      </c>
      <c r="E84" s="527">
        <v>46674</v>
      </c>
      <c r="F84" s="528">
        <v>-538</v>
      </c>
      <c r="G84" s="528" t="s">
        <v>690</v>
      </c>
      <c r="H84" s="528" t="s">
        <v>690</v>
      </c>
      <c r="I84" s="528" t="s">
        <v>690</v>
      </c>
      <c r="J84" s="528" t="s">
        <v>690</v>
      </c>
      <c r="K84" s="528" t="s">
        <v>690</v>
      </c>
      <c r="L84" s="512"/>
    </row>
    <row r="85" spans="1:12" x14ac:dyDescent="0.35">
      <c r="A85" s="510" t="s">
        <v>553</v>
      </c>
      <c r="B85" s="527">
        <v>126443</v>
      </c>
      <c r="C85" s="527">
        <v>111532</v>
      </c>
      <c r="D85" s="527">
        <v>112379</v>
      </c>
      <c r="E85" s="527">
        <v>112670</v>
      </c>
      <c r="F85" s="527">
        <v>-1248</v>
      </c>
      <c r="G85" s="528" t="s">
        <v>690</v>
      </c>
      <c r="H85" s="528" t="s">
        <v>690</v>
      </c>
      <c r="I85" s="528" t="s">
        <v>690</v>
      </c>
      <c r="J85" s="528" t="s">
        <v>690</v>
      </c>
      <c r="K85" s="528" t="s">
        <v>690</v>
      </c>
      <c r="L85" s="512"/>
    </row>
    <row r="86" spans="1:12" x14ac:dyDescent="0.35">
      <c r="A86" s="510" t="s">
        <v>554</v>
      </c>
      <c r="B86" s="527">
        <v>190231</v>
      </c>
      <c r="C86" s="527">
        <v>217927</v>
      </c>
      <c r="D86" s="527">
        <v>195115</v>
      </c>
      <c r="E86" s="527">
        <v>185618</v>
      </c>
      <c r="F86" s="527">
        <v>231373</v>
      </c>
      <c r="G86" s="527">
        <v>242965</v>
      </c>
      <c r="H86" s="527">
        <v>520263</v>
      </c>
      <c r="I86" s="527">
        <v>588864</v>
      </c>
      <c r="J86" s="527">
        <v>535496</v>
      </c>
      <c r="K86" s="527">
        <v>610226</v>
      </c>
      <c r="L86" s="512"/>
    </row>
    <row r="87" spans="1:12" ht="13.15" x14ac:dyDescent="0.35">
      <c r="A87" s="517" t="s">
        <v>782</v>
      </c>
      <c r="B87" s="529">
        <v>190231</v>
      </c>
      <c r="C87" s="529">
        <v>217927</v>
      </c>
      <c r="D87" s="529">
        <v>195115</v>
      </c>
      <c r="E87" s="529">
        <v>185618</v>
      </c>
      <c r="F87" s="529">
        <v>231373</v>
      </c>
      <c r="G87" s="529">
        <v>242965</v>
      </c>
      <c r="H87" s="529">
        <v>520263</v>
      </c>
      <c r="I87" s="529">
        <v>588864</v>
      </c>
      <c r="J87" s="529">
        <v>535496</v>
      </c>
      <c r="K87" s="529">
        <v>610226</v>
      </c>
      <c r="L87" s="512"/>
    </row>
    <row r="88" spans="1:12" x14ac:dyDescent="0.35">
      <c r="A88" s="510" t="s">
        <v>783</v>
      </c>
      <c r="B88" s="528" t="s">
        <v>784</v>
      </c>
      <c r="C88" s="528" t="s">
        <v>784</v>
      </c>
      <c r="D88" s="528" t="s">
        <v>784</v>
      </c>
      <c r="E88" s="528" t="s">
        <v>784</v>
      </c>
      <c r="F88" s="528" t="s">
        <v>784</v>
      </c>
      <c r="G88" s="528" t="s">
        <v>784</v>
      </c>
      <c r="H88" s="528" t="s">
        <v>784</v>
      </c>
      <c r="I88" s="528" t="s">
        <v>784</v>
      </c>
      <c r="J88" s="528" t="s">
        <v>784</v>
      </c>
      <c r="K88" s="528" t="s">
        <v>785</v>
      </c>
      <c r="L88" s="512"/>
    </row>
    <row r="89" spans="1:12" x14ac:dyDescent="0.35">
      <c r="A89" s="510" t="s">
        <v>786</v>
      </c>
      <c r="B89" s="528" t="s">
        <v>787</v>
      </c>
      <c r="C89" s="528" t="s">
        <v>787</v>
      </c>
      <c r="D89" s="528" t="s">
        <v>787</v>
      </c>
      <c r="E89" s="528" t="s">
        <v>787</v>
      </c>
      <c r="F89" s="528" t="s">
        <v>787</v>
      </c>
      <c r="G89" s="528" t="s">
        <v>787</v>
      </c>
      <c r="H89" s="528" t="s">
        <v>787</v>
      </c>
      <c r="I89" s="528" t="s">
        <v>787</v>
      </c>
      <c r="J89" s="528" t="s">
        <v>787</v>
      </c>
      <c r="K89" s="528" t="s">
        <v>787</v>
      </c>
      <c r="L89" s="512"/>
    </row>
    <row r="90" spans="1:12" ht="13.15" x14ac:dyDescent="0.35">
      <c r="A90" s="517" t="s">
        <v>788</v>
      </c>
      <c r="B90" s="528"/>
      <c r="C90" s="528"/>
      <c r="D90" s="528"/>
      <c r="E90" s="528"/>
      <c r="F90" s="528"/>
      <c r="G90" s="528"/>
      <c r="H90" s="528"/>
      <c r="I90" s="528"/>
      <c r="J90" s="528"/>
      <c r="K90" s="528"/>
      <c r="L90" s="512"/>
    </row>
    <row r="91" spans="1:12" x14ac:dyDescent="0.35">
      <c r="A91" s="510" t="s">
        <v>789</v>
      </c>
      <c r="B91" s="527">
        <v>190231</v>
      </c>
      <c r="C91" s="527">
        <v>217927</v>
      </c>
      <c r="D91" s="527">
        <v>195115</v>
      </c>
      <c r="E91" s="527">
        <v>185618</v>
      </c>
      <c r="F91" s="527">
        <v>231373</v>
      </c>
      <c r="G91" s="527">
        <v>242965</v>
      </c>
      <c r="H91" s="527">
        <v>520263</v>
      </c>
      <c r="I91" s="527">
        <v>588864</v>
      </c>
      <c r="J91" s="527">
        <v>535496</v>
      </c>
      <c r="K91" s="527">
        <v>610226</v>
      </c>
      <c r="L91" s="512"/>
    </row>
    <row r="92" spans="1:12" x14ac:dyDescent="0.35">
      <c r="A92" s="523"/>
      <c r="B92" s="512"/>
      <c r="C92" s="512"/>
      <c r="D92" s="512"/>
      <c r="E92" s="512"/>
      <c r="F92" s="512"/>
      <c r="G92" s="512"/>
      <c r="H92" s="512"/>
      <c r="I92" s="512"/>
      <c r="J92" s="512"/>
      <c r="K92" s="512"/>
      <c r="L92" s="512"/>
    </row>
    <row r="94" spans="1:12" x14ac:dyDescent="0.35">
      <c r="A94" s="513"/>
      <c r="B94" s="513"/>
      <c r="C94" s="513"/>
      <c r="D94" s="513"/>
      <c r="E94" s="512"/>
      <c r="F94" s="512"/>
      <c r="G94" s="512"/>
      <c r="H94" s="512"/>
      <c r="I94" s="512"/>
      <c r="J94" s="512"/>
      <c r="K94" s="512"/>
      <c r="L94" s="512"/>
    </row>
    <row r="95" spans="1:12" ht="17.649999999999999" x14ac:dyDescent="0.5">
      <c r="A95" s="521" t="s">
        <v>790</v>
      </c>
      <c r="B95" s="521"/>
      <c r="C95" s="521"/>
      <c r="D95" s="521"/>
      <c r="E95" s="521"/>
      <c r="F95" s="521"/>
      <c r="G95" s="521"/>
      <c r="H95" s="521"/>
      <c r="I95" s="521"/>
      <c r="J95" s="521"/>
      <c r="K95" s="521"/>
      <c r="L95" s="521"/>
    </row>
    <row r="96" spans="1:12" x14ac:dyDescent="0.35">
      <c r="A96" s="510" t="s">
        <v>729</v>
      </c>
      <c r="B96" s="512"/>
      <c r="C96" s="512"/>
      <c r="D96" s="512"/>
      <c r="E96" s="512"/>
      <c r="F96" s="512"/>
      <c r="G96" s="512"/>
      <c r="H96" s="512"/>
      <c r="I96" s="512"/>
      <c r="J96" s="512"/>
      <c r="K96" s="512"/>
      <c r="L96" s="512"/>
    </row>
    <row r="97" spans="1:12" x14ac:dyDescent="0.35">
      <c r="A97" s="512"/>
      <c r="B97" s="512"/>
      <c r="C97" s="512"/>
      <c r="D97" s="512"/>
      <c r="E97" s="512"/>
      <c r="F97" s="512"/>
      <c r="G97" s="512"/>
      <c r="H97" s="512"/>
      <c r="I97" s="512"/>
      <c r="J97" s="512"/>
      <c r="K97" s="512"/>
      <c r="L97" s="512"/>
    </row>
    <row r="98" spans="1:12" x14ac:dyDescent="0.35">
      <c r="A98" s="510" t="s">
        <v>665</v>
      </c>
      <c r="B98" s="523"/>
      <c r="C98" s="512"/>
      <c r="D98" s="512"/>
      <c r="E98" s="512"/>
      <c r="F98" s="512"/>
      <c r="G98" s="512"/>
      <c r="H98" s="512"/>
      <c r="I98" s="512"/>
      <c r="J98" s="512"/>
      <c r="K98" s="512"/>
      <c r="L98" s="512"/>
    </row>
    <row r="99" spans="1:12" x14ac:dyDescent="0.35">
      <c r="A99" s="510" t="s">
        <v>666</v>
      </c>
      <c r="B99" s="523"/>
      <c r="C99" s="512"/>
      <c r="D99" s="512"/>
      <c r="E99" s="512"/>
      <c r="F99" s="512"/>
      <c r="G99" s="512"/>
      <c r="H99" s="512"/>
      <c r="I99" s="512"/>
      <c r="J99" s="512"/>
      <c r="K99" s="512"/>
      <c r="L99" s="512"/>
    </row>
    <row r="100" spans="1:12" x14ac:dyDescent="0.35">
      <c r="A100" s="510" t="s">
        <v>667</v>
      </c>
      <c r="B100" s="523"/>
      <c r="C100" s="512"/>
      <c r="D100" s="512"/>
      <c r="E100" s="512"/>
      <c r="F100" s="512"/>
      <c r="G100" s="512"/>
      <c r="H100" s="512"/>
      <c r="I100" s="512"/>
      <c r="J100" s="512"/>
      <c r="K100" s="512"/>
      <c r="L100" s="512"/>
    </row>
    <row r="101" spans="1:12" x14ac:dyDescent="0.35">
      <c r="A101" s="510" t="s">
        <v>730</v>
      </c>
      <c r="B101" s="523"/>
      <c r="C101" s="512"/>
      <c r="D101" s="512"/>
      <c r="E101" s="512"/>
      <c r="F101" s="512"/>
      <c r="G101" s="512"/>
      <c r="H101" s="512"/>
      <c r="I101" s="512"/>
      <c r="J101" s="512"/>
      <c r="K101" s="512"/>
      <c r="L101" s="512"/>
    </row>
    <row r="102" spans="1:12" x14ac:dyDescent="0.35">
      <c r="A102" s="510" t="s">
        <v>668</v>
      </c>
      <c r="B102" s="523"/>
      <c r="C102" s="512"/>
      <c r="D102" s="512"/>
      <c r="E102" s="512"/>
      <c r="F102" s="512"/>
      <c r="G102" s="512"/>
      <c r="H102" s="512"/>
      <c r="I102" s="512"/>
      <c r="J102" s="512"/>
      <c r="K102" s="512"/>
      <c r="L102" s="512"/>
    </row>
    <row r="103" spans="1:12" x14ac:dyDescent="0.35">
      <c r="A103" s="510" t="s">
        <v>731</v>
      </c>
      <c r="B103" s="523"/>
      <c r="C103" s="512"/>
      <c r="D103" s="512"/>
      <c r="E103" s="512"/>
      <c r="F103" s="512"/>
      <c r="G103" s="512"/>
      <c r="H103" s="512"/>
      <c r="I103" s="512"/>
      <c r="J103" s="512"/>
      <c r="K103" s="512"/>
      <c r="L103" s="512"/>
    </row>
    <row r="104" spans="1:12" x14ac:dyDescent="0.35">
      <c r="A104" s="510" t="s">
        <v>732</v>
      </c>
      <c r="B104" s="523"/>
      <c r="C104" s="512"/>
      <c r="D104" s="512"/>
      <c r="E104" s="512"/>
      <c r="F104" s="512"/>
      <c r="G104" s="512"/>
      <c r="H104" s="512"/>
      <c r="I104" s="512"/>
      <c r="J104" s="512"/>
      <c r="K104" s="512"/>
      <c r="L104" s="512"/>
    </row>
    <row r="105" spans="1:12" x14ac:dyDescent="0.35">
      <c r="A105" s="526"/>
      <c r="B105" s="526"/>
      <c r="C105" s="526"/>
      <c r="D105" s="526"/>
      <c r="E105" s="526"/>
      <c r="F105" s="526"/>
      <c r="G105" s="526"/>
      <c r="H105" s="526"/>
      <c r="I105" s="526"/>
      <c r="J105" s="526"/>
      <c r="K105" s="526"/>
      <c r="L105" s="512"/>
    </row>
    <row r="106" spans="1:12" x14ac:dyDescent="0.35">
      <c r="A106" s="520" t="s">
        <v>670</v>
      </c>
      <c r="B106" s="519" t="s">
        <v>733</v>
      </c>
      <c r="C106" s="519" t="s">
        <v>720</v>
      </c>
      <c r="D106" s="519" t="s">
        <v>671</v>
      </c>
      <c r="E106" s="519" t="s">
        <v>672</v>
      </c>
      <c r="F106" s="519" t="s">
        <v>673</v>
      </c>
      <c r="G106" s="519" t="s">
        <v>674</v>
      </c>
      <c r="H106" s="519" t="s">
        <v>675</v>
      </c>
      <c r="I106" s="519" t="s">
        <v>676</v>
      </c>
      <c r="J106" s="519" t="s">
        <v>677</v>
      </c>
      <c r="K106" s="519" t="s">
        <v>734</v>
      </c>
      <c r="L106" s="512"/>
    </row>
    <row r="107" spans="1:12" ht="25.5" x14ac:dyDescent="0.35">
      <c r="A107" s="510" t="s">
        <v>73</v>
      </c>
      <c r="B107" s="528" t="s">
        <v>735</v>
      </c>
      <c r="C107" s="528" t="s">
        <v>735</v>
      </c>
      <c r="D107" s="528" t="s">
        <v>735</v>
      </c>
      <c r="E107" s="528" t="s">
        <v>735</v>
      </c>
      <c r="F107" s="528" t="s">
        <v>735</v>
      </c>
      <c r="G107" s="528" t="s">
        <v>735</v>
      </c>
      <c r="H107" s="528" t="s">
        <v>735</v>
      </c>
      <c r="I107" s="528" t="s">
        <v>735</v>
      </c>
      <c r="J107" s="528" t="s">
        <v>735</v>
      </c>
      <c r="K107" s="528" t="s">
        <v>735</v>
      </c>
      <c r="L107" s="512"/>
    </row>
    <row r="108" spans="1:12" x14ac:dyDescent="0.35">
      <c r="A108" s="510" t="s">
        <v>678</v>
      </c>
      <c r="B108" s="528" t="s">
        <v>736</v>
      </c>
      <c r="C108" s="528" t="s">
        <v>737</v>
      </c>
      <c r="D108" s="528" t="s">
        <v>679</v>
      </c>
      <c r="E108" s="528" t="s">
        <v>680</v>
      </c>
      <c r="F108" s="528" t="s">
        <v>681</v>
      </c>
      <c r="G108" s="528" t="s">
        <v>682</v>
      </c>
      <c r="H108" s="528" t="s">
        <v>683</v>
      </c>
      <c r="I108" s="528" t="s">
        <v>684</v>
      </c>
      <c r="J108" s="528" t="s">
        <v>685</v>
      </c>
      <c r="K108" s="528" t="s">
        <v>738</v>
      </c>
      <c r="L108" s="512"/>
    </row>
    <row r="109" spans="1:12" x14ac:dyDescent="0.35">
      <c r="A109" s="510" t="s">
        <v>739</v>
      </c>
      <c r="B109" s="530">
        <v>43254</v>
      </c>
      <c r="C109" s="530">
        <v>43588</v>
      </c>
      <c r="D109" s="530">
        <v>43893</v>
      </c>
      <c r="E109" s="528" t="s">
        <v>740</v>
      </c>
      <c r="F109" s="528" t="s">
        <v>741</v>
      </c>
      <c r="G109" s="528" t="s">
        <v>742</v>
      </c>
      <c r="H109" s="528" t="s">
        <v>743</v>
      </c>
      <c r="I109" s="528" t="s">
        <v>744</v>
      </c>
      <c r="J109" s="528" t="s">
        <v>744</v>
      </c>
      <c r="K109" s="528" t="s">
        <v>744</v>
      </c>
      <c r="L109" s="512"/>
    </row>
    <row r="110" spans="1:12" x14ac:dyDescent="0.35">
      <c r="A110" s="510" t="s">
        <v>745</v>
      </c>
      <c r="B110" s="528">
        <v>0.92069999999999996</v>
      </c>
      <c r="C110" s="528">
        <v>0.94820000000000004</v>
      </c>
      <c r="D110" s="528">
        <v>0.83279999999999998</v>
      </c>
      <c r="E110" s="528">
        <v>0.87339999999999995</v>
      </c>
      <c r="F110" s="528">
        <v>0.8911</v>
      </c>
      <c r="G110" s="528">
        <v>0.8175</v>
      </c>
      <c r="H110" s="528">
        <v>0.87929999999999997</v>
      </c>
      <c r="I110" s="528">
        <v>0.93569999999999998</v>
      </c>
      <c r="J110" s="528">
        <v>0.90469999999999995</v>
      </c>
      <c r="K110" s="528">
        <v>0.96589999999999998</v>
      </c>
      <c r="L110" s="512"/>
    </row>
    <row r="111" spans="1:12" x14ac:dyDescent="0.35">
      <c r="A111" s="510" t="s">
        <v>746</v>
      </c>
      <c r="B111" s="528">
        <v>0.90156899999999995</v>
      </c>
      <c r="C111" s="528">
        <v>0.90425999999999995</v>
      </c>
      <c r="D111" s="528">
        <v>0.88688500000000003</v>
      </c>
      <c r="E111" s="528">
        <v>0.84757199999999999</v>
      </c>
      <c r="F111" s="528">
        <v>0.89333399999999996</v>
      </c>
      <c r="G111" s="528">
        <v>0.87713099999999999</v>
      </c>
      <c r="H111" s="528">
        <v>0.84595600000000004</v>
      </c>
      <c r="I111" s="528">
        <v>0.95131500000000002</v>
      </c>
      <c r="J111" s="528">
        <v>0.92486299999999999</v>
      </c>
      <c r="K111" s="528">
        <v>0.92458499999999999</v>
      </c>
      <c r="L111" s="512"/>
    </row>
    <row r="112" spans="1:12" x14ac:dyDescent="0.35">
      <c r="A112" s="510" t="s">
        <v>73</v>
      </c>
      <c r="B112" s="528"/>
      <c r="C112" s="528"/>
      <c r="D112" s="528"/>
      <c r="E112" s="528"/>
      <c r="F112" s="528"/>
      <c r="G112" s="528"/>
      <c r="H112" s="528"/>
      <c r="I112" s="528"/>
      <c r="J112" s="528"/>
      <c r="K112" s="528"/>
      <c r="L112" s="512"/>
    </row>
    <row r="113" spans="1:12" ht="13.15" x14ac:dyDescent="0.35">
      <c r="A113" s="517" t="s">
        <v>791</v>
      </c>
      <c r="B113" s="528"/>
      <c r="C113" s="528"/>
      <c r="D113" s="528"/>
      <c r="E113" s="528"/>
      <c r="F113" s="528"/>
      <c r="G113" s="528"/>
      <c r="H113" s="528"/>
      <c r="I113" s="528"/>
      <c r="J113" s="528"/>
      <c r="K113" s="528"/>
      <c r="L113" s="512"/>
    </row>
    <row r="114" spans="1:12" x14ac:dyDescent="0.35">
      <c r="A114" s="510" t="s">
        <v>792</v>
      </c>
      <c r="B114" s="527">
        <v>2546933</v>
      </c>
      <c r="C114" s="527">
        <v>3164006</v>
      </c>
      <c r="D114" s="527">
        <v>2661541</v>
      </c>
      <c r="E114" s="527">
        <v>1826519</v>
      </c>
      <c r="F114" s="527">
        <v>1192601</v>
      </c>
      <c r="G114" s="527">
        <v>2803309</v>
      </c>
      <c r="H114" s="527">
        <v>94747</v>
      </c>
      <c r="I114" s="527">
        <v>3127922</v>
      </c>
      <c r="J114" s="527">
        <v>5507562</v>
      </c>
      <c r="K114" s="527">
        <v>6504456</v>
      </c>
      <c r="L114" s="512"/>
    </row>
    <row r="115" spans="1:12" x14ac:dyDescent="0.35">
      <c r="A115" s="510" t="s">
        <v>556</v>
      </c>
      <c r="B115" s="527">
        <v>562579</v>
      </c>
      <c r="C115" s="527">
        <v>510907</v>
      </c>
      <c r="D115" s="527">
        <v>509959</v>
      </c>
      <c r="E115" s="527">
        <v>547532</v>
      </c>
      <c r="F115" s="527">
        <v>762907</v>
      </c>
      <c r="G115" s="527">
        <v>792926</v>
      </c>
      <c r="H115" s="527">
        <v>811271</v>
      </c>
      <c r="I115" s="527">
        <v>1044543</v>
      </c>
      <c r="J115" s="527">
        <v>929488</v>
      </c>
      <c r="K115" s="527">
        <v>1055876</v>
      </c>
      <c r="L115" s="512"/>
    </row>
    <row r="116" spans="1:12" x14ac:dyDescent="0.35">
      <c r="A116" s="510" t="s">
        <v>560</v>
      </c>
      <c r="B116" s="527">
        <v>1705769</v>
      </c>
      <c r="C116" s="527">
        <v>1461284</v>
      </c>
      <c r="D116" s="527">
        <v>1547614</v>
      </c>
      <c r="E116" s="527">
        <v>1767188</v>
      </c>
      <c r="F116" s="527">
        <v>1661601</v>
      </c>
      <c r="G116" s="527">
        <v>1693739</v>
      </c>
      <c r="H116" s="527">
        <v>2605543</v>
      </c>
      <c r="I116" s="527">
        <v>3881364</v>
      </c>
      <c r="J116" s="527">
        <v>3557025</v>
      </c>
      <c r="K116" s="527">
        <v>3549482</v>
      </c>
      <c r="L116" s="512"/>
    </row>
    <row r="117" spans="1:12" x14ac:dyDescent="0.35">
      <c r="A117" s="510" t="s">
        <v>793</v>
      </c>
      <c r="B117" s="527">
        <v>2268348</v>
      </c>
      <c r="C117" s="527">
        <v>1972191</v>
      </c>
      <c r="D117" s="527">
        <v>2057572</v>
      </c>
      <c r="E117" s="527">
        <v>2314720</v>
      </c>
      <c r="F117" s="527">
        <v>2424508</v>
      </c>
      <c r="G117" s="527">
        <v>2486665</v>
      </c>
      <c r="H117" s="527">
        <v>3416814</v>
      </c>
      <c r="I117" s="527">
        <v>4925907</v>
      </c>
      <c r="J117" s="527">
        <v>4486513</v>
      </c>
      <c r="K117" s="527">
        <v>4605358</v>
      </c>
      <c r="L117" s="512"/>
    </row>
    <row r="118" spans="1:12" x14ac:dyDescent="0.35">
      <c r="A118" s="510" t="s">
        <v>561</v>
      </c>
      <c r="B118" s="527">
        <v>96468</v>
      </c>
      <c r="C118" s="527">
        <v>76862</v>
      </c>
      <c r="D118" s="527">
        <v>74498</v>
      </c>
      <c r="E118" s="527">
        <v>67806</v>
      </c>
      <c r="F118" s="527">
        <v>60747</v>
      </c>
      <c r="G118" s="527">
        <v>53505</v>
      </c>
      <c r="H118" s="527">
        <v>263092</v>
      </c>
      <c r="I118" s="527">
        <v>277784</v>
      </c>
      <c r="J118" s="527">
        <v>258962</v>
      </c>
      <c r="K118" s="527">
        <v>184917</v>
      </c>
      <c r="L118" s="512"/>
    </row>
    <row r="119" spans="1:12" x14ac:dyDescent="0.35">
      <c r="A119" s="510" t="s">
        <v>562</v>
      </c>
      <c r="B119" s="527">
        <v>-943042</v>
      </c>
      <c r="C119" s="527">
        <v>-1202666</v>
      </c>
      <c r="D119" s="527">
        <v>-1367576</v>
      </c>
      <c r="E119" s="527">
        <v>-1590893</v>
      </c>
      <c r="F119" s="527">
        <v>-1110414</v>
      </c>
      <c r="G119" s="527">
        <v>-925373</v>
      </c>
      <c r="H119" s="527">
        <v>-430591</v>
      </c>
      <c r="I119" s="527">
        <v>-205484</v>
      </c>
      <c r="J119" s="527">
        <v>-270060</v>
      </c>
      <c r="K119" s="527">
        <v>-55475</v>
      </c>
      <c r="L119" s="512"/>
    </row>
    <row r="120" spans="1:12" x14ac:dyDescent="0.35">
      <c r="A120" s="510" t="s">
        <v>563</v>
      </c>
      <c r="B120" s="528" t="s">
        <v>690</v>
      </c>
      <c r="C120" s="528" t="s">
        <v>690</v>
      </c>
      <c r="D120" s="527">
        <v>-142788</v>
      </c>
      <c r="E120" s="528" t="s">
        <v>690</v>
      </c>
      <c r="F120" s="528" t="s">
        <v>690</v>
      </c>
      <c r="G120" s="528" t="s">
        <v>690</v>
      </c>
      <c r="H120" s="527">
        <v>-656462</v>
      </c>
      <c r="I120" s="528" t="s">
        <v>690</v>
      </c>
      <c r="J120" s="528" t="s">
        <v>690</v>
      </c>
      <c r="K120" s="528" t="s">
        <v>690</v>
      </c>
      <c r="L120" s="512"/>
    </row>
    <row r="121" spans="1:12" x14ac:dyDescent="0.35">
      <c r="A121" s="510" t="s">
        <v>564</v>
      </c>
      <c r="B121" s="527">
        <v>206459</v>
      </c>
      <c r="C121" s="527">
        <v>82288</v>
      </c>
      <c r="D121" s="527">
        <v>560511</v>
      </c>
      <c r="E121" s="527">
        <v>798413</v>
      </c>
      <c r="F121" s="527">
        <v>875467</v>
      </c>
      <c r="G121" s="527">
        <v>221914</v>
      </c>
      <c r="H121" s="527">
        <v>2053980</v>
      </c>
      <c r="I121" s="527">
        <v>214997</v>
      </c>
      <c r="J121" s="527">
        <v>421738</v>
      </c>
      <c r="K121" s="527">
        <v>1500602</v>
      </c>
      <c r="L121" s="512"/>
    </row>
    <row r="122" spans="1:12" x14ac:dyDescent="0.35">
      <c r="A122" s="510" t="s">
        <v>565</v>
      </c>
      <c r="B122" s="527">
        <v>14425</v>
      </c>
      <c r="C122" s="527">
        <v>29841</v>
      </c>
      <c r="D122" s="527">
        <v>48779</v>
      </c>
      <c r="E122" s="527">
        <v>95776</v>
      </c>
      <c r="F122" s="527">
        <v>103627</v>
      </c>
      <c r="G122" s="527">
        <v>23683</v>
      </c>
      <c r="H122" s="527">
        <v>54141</v>
      </c>
      <c r="I122" s="527">
        <v>4757</v>
      </c>
      <c r="J122" s="527">
        <v>11098</v>
      </c>
      <c r="K122" s="527">
        <v>25888</v>
      </c>
      <c r="L122" s="512"/>
    </row>
    <row r="123" spans="1:12" x14ac:dyDescent="0.35">
      <c r="A123" s="510" t="s">
        <v>566</v>
      </c>
      <c r="B123" s="527">
        <v>-118106</v>
      </c>
      <c r="C123" s="527">
        <v>-36170</v>
      </c>
      <c r="D123" s="527">
        <v>-30154</v>
      </c>
      <c r="E123" s="527">
        <v>5933</v>
      </c>
      <c r="F123" s="527">
        <v>-57173</v>
      </c>
      <c r="G123" s="527">
        <v>-63153</v>
      </c>
      <c r="H123" s="527">
        <v>38068</v>
      </c>
      <c r="I123" s="527">
        <v>25685</v>
      </c>
      <c r="J123" s="527">
        <v>-65665</v>
      </c>
      <c r="K123" s="527">
        <v>38833</v>
      </c>
      <c r="L123" s="512"/>
    </row>
    <row r="124" spans="1:12" x14ac:dyDescent="0.35">
      <c r="A124" s="510" t="s">
        <v>567</v>
      </c>
      <c r="B124" s="527">
        <v>-1030494</v>
      </c>
      <c r="C124" s="527">
        <v>-1175538</v>
      </c>
      <c r="D124" s="527">
        <v>-644765</v>
      </c>
      <c r="E124" s="527">
        <v>-757730</v>
      </c>
      <c r="F124" s="527">
        <v>-527960</v>
      </c>
      <c r="G124" s="527">
        <v>-707844</v>
      </c>
      <c r="H124" s="527">
        <v>-1499033</v>
      </c>
      <c r="I124" s="527">
        <v>-2615164</v>
      </c>
      <c r="J124" s="527">
        <v>-1059894</v>
      </c>
      <c r="K124" s="527">
        <v>-1012421</v>
      </c>
      <c r="L124" s="512"/>
    </row>
    <row r="125" spans="1:12" x14ac:dyDescent="0.35">
      <c r="A125" s="510" t="s">
        <v>568</v>
      </c>
      <c r="B125" s="527">
        <v>137039</v>
      </c>
      <c r="C125" s="527">
        <v>1455859</v>
      </c>
      <c r="D125" s="527">
        <v>73611</v>
      </c>
      <c r="E125" s="527">
        <v>-443280</v>
      </c>
      <c r="F125" s="527">
        <v>-802214</v>
      </c>
      <c r="G125" s="527">
        <v>-648199</v>
      </c>
      <c r="H125" s="527">
        <v>-812963</v>
      </c>
      <c r="I125" s="527">
        <v>-1283323</v>
      </c>
      <c r="J125" s="527">
        <v>-1317930</v>
      </c>
      <c r="K125" s="527">
        <v>-1501526</v>
      </c>
      <c r="L125" s="512"/>
    </row>
    <row r="126" spans="1:12" x14ac:dyDescent="0.35">
      <c r="A126" s="510" t="s">
        <v>569</v>
      </c>
      <c r="B126" s="527">
        <v>-283994</v>
      </c>
      <c r="C126" s="527">
        <v>-310161</v>
      </c>
      <c r="D126" s="527">
        <v>-486013</v>
      </c>
      <c r="E126" s="527">
        <v>-11018</v>
      </c>
      <c r="F126" s="527">
        <v>-282293</v>
      </c>
      <c r="G126" s="527">
        <v>-544698</v>
      </c>
      <c r="H126" s="527">
        <v>1334072</v>
      </c>
      <c r="I126" s="527">
        <v>3749131</v>
      </c>
      <c r="J126" s="527">
        <v>-618734</v>
      </c>
      <c r="K126" s="527">
        <v>-121121</v>
      </c>
      <c r="L126" s="512"/>
    </row>
    <row r="127" spans="1:12" x14ac:dyDescent="0.35">
      <c r="A127" s="510" t="s">
        <v>570</v>
      </c>
      <c r="B127" s="527">
        <v>102779</v>
      </c>
      <c r="C127" s="527">
        <v>-308353</v>
      </c>
      <c r="D127" s="527">
        <v>368057</v>
      </c>
      <c r="E127" s="527">
        <v>-87300</v>
      </c>
      <c r="F127" s="527">
        <v>775414</v>
      </c>
      <c r="G127" s="527">
        <v>1509542</v>
      </c>
      <c r="H127" s="527">
        <v>1188568</v>
      </c>
      <c r="I127" s="527">
        <v>1108282</v>
      </c>
      <c r="J127" s="527">
        <v>2214123</v>
      </c>
      <c r="K127" s="527">
        <v>796992</v>
      </c>
      <c r="L127" s="512"/>
    </row>
    <row r="128" spans="1:12" x14ac:dyDescent="0.35">
      <c r="A128" s="510" t="s">
        <v>794</v>
      </c>
      <c r="B128" s="527">
        <v>2996817</v>
      </c>
      <c r="C128" s="527">
        <v>3748158</v>
      </c>
      <c r="D128" s="527">
        <v>3173273</v>
      </c>
      <c r="E128" s="527">
        <v>2218945</v>
      </c>
      <c r="F128" s="527">
        <v>2652308</v>
      </c>
      <c r="G128" s="527">
        <v>4209349</v>
      </c>
      <c r="H128" s="527">
        <v>5044433</v>
      </c>
      <c r="I128" s="527">
        <v>9330494</v>
      </c>
      <c r="J128" s="527">
        <v>9567713</v>
      </c>
      <c r="K128" s="527">
        <v>10966504</v>
      </c>
      <c r="L128" s="512"/>
    </row>
    <row r="129" spans="1:12" ht="13.15" x14ac:dyDescent="0.35">
      <c r="A129" s="517" t="s">
        <v>795</v>
      </c>
      <c r="B129" s="528"/>
      <c r="C129" s="528"/>
      <c r="D129" s="528"/>
      <c r="E129" s="528"/>
      <c r="F129" s="528"/>
      <c r="G129" s="528"/>
      <c r="H129" s="528"/>
      <c r="I129" s="528"/>
      <c r="J129" s="528"/>
      <c r="K129" s="528"/>
      <c r="L129" s="512"/>
    </row>
    <row r="130" spans="1:12" x14ac:dyDescent="0.35">
      <c r="A130" s="510" t="s">
        <v>571</v>
      </c>
      <c r="B130" s="527">
        <v>-1197284</v>
      </c>
      <c r="C130" s="527">
        <v>-1307560</v>
      </c>
      <c r="D130" s="527">
        <v>-1176009</v>
      </c>
      <c r="E130" s="527">
        <v>-884018</v>
      </c>
      <c r="F130" s="527">
        <v>-874574</v>
      </c>
      <c r="G130" s="527">
        <v>-842922</v>
      </c>
      <c r="H130" s="527">
        <v>-922938</v>
      </c>
      <c r="I130" s="527">
        <v>-1037884</v>
      </c>
      <c r="J130" s="527">
        <v>-1258739</v>
      </c>
      <c r="K130" s="527">
        <v>-1778902</v>
      </c>
      <c r="L130" s="512"/>
    </row>
    <row r="131" spans="1:12" x14ac:dyDescent="0.35">
      <c r="A131" s="510" t="s">
        <v>572</v>
      </c>
      <c r="B131" s="527">
        <v>42374</v>
      </c>
      <c r="C131" s="527">
        <v>74149</v>
      </c>
      <c r="D131" s="527">
        <v>73611</v>
      </c>
      <c r="E131" s="527">
        <v>10171</v>
      </c>
      <c r="F131" s="527">
        <v>33053</v>
      </c>
      <c r="G131" s="527">
        <v>92976</v>
      </c>
      <c r="H131" s="527">
        <v>10997</v>
      </c>
      <c r="I131" s="527">
        <v>268271</v>
      </c>
      <c r="J131" s="527">
        <v>122082</v>
      </c>
      <c r="K131" s="527">
        <v>50852</v>
      </c>
      <c r="L131" s="512"/>
    </row>
    <row r="132" spans="1:12" x14ac:dyDescent="0.35">
      <c r="A132" s="510" t="s">
        <v>573</v>
      </c>
      <c r="B132" s="527">
        <v>-2727247</v>
      </c>
      <c r="C132" s="527">
        <v>-2595227</v>
      </c>
      <c r="D132" s="527">
        <v>-1670891</v>
      </c>
      <c r="E132" s="527">
        <v>-295803</v>
      </c>
      <c r="F132" s="527">
        <v>-633374</v>
      </c>
      <c r="G132" s="527">
        <v>-721001</v>
      </c>
      <c r="H132" s="527">
        <v>-8558532</v>
      </c>
      <c r="I132" s="527">
        <v>-984611</v>
      </c>
      <c r="J132" s="527">
        <v>-1016425</v>
      </c>
      <c r="K132" s="527">
        <v>-3496781</v>
      </c>
      <c r="L132" s="512"/>
    </row>
    <row r="133" spans="1:12" x14ac:dyDescent="0.35">
      <c r="A133" s="510" t="s">
        <v>574</v>
      </c>
      <c r="B133" s="527">
        <v>-297518</v>
      </c>
      <c r="C133" s="527">
        <v>505481</v>
      </c>
      <c r="D133" s="527">
        <v>959609</v>
      </c>
      <c r="E133" s="527">
        <v>1703621</v>
      </c>
      <c r="F133" s="527">
        <v>531534</v>
      </c>
      <c r="G133" s="527">
        <v>-608729</v>
      </c>
      <c r="H133" s="527">
        <v>-441589</v>
      </c>
      <c r="I133" s="527">
        <v>-982708</v>
      </c>
      <c r="J133" s="527">
        <v>-1966260</v>
      </c>
      <c r="K133" s="527">
        <v>-2347522</v>
      </c>
      <c r="L133" s="512"/>
    </row>
    <row r="134" spans="1:12" x14ac:dyDescent="0.35">
      <c r="A134" s="510" t="s">
        <v>575</v>
      </c>
      <c r="B134" s="527">
        <v>247030</v>
      </c>
      <c r="C134" s="527">
        <v>-392449</v>
      </c>
      <c r="D134" s="527">
        <v>-396437</v>
      </c>
      <c r="E134" s="527">
        <v>118660</v>
      </c>
      <c r="F134" s="527">
        <v>111667</v>
      </c>
      <c r="G134" s="527">
        <v>1753384</v>
      </c>
      <c r="H134" s="527">
        <v>511803</v>
      </c>
      <c r="I134" s="527">
        <v>-136038</v>
      </c>
      <c r="J134" s="527">
        <v>-80463</v>
      </c>
      <c r="K134" s="527">
        <v>-122970</v>
      </c>
      <c r="L134" s="512"/>
    </row>
    <row r="135" spans="1:12" x14ac:dyDescent="0.35">
      <c r="A135" s="510" t="s">
        <v>576</v>
      </c>
      <c r="B135" s="527">
        <v>110893</v>
      </c>
      <c r="C135" s="527">
        <v>126596</v>
      </c>
      <c r="D135" s="527">
        <v>145449</v>
      </c>
      <c r="E135" s="527">
        <v>163581</v>
      </c>
      <c r="F135" s="527">
        <v>244773</v>
      </c>
      <c r="G135" s="527">
        <v>76310</v>
      </c>
      <c r="H135" s="527">
        <v>45682</v>
      </c>
      <c r="I135" s="527">
        <v>57079</v>
      </c>
      <c r="J135" s="527">
        <v>441160</v>
      </c>
      <c r="K135" s="527">
        <v>317133</v>
      </c>
      <c r="L135" s="512"/>
    </row>
    <row r="136" spans="1:12" x14ac:dyDescent="0.35">
      <c r="A136" s="510" t="s">
        <v>796</v>
      </c>
      <c r="B136" s="527">
        <v>-3821752</v>
      </c>
      <c r="C136" s="527">
        <v>-3589009</v>
      </c>
      <c r="D136" s="527">
        <v>-2064667</v>
      </c>
      <c r="E136" s="527">
        <v>816212</v>
      </c>
      <c r="F136" s="527">
        <v>-586920</v>
      </c>
      <c r="G136" s="527">
        <v>-249982</v>
      </c>
      <c r="H136" s="527">
        <v>-9354577</v>
      </c>
      <c r="I136" s="527">
        <v>-2815891</v>
      </c>
      <c r="J136" s="527">
        <v>-3758645</v>
      </c>
      <c r="K136" s="527">
        <v>-7378189</v>
      </c>
      <c r="L136" s="512"/>
    </row>
    <row r="137" spans="1:12" ht="13.15" x14ac:dyDescent="0.35">
      <c r="A137" s="517" t="s">
        <v>797</v>
      </c>
      <c r="B137" s="528"/>
      <c r="C137" s="528"/>
      <c r="D137" s="528"/>
      <c r="E137" s="528"/>
      <c r="F137" s="528"/>
      <c r="G137" s="528"/>
      <c r="H137" s="528"/>
      <c r="I137" s="528"/>
      <c r="J137" s="528"/>
      <c r="K137" s="528"/>
      <c r="L137" s="512"/>
    </row>
    <row r="138" spans="1:12" x14ac:dyDescent="0.35">
      <c r="A138" s="510" t="s">
        <v>577</v>
      </c>
      <c r="B138" s="528" t="s">
        <v>690</v>
      </c>
      <c r="C138" s="528" t="s">
        <v>690</v>
      </c>
      <c r="D138" s="527">
        <v>297993</v>
      </c>
      <c r="E138" s="528" t="s">
        <v>690</v>
      </c>
      <c r="F138" s="528" t="s">
        <v>690</v>
      </c>
      <c r="G138" s="527">
        <v>252614</v>
      </c>
      <c r="H138" s="528" t="s">
        <v>690</v>
      </c>
      <c r="I138" s="527">
        <v>70397</v>
      </c>
      <c r="J138" s="527">
        <v>148903</v>
      </c>
      <c r="K138" s="528" t="s">
        <v>690</v>
      </c>
      <c r="L138" s="512"/>
    </row>
    <row r="139" spans="1:12" x14ac:dyDescent="0.35">
      <c r="A139" s="510" t="s">
        <v>578</v>
      </c>
      <c r="B139" s="527">
        <v>5344503</v>
      </c>
      <c r="C139" s="527">
        <v>2252512</v>
      </c>
      <c r="D139" s="527">
        <v>1763127</v>
      </c>
      <c r="E139" s="527">
        <v>2518138</v>
      </c>
      <c r="F139" s="527">
        <v>446667</v>
      </c>
      <c r="G139" s="527">
        <v>2603323</v>
      </c>
      <c r="H139" s="527">
        <v>10937359</v>
      </c>
      <c r="I139" s="528" t="s">
        <v>690</v>
      </c>
      <c r="J139" s="527">
        <v>3529279</v>
      </c>
      <c r="K139" s="527">
        <v>6002407</v>
      </c>
      <c r="L139" s="512"/>
    </row>
    <row r="140" spans="1:12" x14ac:dyDescent="0.35">
      <c r="A140" s="510" t="s">
        <v>798</v>
      </c>
      <c r="B140" s="527">
        <v>5344503</v>
      </c>
      <c r="C140" s="527">
        <v>2252512</v>
      </c>
      <c r="D140" s="527">
        <v>2061120</v>
      </c>
      <c r="E140" s="527">
        <v>2518138</v>
      </c>
      <c r="F140" s="527">
        <v>446667</v>
      </c>
      <c r="G140" s="527">
        <v>2855937</v>
      </c>
      <c r="H140" s="527">
        <v>10937359</v>
      </c>
      <c r="I140" s="527">
        <v>70397</v>
      </c>
      <c r="J140" s="527">
        <v>3678182</v>
      </c>
      <c r="K140" s="527">
        <v>6002407</v>
      </c>
      <c r="L140" s="512"/>
    </row>
    <row r="141" spans="1:12" x14ac:dyDescent="0.35">
      <c r="A141" s="510" t="s">
        <v>579</v>
      </c>
      <c r="B141" s="527">
        <v>-567989</v>
      </c>
      <c r="C141" s="527">
        <v>-273991</v>
      </c>
      <c r="D141" s="528" t="s">
        <v>690</v>
      </c>
      <c r="E141" s="527">
        <v>-83062</v>
      </c>
      <c r="F141" s="527">
        <v>-460960</v>
      </c>
      <c r="G141" s="528" t="s">
        <v>690</v>
      </c>
      <c r="H141" s="527">
        <v>-233484</v>
      </c>
      <c r="I141" s="528" t="s">
        <v>690</v>
      </c>
      <c r="J141" s="528" t="s">
        <v>690</v>
      </c>
      <c r="K141" s="527">
        <v>-28662</v>
      </c>
      <c r="L141" s="512"/>
    </row>
    <row r="142" spans="1:12" x14ac:dyDescent="0.35">
      <c r="A142" s="510" t="s">
        <v>580</v>
      </c>
      <c r="B142" s="527">
        <v>-834853</v>
      </c>
      <c r="C142" s="527">
        <v>-14468</v>
      </c>
      <c r="D142" s="527">
        <v>-1564464</v>
      </c>
      <c r="E142" s="527">
        <v>-1186601</v>
      </c>
      <c r="F142" s="527">
        <v>-1506161</v>
      </c>
      <c r="G142" s="527">
        <v>-1592869</v>
      </c>
      <c r="H142" s="527">
        <v>-4228932</v>
      </c>
      <c r="I142" s="527">
        <v>-1441242</v>
      </c>
      <c r="J142" s="527">
        <v>-4818539</v>
      </c>
      <c r="K142" s="527">
        <v>-4593339</v>
      </c>
      <c r="L142" s="512"/>
    </row>
    <row r="143" spans="1:12" x14ac:dyDescent="0.35">
      <c r="A143" s="510" t="s">
        <v>799</v>
      </c>
      <c r="B143" s="527">
        <v>-1402842</v>
      </c>
      <c r="C143" s="527">
        <v>-288459</v>
      </c>
      <c r="D143" s="527">
        <v>-1564464</v>
      </c>
      <c r="E143" s="527">
        <v>-1269663</v>
      </c>
      <c r="F143" s="527">
        <v>-1967121</v>
      </c>
      <c r="G143" s="527">
        <v>-1592869</v>
      </c>
      <c r="H143" s="527">
        <v>-4462416</v>
      </c>
      <c r="I143" s="527">
        <v>-1441242</v>
      </c>
      <c r="J143" s="527">
        <v>-4818539</v>
      </c>
      <c r="K143" s="527">
        <v>-4622001</v>
      </c>
      <c r="L143" s="512"/>
    </row>
    <row r="144" spans="1:12" x14ac:dyDescent="0.35">
      <c r="A144" s="510" t="s">
        <v>581</v>
      </c>
      <c r="B144" s="527">
        <v>38767</v>
      </c>
      <c r="C144" s="527">
        <v>42500</v>
      </c>
      <c r="D144" s="527">
        <v>38136</v>
      </c>
      <c r="E144" s="527">
        <v>28817</v>
      </c>
      <c r="F144" s="527">
        <v>3149001</v>
      </c>
      <c r="G144" s="527">
        <v>26314</v>
      </c>
      <c r="H144" s="527">
        <v>24533</v>
      </c>
      <c r="I144" s="527">
        <v>27588</v>
      </c>
      <c r="J144" s="527">
        <v>30520</v>
      </c>
      <c r="K144" s="527">
        <v>35134</v>
      </c>
      <c r="L144" s="512"/>
    </row>
    <row r="145" spans="1:12" x14ac:dyDescent="0.35">
      <c r="A145" s="510" t="s">
        <v>582</v>
      </c>
      <c r="B145" s="528" t="s">
        <v>690</v>
      </c>
      <c r="C145" s="528" t="s">
        <v>690</v>
      </c>
      <c r="D145" s="528" t="s">
        <v>690</v>
      </c>
      <c r="E145" s="528" t="s">
        <v>690</v>
      </c>
      <c r="F145" s="528" t="s">
        <v>690</v>
      </c>
      <c r="G145" s="528" t="s">
        <v>690</v>
      </c>
      <c r="H145" s="528" t="s">
        <v>690</v>
      </c>
      <c r="I145" s="528" t="s">
        <v>690</v>
      </c>
      <c r="J145" s="528" t="s">
        <v>690</v>
      </c>
      <c r="K145" s="527">
        <v>-74891</v>
      </c>
      <c r="L145" s="512"/>
    </row>
    <row r="146" spans="1:12" x14ac:dyDescent="0.35">
      <c r="A146" s="510" t="s">
        <v>583</v>
      </c>
      <c r="B146" s="527">
        <v>-3142871</v>
      </c>
      <c r="C146" s="527">
        <v>-3220070</v>
      </c>
      <c r="D146" s="527">
        <v>-3120947</v>
      </c>
      <c r="E146" s="527">
        <v>-2952942</v>
      </c>
      <c r="F146" s="527">
        <v>-3208855</v>
      </c>
      <c r="G146" s="527">
        <v>-3133110</v>
      </c>
      <c r="H146" s="527">
        <v>-3262005</v>
      </c>
      <c r="I146" s="527">
        <v>-4267597</v>
      </c>
      <c r="J146" s="527">
        <v>-4153562</v>
      </c>
      <c r="K146" s="527">
        <v>-4258639</v>
      </c>
      <c r="L146" s="512"/>
    </row>
    <row r="147" spans="1:12" x14ac:dyDescent="0.35">
      <c r="A147" s="510" t="s">
        <v>800</v>
      </c>
      <c r="B147" s="527">
        <v>-3142871</v>
      </c>
      <c r="C147" s="527">
        <v>-3220070</v>
      </c>
      <c r="D147" s="527">
        <v>-3120947</v>
      </c>
      <c r="E147" s="527">
        <v>-2952942</v>
      </c>
      <c r="F147" s="527">
        <v>-3208855</v>
      </c>
      <c r="G147" s="527">
        <v>-3133110</v>
      </c>
      <c r="H147" s="527">
        <v>-3262005</v>
      </c>
      <c r="I147" s="527">
        <v>-4267597</v>
      </c>
      <c r="J147" s="527">
        <v>-4153562</v>
      </c>
      <c r="K147" s="527">
        <v>-4258639</v>
      </c>
      <c r="L147" s="512"/>
    </row>
    <row r="148" spans="1:12" x14ac:dyDescent="0.35">
      <c r="A148" s="510" t="s">
        <v>584</v>
      </c>
      <c r="B148" s="527">
        <v>-45980</v>
      </c>
      <c r="C148" s="527">
        <v>16277</v>
      </c>
      <c r="D148" s="527">
        <v>-17738</v>
      </c>
      <c r="E148" s="527">
        <v>-56787</v>
      </c>
      <c r="F148" s="527">
        <v>3573</v>
      </c>
      <c r="G148" s="527">
        <v>-88590</v>
      </c>
      <c r="H148" s="527">
        <v>-150580</v>
      </c>
      <c r="I148" s="527">
        <v>-879966</v>
      </c>
      <c r="J148" s="527">
        <v>-810180</v>
      </c>
      <c r="K148" s="527">
        <v>-776651</v>
      </c>
      <c r="L148" s="512"/>
    </row>
    <row r="149" spans="1:12" x14ac:dyDescent="0.35">
      <c r="A149" s="510" t="s">
        <v>801</v>
      </c>
      <c r="B149" s="527">
        <v>791578</v>
      </c>
      <c r="C149" s="527">
        <v>-1197240</v>
      </c>
      <c r="D149" s="527">
        <v>-2603893</v>
      </c>
      <c r="E149" s="527">
        <v>-1732438</v>
      </c>
      <c r="F149" s="527">
        <v>-1576734</v>
      </c>
      <c r="G149" s="527">
        <v>-1932319</v>
      </c>
      <c r="H149" s="527">
        <v>3086892</v>
      </c>
      <c r="I149" s="527">
        <v>-6490820</v>
      </c>
      <c r="J149" s="527">
        <v>-6073578</v>
      </c>
      <c r="K149" s="527">
        <v>-3694642</v>
      </c>
      <c r="L149" s="512"/>
    </row>
    <row r="150" spans="1:12" ht="13.15" x14ac:dyDescent="0.35">
      <c r="A150" s="517" t="s">
        <v>802</v>
      </c>
      <c r="B150" s="528"/>
      <c r="C150" s="528"/>
      <c r="D150" s="528"/>
      <c r="E150" s="528"/>
      <c r="F150" s="528"/>
      <c r="G150" s="528"/>
      <c r="H150" s="528"/>
      <c r="I150" s="528"/>
      <c r="J150" s="528"/>
      <c r="K150" s="528"/>
      <c r="L150" s="512"/>
    </row>
    <row r="151" spans="1:12" x14ac:dyDescent="0.35">
      <c r="A151" s="510" t="s">
        <v>541</v>
      </c>
      <c r="B151" s="527">
        <v>-68519</v>
      </c>
      <c r="C151" s="527">
        <v>18989</v>
      </c>
      <c r="D151" s="527">
        <v>-58534</v>
      </c>
      <c r="E151" s="527">
        <v>-32208</v>
      </c>
      <c r="F151" s="527">
        <v>4467</v>
      </c>
      <c r="G151" s="527">
        <v>10526</v>
      </c>
      <c r="H151" s="527">
        <v>-52449</v>
      </c>
      <c r="I151" s="527">
        <v>-76105</v>
      </c>
      <c r="J151" s="527">
        <v>-55492</v>
      </c>
      <c r="K151" s="527">
        <v>-85986</v>
      </c>
      <c r="L151" s="512"/>
    </row>
    <row r="152" spans="1:12" x14ac:dyDescent="0.35">
      <c r="A152" s="510" t="s">
        <v>803</v>
      </c>
      <c r="B152" s="527">
        <v>-101877</v>
      </c>
      <c r="C152" s="527">
        <v>-1019101</v>
      </c>
      <c r="D152" s="527">
        <v>-1553822</v>
      </c>
      <c r="E152" s="527">
        <v>1270511</v>
      </c>
      <c r="F152" s="527">
        <v>493120</v>
      </c>
      <c r="G152" s="527">
        <v>2037574</v>
      </c>
      <c r="H152" s="527">
        <v>-1275701</v>
      </c>
      <c r="I152" s="527">
        <v>-52322</v>
      </c>
      <c r="J152" s="527">
        <v>-320003</v>
      </c>
      <c r="K152" s="527">
        <v>-192314</v>
      </c>
      <c r="L152" s="512"/>
    </row>
    <row r="153" spans="1:12" ht="13.15" x14ac:dyDescent="0.35">
      <c r="A153" s="517" t="s">
        <v>770</v>
      </c>
      <c r="B153" s="528"/>
      <c r="C153" s="528"/>
      <c r="D153" s="528"/>
      <c r="E153" s="528"/>
      <c r="F153" s="528"/>
      <c r="G153" s="528"/>
      <c r="H153" s="528"/>
      <c r="I153" s="528"/>
      <c r="J153" s="528"/>
      <c r="K153" s="528"/>
      <c r="L153" s="512"/>
    </row>
    <row r="154" spans="1:12" x14ac:dyDescent="0.35">
      <c r="A154" s="510" t="s">
        <v>804</v>
      </c>
      <c r="B154" s="527">
        <v>447178</v>
      </c>
      <c r="C154" s="527">
        <v>612184</v>
      </c>
      <c r="D154" s="527">
        <v>619045</v>
      </c>
      <c r="E154" s="527">
        <v>572959</v>
      </c>
      <c r="F154" s="527">
        <v>691440</v>
      </c>
      <c r="G154" s="527">
        <v>642937</v>
      </c>
      <c r="H154" s="527">
        <v>609934</v>
      </c>
      <c r="I154" s="527">
        <v>807666</v>
      </c>
      <c r="J154" s="527">
        <v>999777</v>
      </c>
      <c r="K154" s="527">
        <v>1213980</v>
      </c>
      <c r="L154" s="512"/>
    </row>
    <row r="155" spans="1:12" x14ac:dyDescent="0.35">
      <c r="A155" s="510" t="s">
        <v>805</v>
      </c>
      <c r="B155" s="527">
        <v>1220725</v>
      </c>
      <c r="C155" s="527">
        <v>372555</v>
      </c>
      <c r="D155" s="527">
        <v>402646</v>
      </c>
      <c r="E155" s="527">
        <v>455146</v>
      </c>
      <c r="F155" s="527">
        <v>998747</v>
      </c>
      <c r="G155" s="527">
        <v>1370078</v>
      </c>
      <c r="H155" s="527">
        <v>1474501</v>
      </c>
      <c r="I155" s="527">
        <v>1543984</v>
      </c>
      <c r="J155" s="527">
        <v>2188227</v>
      </c>
      <c r="K155" s="527">
        <v>2542609</v>
      </c>
      <c r="L155" s="512"/>
    </row>
    <row r="156" spans="1:12" x14ac:dyDescent="0.35">
      <c r="A156" s="510" t="s">
        <v>806</v>
      </c>
      <c r="B156" s="527">
        <v>3353274</v>
      </c>
      <c r="C156" s="527">
        <v>4047129</v>
      </c>
      <c r="D156" s="527">
        <v>3720259</v>
      </c>
      <c r="E156" s="527">
        <v>3134217</v>
      </c>
      <c r="F156" s="527">
        <v>5550282</v>
      </c>
      <c r="G156" s="527">
        <v>3018206</v>
      </c>
      <c r="H156" s="527">
        <v>-1561105</v>
      </c>
      <c r="I156" s="527">
        <v>11877520</v>
      </c>
      <c r="J156" s="527">
        <v>8331286</v>
      </c>
      <c r="K156" s="527">
        <v>7822684</v>
      </c>
      <c r="L156" s="512"/>
    </row>
    <row r="157" spans="1:12" x14ac:dyDescent="0.35">
      <c r="A157" s="510" t="s">
        <v>807</v>
      </c>
      <c r="B157" s="527">
        <v>3574159</v>
      </c>
      <c r="C157" s="527">
        <v>4395835</v>
      </c>
      <c r="D157" s="527">
        <v>4088316</v>
      </c>
      <c r="E157" s="527">
        <v>3528338</v>
      </c>
      <c r="F157" s="527">
        <v>5985783</v>
      </c>
      <c r="G157" s="527">
        <v>3422783</v>
      </c>
      <c r="H157" s="527">
        <v>-1360614</v>
      </c>
      <c r="I157" s="527">
        <v>12217258</v>
      </c>
      <c r="J157" s="527">
        <v>8850943</v>
      </c>
      <c r="K157" s="527">
        <v>8526177</v>
      </c>
      <c r="L157" s="512"/>
    </row>
    <row r="158" spans="1:12" x14ac:dyDescent="0.35">
      <c r="A158" s="510" t="s">
        <v>808</v>
      </c>
      <c r="B158" s="527">
        <v>-219983</v>
      </c>
      <c r="C158" s="527">
        <v>-723408</v>
      </c>
      <c r="D158" s="527">
        <v>65629</v>
      </c>
      <c r="E158" s="527">
        <v>776376</v>
      </c>
      <c r="F158" s="527">
        <v>-1899227</v>
      </c>
      <c r="G158" s="527">
        <v>304364</v>
      </c>
      <c r="H158" s="527">
        <v>5518168</v>
      </c>
      <c r="I158" s="527">
        <v>-3411414</v>
      </c>
      <c r="J158" s="527">
        <v>-1403018</v>
      </c>
      <c r="K158" s="527">
        <v>111875</v>
      </c>
      <c r="L158" s="512"/>
    </row>
    <row r="159" spans="1:12" x14ac:dyDescent="0.35">
      <c r="A159" s="510" t="s">
        <v>809</v>
      </c>
      <c r="B159" s="527">
        <v>3941661</v>
      </c>
      <c r="C159" s="527">
        <v>1964053</v>
      </c>
      <c r="D159" s="527">
        <v>496655</v>
      </c>
      <c r="E159" s="527">
        <v>1248474</v>
      </c>
      <c r="F159" s="527">
        <v>-1520454</v>
      </c>
      <c r="G159" s="527">
        <v>1263068</v>
      </c>
      <c r="H159" s="527">
        <v>6474944</v>
      </c>
      <c r="I159" s="527">
        <v>-1370844</v>
      </c>
      <c r="J159" s="527">
        <v>-1140357</v>
      </c>
      <c r="K159" s="527">
        <v>1380406</v>
      </c>
      <c r="L159" s="512"/>
    </row>
    <row r="160" spans="1:12" x14ac:dyDescent="0.35">
      <c r="A160" s="510" t="s">
        <v>783</v>
      </c>
      <c r="B160" s="528" t="s">
        <v>810</v>
      </c>
      <c r="C160" s="528" t="s">
        <v>810</v>
      </c>
      <c r="D160" s="528" t="s">
        <v>810</v>
      </c>
      <c r="E160" s="528" t="s">
        <v>810</v>
      </c>
      <c r="F160" s="528" t="s">
        <v>810</v>
      </c>
      <c r="G160" s="528" t="s">
        <v>810</v>
      </c>
      <c r="H160" s="528" t="s">
        <v>810</v>
      </c>
      <c r="I160" s="528" t="s">
        <v>810</v>
      </c>
      <c r="J160" s="528" t="s">
        <v>810</v>
      </c>
      <c r="K160" s="528" t="s">
        <v>785</v>
      </c>
      <c r="L160" s="512"/>
    </row>
    <row r="161" spans="1:12" x14ac:dyDescent="0.35">
      <c r="A161" s="510" t="s">
        <v>786</v>
      </c>
      <c r="B161" s="528" t="s">
        <v>787</v>
      </c>
      <c r="C161" s="528" t="s">
        <v>787</v>
      </c>
      <c r="D161" s="528" t="s">
        <v>787</v>
      </c>
      <c r="E161" s="528" t="s">
        <v>787</v>
      </c>
      <c r="F161" s="528" t="s">
        <v>787</v>
      </c>
      <c r="G161" s="528" t="s">
        <v>787</v>
      </c>
      <c r="H161" s="528" t="s">
        <v>787</v>
      </c>
      <c r="I161" s="528" t="s">
        <v>787</v>
      </c>
      <c r="J161" s="528" t="s">
        <v>787</v>
      </c>
      <c r="K161" s="528" t="s">
        <v>787</v>
      </c>
      <c r="L161" s="512"/>
    </row>
    <row r="164" spans="1:12" x14ac:dyDescent="0.35">
      <c r="A164" s="513"/>
      <c r="B164" s="513"/>
      <c r="C164" s="513"/>
      <c r="D164" s="513"/>
      <c r="E164" s="512"/>
      <c r="F164" s="512"/>
      <c r="G164" s="512"/>
      <c r="H164" s="512"/>
      <c r="I164" s="512"/>
      <c r="J164" s="512"/>
      <c r="K164" s="512"/>
      <c r="L164" s="512"/>
    </row>
    <row r="165" spans="1:12" ht="17.649999999999999" x14ac:dyDescent="0.5">
      <c r="A165" s="521" t="s">
        <v>811</v>
      </c>
      <c r="B165" s="521"/>
      <c r="C165" s="521"/>
      <c r="D165" s="521"/>
      <c r="E165" s="521"/>
      <c r="F165" s="521"/>
      <c r="G165" s="521"/>
      <c r="H165" s="521"/>
      <c r="I165" s="521"/>
      <c r="J165" s="521"/>
      <c r="K165" s="521"/>
      <c r="L165" s="521"/>
    </row>
    <row r="166" spans="1:12" x14ac:dyDescent="0.35">
      <c r="A166" s="510" t="s">
        <v>729</v>
      </c>
      <c r="B166" s="512"/>
      <c r="C166" s="512"/>
      <c r="D166" s="512"/>
      <c r="E166" s="512"/>
      <c r="F166" s="512"/>
      <c r="G166" s="512"/>
      <c r="H166" s="512"/>
      <c r="I166" s="512"/>
      <c r="J166" s="512"/>
      <c r="K166" s="512"/>
      <c r="L166" s="512"/>
    </row>
    <row r="167" spans="1:12" x14ac:dyDescent="0.35">
      <c r="A167" s="512"/>
      <c r="B167" s="512"/>
      <c r="C167" s="512"/>
      <c r="D167" s="512"/>
      <c r="E167" s="512"/>
      <c r="F167" s="512"/>
      <c r="G167" s="512"/>
      <c r="H167" s="512"/>
      <c r="I167" s="512"/>
      <c r="J167" s="512"/>
      <c r="K167" s="512"/>
      <c r="L167" s="512"/>
    </row>
    <row r="168" spans="1:12" x14ac:dyDescent="0.35">
      <c r="A168" s="510" t="s">
        <v>665</v>
      </c>
      <c r="B168" s="523"/>
      <c r="C168" s="512"/>
      <c r="D168" s="512"/>
      <c r="E168" s="512"/>
      <c r="F168" s="512"/>
      <c r="G168" s="512"/>
      <c r="H168" s="512"/>
      <c r="I168" s="512"/>
      <c r="J168" s="512"/>
      <c r="K168" s="512"/>
      <c r="L168" s="512"/>
    </row>
    <row r="169" spans="1:12" x14ac:dyDescent="0.35">
      <c r="A169" s="510" t="s">
        <v>666</v>
      </c>
      <c r="B169" s="523"/>
      <c r="C169" s="512"/>
      <c r="D169" s="512"/>
      <c r="E169" s="512"/>
      <c r="F169" s="512"/>
      <c r="G169" s="512"/>
      <c r="H169" s="512"/>
      <c r="I169" s="512"/>
      <c r="J169" s="512"/>
      <c r="K169" s="512"/>
      <c r="L169" s="512"/>
    </row>
    <row r="170" spans="1:12" x14ac:dyDescent="0.35">
      <c r="A170" s="510" t="s">
        <v>667</v>
      </c>
      <c r="B170" s="523"/>
      <c r="C170" s="512"/>
      <c r="D170" s="512"/>
      <c r="E170" s="512"/>
      <c r="F170" s="512"/>
      <c r="G170" s="512"/>
      <c r="H170" s="512"/>
      <c r="I170" s="512"/>
      <c r="J170" s="512"/>
      <c r="K170" s="512"/>
      <c r="L170" s="512"/>
    </row>
    <row r="171" spans="1:12" x14ac:dyDescent="0.35">
      <c r="A171" s="510" t="s">
        <v>730</v>
      </c>
      <c r="B171" s="523"/>
      <c r="C171" s="512"/>
      <c r="D171" s="512"/>
      <c r="E171" s="512"/>
      <c r="F171" s="512"/>
      <c r="G171" s="512"/>
      <c r="H171" s="512"/>
      <c r="I171" s="512"/>
      <c r="J171" s="512"/>
      <c r="K171" s="512"/>
      <c r="L171" s="512"/>
    </row>
    <row r="172" spans="1:12" x14ac:dyDescent="0.35">
      <c r="A172" s="510" t="s">
        <v>668</v>
      </c>
      <c r="B172" s="523"/>
      <c r="C172" s="512"/>
      <c r="D172" s="512"/>
      <c r="E172" s="512"/>
      <c r="F172" s="512"/>
      <c r="G172" s="512"/>
      <c r="H172" s="512"/>
      <c r="I172" s="512"/>
      <c r="J172" s="512"/>
      <c r="K172" s="512"/>
      <c r="L172" s="512"/>
    </row>
    <row r="173" spans="1:12" x14ac:dyDescent="0.35">
      <c r="A173" s="510" t="s">
        <v>731</v>
      </c>
      <c r="B173" s="523"/>
      <c r="C173" s="512"/>
      <c r="D173" s="512"/>
      <c r="E173" s="512"/>
      <c r="F173" s="512"/>
      <c r="G173" s="512"/>
      <c r="H173" s="512"/>
      <c r="I173" s="512"/>
      <c r="J173" s="512"/>
      <c r="K173" s="512"/>
      <c r="L173" s="512"/>
    </row>
    <row r="174" spans="1:12" x14ac:dyDescent="0.35">
      <c r="A174" s="510" t="s">
        <v>732</v>
      </c>
      <c r="B174" s="523"/>
      <c r="C174" s="512"/>
      <c r="D174" s="512"/>
      <c r="E174" s="512"/>
      <c r="F174" s="512"/>
      <c r="G174" s="512"/>
      <c r="H174" s="512"/>
      <c r="I174" s="512"/>
      <c r="J174" s="512"/>
      <c r="K174" s="512"/>
      <c r="L174" s="512"/>
    </row>
    <row r="175" spans="1:12" x14ac:dyDescent="0.35">
      <c r="A175" s="526"/>
      <c r="B175" s="526"/>
      <c r="C175" s="526"/>
      <c r="D175" s="526"/>
      <c r="E175" s="526"/>
      <c r="F175" s="526"/>
      <c r="G175" s="526"/>
      <c r="H175" s="526"/>
      <c r="I175" s="526"/>
      <c r="J175" s="526"/>
      <c r="K175" s="526"/>
      <c r="L175" s="512"/>
    </row>
    <row r="176" spans="1:12" x14ac:dyDescent="0.35">
      <c r="A176" s="520" t="s">
        <v>670</v>
      </c>
      <c r="B176" s="519" t="s">
        <v>733</v>
      </c>
      <c r="C176" s="519" t="s">
        <v>720</v>
      </c>
      <c r="D176" s="519" t="s">
        <v>671</v>
      </c>
      <c r="E176" s="519" t="s">
        <v>672</v>
      </c>
      <c r="F176" s="519" t="s">
        <v>673</v>
      </c>
      <c r="G176" s="519" t="s">
        <v>674</v>
      </c>
      <c r="H176" s="519" t="s">
        <v>675</v>
      </c>
      <c r="I176" s="519" t="s">
        <v>676</v>
      </c>
      <c r="J176" s="519" t="s">
        <v>677</v>
      </c>
      <c r="K176" s="519" t="s">
        <v>734</v>
      </c>
      <c r="L176" s="512"/>
    </row>
    <row r="177" spans="1:12" ht="25.5" x14ac:dyDescent="0.35">
      <c r="A177" s="510" t="s">
        <v>73</v>
      </c>
      <c r="B177" s="528" t="s">
        <v>735</v>
      </c>
      <c r="C177" s="528" t="s">
        <v>735</v>
      </c>
      <c r="D177" s="528" t="s">
        <v>735</v>
      </c>
      <c r="E177" s="528" t="s">
        <v>735</v>
      </c>
      <c r="F177" s="528" t="s">
        <v>735</v>
      </c>
      <c r="G177" s="528" t="s">
        <v>735</v>
      </c>
      <c r="H177" s="528" t="s">
        <v>735</v>
      </c>
      <c r="I177" s="528" t="s">
        <v>735</v>
      </c>
      <c r="J177" s="528" t="s">
        <v>735</v>
      </c>
      <c r="K177" s="528" t="s">
        <v>735</v>
      </c>
      <c r="L177" s="512"/>
    </row>
    <row r="178" spans="1:12" x14ac:dyDescent="0.35">
      <c r="A178" s="510" t="s">
        <v>678</v>
      </c>
      <c r="B178" s="528" t="s">
        <v>736</v>
      </c>
      <c r="C178" s="528" t="s">
        <v>737</v>
      </c>
      <c r="D178" s="528" t="s">
        <v>679</v>
      </c>
      <c r="E178" s="528" t="s">
        <v>680</v>
      </c>
      <c r="F178" s="528" t="s">
        <v>681</v>
      </c>
      <c r="G178" s="528" t="s">
        <v>682</v>
      </c>
      <c r="H178" s="528" t="s">
        <v>683</v>
      </c>
      <c r="I178" s="528" t="s">
        <v>684</v>
      </c>
      <c r="J178" s="528" t="s">
        <v>685</v>
      </c>
      <c r="K178" s="528" t="s">
        <v>738</v>
      </c>
      <c r="L178" s="512"/>
    </row>
    <row r="179" spans="1:12" x14ac:dyDescent="0.35">
      <c r="A179" s="510" t="s">
        <v>739</v>
      </c>
      <c r="B179" s="530">
        <v>43254</v>
      </c>
      <c r="C179" s="530">
        <v>43588</v>
      </c>
      <c r="D179" s="530">
        <v>43893</v>
      </c>
      <c r="E179" s="528" t="s">
        <v>740</v>
      </c>
      <c r="F179" s="528" t="s">
        <v>741</v>
      </c>
      <c r="G179" s="528" t="s">
        <v>742</v>
      </c>
      <c r="H179" s="528" t="s">
        <v>743</v>
      </c>
      <c r="I179" s="528" t="s">
        <v>744</v>
      </c>
      <c r="J179" s="528" t="s">
        <v>744</v>
      </c>
      <c r="K179" s="528" t="s">
        <v>744</v>
      </c>
      <c r="L179" s="512"/>
    </row>
    <row r="180" spans="1:12" x14ac:dyDescent="0.35">
      <c r="A180" s="510" t="s">
        <v>745</v>
      </c>
      <c r="B180" s="528">
        <v>0.92069999999999996</v>
      </c>
      <c r="C180" s="528">
        <v>0.94820000000000004</v>
      </c>
      <c r="D180" s="528">
        <v>0.83279999999999998</v>
      </c>
      <c r="E180" s="528">
        <v>0.87339999999999995</v>
      </c>
      <c r="F180" s="528">
        <v>0.8911</v>
      </c>
      <c r="G180" s="528">
        <v>0.8175</v>
      </c>
      <c r="H180" s="528">
        <v>0.87929999999999997</v>
      </c>
      <c r="I180" s="528">
        <v>0.93569999999999998</v>
      </c>
      <c r="J180" s="528">
        <v>0.90469999999999995</v>
      </c>
      <c r="K180" s="528">
        <v>0.96589999999999998</v>
      </c>
      <c r="L180" s="512"/>
    </row>
    <row r="181" spans="1:12" x14ac:dyDescent="0.35">
      <c r="A181" s="510" t="s">
        <v>746</v>
      </c>
      <c r="B181" s="528">
        <v>0.90156899999999995</v>
      </c>
      <c r="C181" s="528">
        <v>0.90425999999999995</v>
      </c>
      <c r="D181" s="528">
        <v>0.88688500000000003</v>
      </c>
      <c r="E181" s="528">
        <v>0.84757199999999999</v>
      </c>
      <c r="F181" s="528">
        <v>0.89333399999999996</v>
      </c>
      <c r="G181" s="528">
        <v>0.87713099999999999</v>
      </c>
      <c r="H181" s="528">
        <v>0.84595600000000004</v>
      </c>
      <c r="I181" s="528">
        <v>0.95131500000000002</v>
      </c>
      <c r="J181" s="528">
        <v>0.92486299999999999</v>
      </c>
      <c r="K181" s="528">
        <v>0.92458499999999999</v>
      </c>
      <c r="L181" s="512"/>
    </row>
    <row r="182" spans="1:12" x14ac:dyDescent="0.35">
      <c r="A182" s="510" t="s">
        <v>812</v>
      </c>
      <c r="B182" s="528" t="s">
        <v>813</v>
      </c>
      <c r="C182" s="528" t="s">
        <v>813</v>
      </c>
      <c r="D182" s="528" t="s">
        <v>813</v>
      </c>
      <c r="E182" s="528" t="s">
        <v>813</v>
      </c>
      <c r="F182" s="528" t="s">
        <v>813</v>
      </c>
      <c r="G182" s="528" t="s">
        <v>813</v>
      </c>
      <c r="H182" s="528" t="s">
        <v>813</v>
      </c>
      <c r="I182" s="528" t="s">
        <v>813</v>
      </c>
      <c r="J182" s="528" t="s">
        <v>813</v>
      </c>
      <c r="K182" s="528" t="s">
        <v>813</v>
      </c>
      <c r="L182" s="512"/>
    </row>
    <row r="183" spans="1:12" x14ac:dyDescent="0.35">
      <c r="A183" s="510" t="s">
        <v>73</v>
      </c>
      <c r="B183" s="528"/>
      <c r="C183" s="528"/>
      <c r="D183" s="528"/>
      <c r="E183" s="528"/>
      <c r="F183" s="528"/>
      <c r="G183" s="528"/>
      <c r="H183" s="528"/>
      <c r="I183" s="528"/>
      <c r="J183" s="528"/>
      <c r="K183" s="528"/>
      <c r="L183" s="512"/>
    </row>
    <row r="184" spans="1:12" ht="13.15" x14ac:dyDescent="0.35">
      <c r="A184" s="517" t="s">
        <v>814</v>
      </c>
      <c r="B184" s="528"/>
      <c r="C184" s="528"/>
      <c r="D184" s="528"/>
      <c r="E184" s="528"/>
      <c r="F184" s="528"/>
      <c r="G184" s="528"/>
      <c r="H184" s="528"/>
      <c r="I184" s="528"/>
      <c r="J184" s="528"/>
      <c r="K184" s="528"/>
      <c r="L184" s="512"/>
    </row>
    <row r="185" spans="1:12" x14ac:dyDescent="0.35">
      <c r="A185" s="510" t="s">
        <v>599</v>
      </c>
      <c r="B185" s="527">
        <v>5745168</v>
      </c>
      <c r="C185" s="527">
        <v>4758068</v>
      </c>
      <c r="D185" s="527">
        <v>2768227</v>
      </c>
      <c r="E185" s="527">
        <v>4219395</v>
      </c>
      <c r="F185" s="527">
        <v>4784316</v>
      </c>
      <c r="G185" s="527">
        <v>6402660</v>
      </c>
      <c r="H185" s="527">
        <v>5565090</v>
      </c>
      <c r="I185" s="527">
        <v>5769526</v>
      </c>
      <c r="J185" s="527">
        <v>5283448</v>
      </c>
      <c r="K185" s="527">
        <v>5300859</v>
      </c>
      <c r="L185" s="512"/>
    </row>
    <row r="186" spans="1:12" x14ac:dyDescent="0.35">
      <c r="A186" s="510" t="s">
        <v>600</v>
      </c>
      <c r="B186" s="527">
        <v>564389</v>
      </c>
      <c r="C186" s="527">
        <v>838209</v>
      </c>
      <c r="D186" s="527">
        <v>1024344</v>
      </c>
      <c r="E186" s="527">
        <v>34936</v>
      </c>
      <c r="F186" s="527">
        <v>33862</v>
      </c>
      <c r="G186" s="527">
        <v>34335</v>
      </c>
      <c r="H186" s="527">
        <v>46603</v>
      </c>
      <c r="I186" s="527">
        <v>59885</v>
      </c>
      <c r="J186" s="528" t="s">
        <v>690</v>
      </c>
      <c r="K186" s="528" t="s">
        <v>690</v>
      </c>
      <c r="L186" s="512"/>
    </row>
    <row r="187" spans="1:12" x14ac:dyDescent="0.35">
      <c r="A187" s="510" t="s">
        <v>646</v>
      </c>
      <c r="B187" s="528" t="s">
        <v>690</v>
      </c>
      <c r="C187" s="527">
        <v>18016</v>
      </c>
      <c r="D187" s="528" t="s">
        <v>690</v>
      </c>
      <c r="E187" s="527">
        <v>706581</v>
      </c>
      <c r="F187" s="527">
        <v>722682</v>
      </c>
      <c r="G187" s="527">
        <v>131618</v>
      </c>
      <c r="H187" s="527">
        <v>14069</v>
      </c>
      <c r="I187" s="527">
        <v>13100</v>
      </c>
      <c r="J187" s="527">
        <v>18094</v>
      </c>
      <c r="K187" s="527">
        <v>35738</v>
      </c>
      <c r="L187" s="512"/>
    </row>
    <row r="188" spans="1:12" x14ac:dyDescent="0.35">
      <c r="A188" s="510" t="s">
        <v>815</v>
      </c>
      <c r="B188" s="527">
        <v>6309557</v>
      </c>
      <c r="C188" s="527">
        <v>5614292</v>
      </c>
      <c r="D188" s="527">
        <v>3792571</v>
      </c>
      <c r="E188" s="527">
        <v>4960912</v>
      </c>
      <c r="F188" s="527">
        <v>5540860</v>
      </c>
      <c r="G188" s="527">
        <v>6568613</v>
      </c>
      <c r="H188" s="527">
        <v>5625761</v>
      </c>
      <c r="I188" s="527">
        <v>5842511</v>
      </c>
      <c r="J188" s="527">
        <v>5301542</v>
      </c>
      <c r="K188" s="527">
        <v>5336598</v>
      </c>
      <c r="L188" s="512"/>
    </row>
    <row r="189" spans="1:12" x14ac:dyDescent="0.35">
      <c r="A189" s="510" t="s">
        <v>602</v>
      </c>
      <c r="B189" s="527">
        <v>4265603</v>
      </c>
      <c r="C189" s="527">
        <v>2449201</v>
      </c>
      <c r="D189" s="527">
        <v>2333506</v>
      </c>
      <c r="E189" s="527">
        <v>2615833</v>
      </c>
      <c r="F189" s="527">
        <v>3194594</v>
      </c>
      <c r="G189" s="527">
        <v>3111405</v>
      </c>
      <c r="H189" s="527">
        <v>5303058</v>
      </c>
      <c r="I189" s="527">
        <v>6748268</v>
      </c>
      <c r="J189" s="527">
        <v>7605813</v>
      </c>
      <c r="K189" s="527">
        <v>8018902</v>
      </c>
      <c r="L189" s="512"/>
    </row>
    <row r="190" spans="1:12" x14ac:dyDescent="0.35">
      <c r="A190" s="510" t="s">
        <v>603</v>
      </c>
      <c r="B190" s="527">
        <v>1810096</v>
      </c>
      <c r="C190" s="527">
        <v>2068024</v>
      </c>
      <c r="D190" s="527">
        <v>1374120</v>
      </c>
      <c r="E190" s="527">
        <v>1608803</v>
      </c>
      <c r="F190" s="527">
        <v>1422196</v>
      </c>
      <c r="G190" s="527">
        <v>1508288</v>
      </c>
      <c r="H190" s="527">
        <v>2430385</v>
      </c>
      <c r="I190" s="527">
        <v>2536683</v>
      </c>
      <c r="J190" s="527">
        <v>3191782</v>
      </c>
      <c r="K190" s="527">
        <v>4628593</v>
      </c>
      <c r="L190" s="512"/>
    </row>
    <row r="191" spans="1:12" x14ac:dyDescent="0.35">
      <c r="A191" s="510" t="s">
        <v>816</v>
      </c>
      <c r="B191" s="527">
        <v>6075699</v>
      </c>
      <c r="C191" s="527">
        <v>4517225</v>
      </c>
      <c r="D191" s="527">
        <v>3707626</v>
      </c>
      <c r="E191" s="527">
        <v>4224636</v>
      </c>
      <c r="F191" s="527">
        <v>4616789</v>
      </c>
      <c r="G191" s="527">
        <v>4619693</v>
      </c>
      <c r="H191" s="527">
        <v>7733444</v>
      </c>
      <c r="I191" s="527">
        <v>9284951</v>
      </c>
      <c r="J191" s="527">
        <v>10797595</v>
      </c>
      <c r="K191" s="527">
        <v>12647495</v>
      </c>
      <c r="L191" s="512"/>
    </row>
    <row r="192" spans="1:12" x14ac:dyDescent="0.35">
      <c r="A192" s="510" t="s">
        <v>605</v>
      </c>
      <c r="B192" s="527">
        <v>1973060</v>
      </c>
      <c r="C192" s="527">
        <v>2213099</v>
      </c>
      <c r="D192" s="527">
        <v>2527548</v>
      </c>
      <c r="E192" s="527">
        <v>2524126</v>
      </c>
      <c r="F192" s="527">
        <v>2845282</v>
      </c>
      <c r="G192" s="527">
        <v>3289620</v>
      </c>
      <c r="H192" s="527">
        <v>7898752</v>
      </c>
      <c r="I192" s="527">
        <v>4396854</v>
      </c>
      <c r="J192" s="527">
        <v>4907093</v>
      </c>
      <c r="K192" s="527">
        <v>5107679</v>
      </c>
      <c r="L192" s="512"/>
    </row>
    <row r="193" spans="1:12" x14ac:dyDescent="0.35">
      <c r="A193" s="510" t="s">
        <v>606</v>
      </c>
      <c r="B193" s="527">
        <v>138105</v>
      </c>
      <c r="C193" s="527">
        <v>112836</v>
      </c>
      <c r="D193" s="527">
        <v>900257</v>
      </c>
      <c r="E193" s="527">
        <v>824490</v>
      </c>
      <c r="F193" s="527">
        <v>770802</v>
      </c>
      <c r="G193" s="527">
        <v>1418363</v>
      </c>
      <c r="H193" s="527">
        <v>1329502</v>
      </c>
      <c r="I193" s="527">
        <v>1243545</v>
      </c>
      <c r="J193" s="527">
        <v>1462900</v>
      </c>
      <c r="K193" s="527">
        <v>1677768</v>
      </c>
      <c r="L193" s="512"/>
    </row>
    <row r="194" spans="1:12" x14ac:dyDescent="0.35">
      <c r="A194" s="510" t="s">
        <v>601</v>
      </c>
      <c r="B194" s="528" t="s">
        <v>690</v>
      </c>
      <c r="C194" s="528" t="s">
        <v>690</v>
      </c>
      <c r="D194" s="528" t="s">
        <v>690</v>
      </c>
      <c r="E194" s="528" t="s">
        <v>690</v>
      </c>
      <c r="F194" s="528" t="s">
        <v>690</v>
      </c>
      <c r="G194" s="528" t="s">
        <v>690</v>
      </c>
      <c r="H194" s="528" t="s">
        <v>690</v>
      </c>
      <c r="I194" s="527">
        <v>151583</v>
      </c>
      <c r="J194" s="527">
        <v>92279</v>
      </c>
      <c r="K194" s="527">
        <v>124601</v>
      </c>
      <c r="L194" s="512"/>
    </row>
    <row r="195" spans="1:12" x14ac:dyDescent="0.35">
      <c r="A195" s="510" t="s">
        <v>284</v>
      </c>
      <c r="B195" s="527">
        <v>241223</v>
      </c>
      <c r="C195" s="527">
        <v>117577</v>
      </c>
      <c r="D195" s="527">
        <v>23318</v>
      </c>
      <c r="E195" s="527">
        <v>1083016</v>
      </c>
      <c r="F195" s="527">
        <v>94457</v>
      </c>
      <c r="G195" s="527">
        <v>80933</v>
      </c>
      <c r="H195" s="527">
        <v>488891</v>
      </c>
      <c r="I195" s="527">
        <v>220825</v>
      </c>
      <c r="J195" s="527">
        <v>104945</v>
      </c>
      <c r="K195" s="527">
        <v>52159</v>
      </c>
      <c r="L195" s="512"/>
    </row>
    <row r="196" spans="1:12" x14ac:dyDescent="0.35">
      <c r="A196" s="510" t="s">
        <v>817</v>
      </c>
      <c r="B196" s="527">
        <v>14737645</v>
      </c>
      <c r="C196" s="527">
        <v>12575028</v>
      </c>
      <c r="D196" s="527">
        <v>10951320</v>
      </c>
      <c r="E196" s="527">
        <v>13617179</v>
      </c>
      <c r="F196" s="527">
        <v>13868189</v>
      </c>
      <c r="G196" s="527">
        <v>15977220</v>
      </c>
      <c r="H196" s="527">
        <v>23076349</v>
      </c>
      <c r="I196" s="527">
        <v>21140270</v>
      </c>
      <c r="J196" s="527">
        <v>22666354</v>
      </c>
      <c r="K196" s="527">
        <v>24946299</v>
      </c>
      <c r="L196" s="512"/>
    </row>
    <row r="197" spans="1:12" x14ac:dyDescent="0.35">
      <c r="A197" s="510" t="s">
        <v>818</v>
      </c>
      <c r="B197" s="527">
        <v>12749854</v>
      </c>
      <c r="C197" s="527">
        <v>12754238</v>
      </c>
      <c r="D197" s="527">
        <v>12191359</v>
      </c>
      <c r="E197" s="527">
        <v>12785703</v>
      </c>
      <c r="F197" s="527">
        <v>14125717</v>
      </c>
      <c r="G197" s="527">
        <v>13987425</v>
      </c>
      <c r="H197" s="527">
        <v>16262654</v>
      </c>
      <c r="I197" s="527">
        <v>16086554</v>
      </c>
      <c r="J197" s="527">
        <v>17280675</v>
      </c>
      <c r="K197" s="527">
        <v>19822200</v>
      </c>
      <c r="L197" s="512"/>
    </row>
    <row r="198" spans="1:12" x14ac:dyDescent="0.35">
      <c r="A198" s="510" t="s">
        <v>819</v>
      </c>
      <c r="B198" s="527">
        <v>-6845405</v>
      </c>
      <c r="C198" s="527">
        <v>-6260965</v>
      </c>
      <c r="D198" s="527">
        <v>-5849587</v>
      </c>
      <c r="E198" s="527">
        <v>-6304201</v>
      </c>
      <c r="F198" s="527">
        <v>-6698399</v>
      </c>
      <c r="G198" s="527">
        <v>-6697778</v>
      </c>
      <c r="H198" s="527">
        <v>-7319293</v>
      </c>
      <c r="I198" s="527">
        <v>-7245125</v>
      </c>
      <c r="J198" s="527">
        <v>-7779515</v>
      </c>
      <c r="K198" s="527">
        <v>-8572363</v>
      </c>
      <c r="L198" s="512"/>
    </row>
    <row r="199" spans="1:12" ht="13.15" x14ac:dyDescent="0.35">
      <c r="A199" s="517" t="s">
        <v>594</v>
      </c>
      <c r="B199" s="529">
        <v>5904449</v>
      </c>
      <c r="C199" s="529">
        <v>6493274</v>
      </c>
      <c r="D199" s="529">
        <v>6341772</v>
      </c>
      <c r="E199" s="529">
        <v>6481501</v>
      </c>
      <c r="F199" s="529">
        <v>7427319</v>
      </c>
      <c r="G199" s="529">
        <v>7289648</v>
      </c>
      <c r="H199" s="529">
        <v>8943360</v>
      </c>
      <c r="I199" s="529">
        <v>8841429</v>
      </c>
      <c r="J199" s="529">
        <v>9501159</v>
      </c>
      <c r="K199" s="529">
        <v>11249837</v>
      </c>
      <c r="L199" s="512"/>
    </row>
    <row r="200" spans="1:12" x14ac:dyDescent="0.35">
      <c r="A200" s="510" t="s">
        <v>595</v>
      </c>
      <c r="B200" s="527">
        <v>615948</v>
      </c>
      <c r="C200" s="527">
        <v>844846</v>
      </c>
      <c r="D200" s="527">
        <v>932736</v>
      </c>
      <c r="E200" s="527">
        <v>854185</v>
      </c>
      <c r="F200" s="527">
        <v>1347343</v>
      </c>
      <c r="G200" s="527">
        <v>974460</v>
      </c>
      <c r="H200" s="527">
        <v>1109677</v>
      </c>
      <c r="I200" s="527">
        <v>1068569</v>
      </c>
      <c r="J200" s="527">
        <v>1517182</v>
      </c>
      <c r="K200" s="527">
        <v>1835210</v>
      </c>
      <c r="L200" s="512"/>
    </row>
    <row r="201" spans="1:12" x14ac:dyDescent="0.35">
      <c r="A201" s="510" t="s">
        <v>453</v>
      </c>
      <c r="B201" s="527">
        <v>10864260</v>
      </c>
      <c r="C201" s="527">
        <v>11054116</v>
      </c>
      <c r="D201" s="527">
        <v>9847860</v>
      </c>
      <c r="E201" s="527">
        <v>10224894</v>
      </c>
      <c r="F201" s="527">
        <v>10397355</v>
      </c>
      <c r="G201" s="527">
        <v>9683288</v>
      </c>
      <c r="H201" s="527">
        <v>17583362</v>
      </c>
      <c r="I201" s="527">
        <v>18545574</v>
      </c>
      <c r="J201" s="527">
        <v>18137426</v>
      </c>
      <c r="K201" s="527">
        <v>20308048</v>
      </c>
      <c r="L201" s="512"/>
    </row>
    <row r="202" spans="1:12" x14ac:dyDescent="0.35">
      <c r="A202" s="510" t="s">
        <v>596</v>
      </c>
      <c r="B202" s="527">
        <v>20850172</v>
      </c>
      <c r="C202" s="527">
        <v>26157045</v>
      </c>
      <c r="D202" s="527">
        <v>21809366</v>
      </c>
      <c r="E202" s="527">
        <v>19178991</v>
      </c>
      <c r="F202" s="527">
        <v>18564286</v>
      </c>
      <c r="G202" s="527">
        <v>17124173</v>
      </c>
      <c r="H202" s="527">
        <v>37270889</v>
      </c>
      <c r="I202" s="527">
        <v>36779560</v>
      </c>
      <c r="J202" s="527">
        <v>34459118</v>
      </c>
      <c r="K202" s="527">
        <v>35909264</v>
      </c>
      <c r="L202" s="512"/>
    </row>
    <row r="203" spans="1:12" x14ac:dyDescent="0.35">
      <c r="A203" s="510" t="s">
        <v>597</v>
      </c>
      <c r="B203" s="527">
        <v>1191386</v>
      </c>
      <c r="C203" s="527">
        <v>1044916</v>
      </c>
      <c r="D203" s="527">
        <v>1822999</v>
      </c>
      <c r="E203" s="527">
        <v>2077819</v>
      </c>
      <c r="F203" s="527">
        <v>2422010</v>
      </c>
      <c r="G203" s="527">
        <v>2810565</v>
      </c>
      <c r="H203" s="527">
        <v>3807369</v>
      </c>
      <c r="I203" s="527">
        <v>3053189</v>
      </c>
      <c r="J203" s="527">
        <v>4268375</v>
      </c>
      <c r="K203" s="527">
        <v>5164667</v>
      </c>
      <c r="L203" s="512"/>
    </row>
    <row r="204" spans="1:12" x14ac:dyDescent="0.35">
      <c r="A204" s="510" t="s">
        <v>598</v>
      </c>
      <c r="B204" s="527">
        <v>1129699</v>
      </c>
      <c r="C204" s="527">
        <v>1117928</v>
      </c>
      <c r="D204" s="527">
        <v>1055158</v>
      </c>
      <c r="E204" s="527">
        <v>538014</v>
      </c>
      <c r="F204" s="527">
        <v>666543</v>
      </c>
      <c r="G204" s="527">
        <v>691605</v>
      </c>
      <c r="H204" s="527">
        <v>854680</v>
      </c>
      <c r="I204" s="527">
        <v>850551</v>
      </c>
      <c r="J204" s="527">
        <v>932746</v>
      </c>
      <c r="K204" s="527">
        <v>1074081</v>
      </c>
      <c r="L204" s="512"/>
    </row>
    <row r="205" spans="1:12" x14ac:dyDescent="0.35">
      <c r="A205" s="510" t="s">
        <v>287</v>
      </c>
      <c r="B205" s="527">
        <v>55293559</v>
      </c>
      <c r="C205" s="527">
        <v>59287153</v>
      </c>
      <c r="D205" s="527">
        <v>52761211</v>
      </c>
      <c r="E205" s="527">
        <v>52972583</v>
      </c>
      <c r="F205" s="527">
        <v>54693045</v>
      </c>
      <c r="G205" s="527">
        <v>54550958</v>
      </c>
      <c r="H205" s="527">
        <v>92645686</v>
      </c>
      <c r="I205" s="527">
        <v>90279143</v>
      </c>
      <c r="J205" s="527">
        <v>91482359</v>
      </c>
      <c r="K205" s="527">
        <v>100487407</v>
      </c>
      <c r="L205" s="512"/>
    </row>
    <row r="206" spans="1:12" ht="13.15" x14ac:dyDescent="0.35">
      <c r="A206" s="517" t="s">
        <v>820</v>
      </c>
      <c r="B206" s="528"/>
      <c r="C206" s="528"/>
      <c r="D206" s="528"/>
      <c r="E206" s="528"/>
      <c r="F206" s="528"/>
      <c r="G206" s="528"/>
      <c r="H206" s="528"/>
      <c r="I206" s="528"/>
      <c r="J206" s="528"/>
      <c r="K206" s="528"/>
      <c r="L206" s="512"/>
    </row>
    <row r="207" spans="1:12" x14ac:dyDescent="0.35">
      <c r="A207" s="510" t="s">
        <v>616</v>
      </c>
      <c r="B207" s="527">
        <v>3193908</v>
      </c>
      <c r="C207" s="527">
        <v>1592976</v>
      </c>
      <c r="D207" s="527">
        <v>1902948</v>
      </c>
      <c r="E207" s="527">
        <v>1502248</v>
      </c>
      <c r="F207" s="527">
        <v>1580811</v>
      </c>
      <c r="G207" s="527">
        <v>1921125</v>
      </c>
      <c r="H207" s="527">
        <v>2483143</v>
      </c>
      <c r="I207" s="527">
        <v>2386035</v>
      </c>
      <c r="J207" s="527">
        <v>2955655</v>
      </c>
      <c r="K207" s="527">
        <v>3515876</v>
      </c>
      <c r="L207" s="512"/>
    </row>
    <row r="208" spans="1:12" x14ac:dyDescent="0.35">
      <c r="A208" s="510" t="s">
        <v>617</v>
      </c>
      <c r="B208" s="527">
        <v>5981788</v>
      </c>
      <c r="C208" s="527">
        <v>6875398</v>
      </c>
      <c r="D208" s="527">
        <v>6341772</v>
      </c>
      <c r="E208" s="527">
        <v>7917371</v>
      </c>
      <c r="F208" s="527">
        <v>8374558</v>
      </c>
      <c r="G208" s="527">
        <v>7920758</v>
      </c>
      <c r="H208" s="527">
        <v>10866389</v>
      </c>
      <c r="I208" s="527">
        <v>12645050</v>
      </c>
      <c r="J208" s="527">
        <v>14334972</v>
      </c>
      <c r="K208" s="527">
        <v>15539399</v>
      </c>
      <c r="L208" s="512"/>
    </row>
    <row r="209" spans="1:12" x14ac:dyDescent="0.35">
      <c r="A209" s="510" t="s">
        <v>651</v>
      </c>
      <c r="B209" s="527">
        <v>781674</v>
      </c>
      <c r="C209" s="527">
        <v>427638</v>
      </c>
      <c r="D209" s="527">
        <v>703716</v>
      </c>
      <c r="E209" s="527">
        <v>659417</v>
      </c>
      <c r="F209" s="527">
        <v>200498</v>
      </c>
      <c r="G209" s="527">
        <v>540368</v>
      </c>
      <c r="H209" s="527">
        <v>361392</v>
      </c>
      <c r="I209" s="527">
        <v>4972310</v>
      </c>
      <c r="J209" s="527">
        <v>4640206</v>
      </c>
      <c r="K209" s="527">
        <v>2257308</v>
      </c>
      <c r="L209" s="512"/>
    </row>
    <row r="210" spans="1:12" x14ac:dyDescent="0.35">
      <c r="A210" s="510" t="s">
        <v>652</v>
      </c>
      <c r="B210" s="527">
        <v>8286</v>
      </c>
      <c r="C210" s="527">
        <v>1694433</v>
      </c>
      <c r="D210" s="527">
        <v>1183409</v>
      </c>
      <c r="E210" s="527">
        <v>896108</v>
      </c>
      <c r="F210" s="527">
        <v>1455166</v>
      </c>
      <c r="G210" s="527">
        <v>1280205</v>
      </c>
      <c r="H210" s="527">
        <v>1976666</v>
      </c>
      <c r="I210" s="527">
        <v>898272</v>
      </c>
      <c r="J210" s="527">
        <v>894748</v>
      </c>
      <c r="K210" s="527">
        <v>48295</v>
      </c>
      <c r="L210" s="512"/>
    </row>
    <row r="211" spans="1:12" x14ac:dyDescent="0.35">
      <c r="A211" s="510" t="s">
        <v>618</v>
      </c>
      <c r="B211" s="527">
        <v>61687</v>
      </c>
      <c r="C211" s="527">
        <v>82493</v>
      </c>
      <c r="D211" s="527">
        <v>4164</v>
      </c>
      <c r="E211" s="528" t="s">
        <v>690</v>
      </c>
      <c r="F211" s="527">
        <v>167527</v>
      </c>
      <c r="G211" s="527">
        <v>156960</v>
      </c>
      <c r="H211" s="527">
        <v>204877</v>
      </c>
      <c r="I211" s="527">
        <v>213340</v>
      </c>
      <c r="J211" s="527">
        <v>245174</v>
      </c>
      <c r="K211" s="527">
        <v>327440</v>
      </c>
      <c r="L211" s="512"/>
    </row>
    <row r="212" spans="1:12" x14ac:dyDescent="0.35">
      <c r="A212" s="510" t="s">
        <v>619</v>
      </c>
      <c r="B212" s="527">
        <v>1365398</v>
      </c>
      <c r="C212" s="527">
        <v>1308516</v>
      </c>
      <c r="D212" s="527">
        <v>1124280</v>
      </c>
      <c r="E212" s="527">
        <v>1016638</v>
      </c>
      <c r="F212" s="527">
        <v>1212787</v>
      </c>
      <c r="G212" s="527">
        <v>921323</v>
      </c>
      <c r="H212" s="527">
        <v>805439</v>
      </c>
      <c r="I212" s="527">
        <v>838387</v>
      </c>
      <c r="J212" s="527">
        <v>1433045</v>
      </c>
      <c r="K212" s="527">
        <v>1358055</v>
      </c>
      <c r="L212" s="512"/>
    </row>
    <row r="213" spans="1:12" x14ac:dyDescent="0.35">
      <c r="A213" s="510" t="s">
        <v>620</v>
      </c>
      <c r="B213" s="528" t="s">
        <v>690</v>
      </c>
      <c r="C213" s="528" t="s">
        <v>690</v>
      </c>
      <c r="D213" s="527">
        <v>114926</v>
      </c>
      <c r="E213" s="527">
        <v>190401</v>
      </c>
      <c r="F213" s="527">
        <v>111388</v>
      </c>
      <c r="G213" s="527">
        <v>1600665</v>
      </c>
      <c r="H213" s="527">
        <v>1038453</v>
      </c>
      <c r="I213" s="527">
        <v>170297</v>
      </c>
      <c r="J213" s="527">
        <v>134800</v>
      </c>
      <c r="K213" s="527">
        <v>121703</v>
      </c>
      <c r="L213" s="512"/>
    </row>
    <row r="214" spans="1:12" x14ac:dyDescent="0.35">
      <c r="A214" s="510" t="s">
        <v>297</v>
      </c>
      <c r="B214" s="527">
        <v>2297147</v>
      </c>
      <c r="C214" s="527">
        <v>2484284</v>
      </c>
      <c r="D214" s="527">
        <v>2268547</v>
      </c>
      <c r="E214" s="527">
        <v>2047250</v>
      </c>
      <c r="F214" s="527">
        <v>3041324</v>
      </c>
      <c r="G214" s="527">
        <v>2259570</v>
      </c>
      <c r="H214" s="527">
        <v>2130544</v>
      </c>
      <c r="I214" s="527">
        <v>2478669</v>
      </c>
      <c r="J214" s="527">
        <v>2992748</v>
      </c>
      <c r="K214" s="527">
        <v>3747692</v>
      </c>
      <c r="L214" s="512"/>
    </row>
    <row r="215" spans="1:12" x14ac:dyDescent="0.35">
      <c r="A215" s="510" t="s">
        <v>821</v>
      </c>
      <c r="B215" s="527">
        <v>13689888</v>
      </c>
      <c r="C215" s="527">
        <v>14465739</v>
      </c>
      <c r="D215" s="527">
        <v>13643762</v>
      </c>
      <c r="E215" s="527">
        <v>14229433</v>
      </c>
      <c r="F215" s="527">
        <v>16144059</v>
      </c>
      <c r="G215" s="527">
        <v>16600973</v>
      </c>
      <c r="H215" s="527">
        <v>19866904</v>
      </c>
      <c r="I215" s="527">
        <v>24602360</v>
      </c>
      <c r="J215" s="527">
        <v>27631347</v>
      </c>
      <c r="K215" s="527">
        <v>26915769</v>
      </c>
      <c r="L215" s="512"/>
    </row>
    <row r="216" spans="1:12" x14ac:dyDescent="0.35">
      <c r="A216" s="510" t="s">
        <v>612</v>
      </c>
      <c r="B216" s="527">
        <v>12991077</v>
      </c>
      <c r="C216" s="527">
        <v>15657627</v>
      </c>
      <c r="D216" s="527">
        <v>14479894</v>
      </c>
      <c r="E216" s="527">
        <v>16770153</v>
      </c>
      <c r="F216" s="527">
        <v>15945343</v>
      </c>
      <c r="G216" s="527">
        <v>16189770</v>
      </c>
      <c r="H216" s="527">
        <v>26130158</v>
      </c>
      <c r="I216" s="527">
        <v>22370716</v>
      </c>
      <c r="J216" s="527">
        <v>20267994</v>
      </c>
      <c r="K216" s="527">
        <v>25713224</v>
      </c>
      <c r="L216" s="512"/>
    </row>
    <row r="217" spans="1:12" x14ac:dyDescent="0.35">
      <c r="A217" s="510" t="s">
        <v>613</v>
      </c>
      <c r="B217" s="527">
        <v>25780</v>
      </c>
      <c r="C217" s="527">
        <v>5689</v>
      </c>
      <c r="D217" s="528" t="s">
        <v>690</v>
      </c>
      <c r="E217" s="528" t="s">
        <v>690</v>
      </c>
      <c r="F217" s="527">
        <v>433966</v>
      </c>
      <c r="G217" s="527">
        <v>399758</v>
      </c>
      <c r="H217" s="527">
        <v>662992</v>
      </c>
      <c r="I217" s="527">
        <v>678383</v>
      </c>
      <c r="J217" s="527">
        <v>775328</v>
      </c>
      <c r="K217" s="527">
        <v>1075047</v>
      </c>
      <c r="L217" s="512"/>
    </row>
    <row r="218" spans="1:12" x14ac:dyDescent="0.35">
      <c r="A218" s="510" t="s">
        <v>614</v>
      </c>
      <c r="B218" s="528" t="s">
        <v>690</v>
      </c>
      <c r="C218" s="528" t="s">
        <v>690</v>
      </c>
      <c r="D218" s="528" t="s">
        <v>690</v>
      </c>
      <c r="E218" s="527">
        <v>68125</v>
      </c>
      <c r="F218" s="527">
        <v>44555</v>
      </c>
      <c r="G218" s="527">
        <v>31065</v>
      </c>
      <c r="H218" s="527">
        <v>22862</v>
      </c>
      <c r="I218" s="527">
        <v>13100</v>
      </c>
      <c r="J218" s="527">
        <v>6333</v>
      </c>
      <c r="K218" s="528" t="s">
        <v>690</v>
      </c>
      <c r="L218" s="512"/>
    </row>
    <row r="219" spans="1:12" x14ac:dyDescent="0.35">
      <c r="A219" s="510" t="s">
        <v>649</v>
      </c>
      <c r="B219" s="527">
        <v>1817462</v>
      </c>
      <c r="C219" s="527">
        <v>2072765</v>
      </c>
      <c r="D219" s="527">
        <v>2151122</v>
      </c>
      <c r="E219" s="527">
        <v>2193107</v>
      </c>
      <c r="F219" s="527">
        <v>2501318</v>
      </c>
      <c r="G219" s="527">
        <v>2617635</v>
      </c>
      <c r="H219" s="527">
        <v>2157802</v>
      </c>
      <c r="I219" s="527">
        <v>1092898</v>
      </c>
      <c r="J219" s="527">
        <v>1375144</v>
      </c>
      <c r="K219" s="527">
        <v>1284647</v>
      </c>
      <c r="L219" s="512"/>
    </row>
    <row r="220" spans="1:12" x14ac:dyDescent="0.35">
      <c r="A220" s="510" t="s">
        <v>650</v>
      </c>
      <c r="B220" s="527">
        <v>2453666</v>
      </c>
      <c r="C220" s="527">
        <v>3751079</v>
      </c>
      <c r="D220" s="527">
        <v>3327036</v>
      </c>
      <c r="E220" s="527">
        <v>2869992</v>
      </c>
      <c r="F220" s="527">
        <v>2218839</v>
      </c>
      <c r="G220" s="527">
        <v>2385465</v>
      </c>
      <c r="H220" s="527">
        <v>5456936</v>
      </c>
      <c r="I220" s="527">
        <v>2754701</v>
      </c>
      <c r="J220" s="527">
        <v>2572967</v>
      </c>
      <c r="K220" s="527">
        <v>3192300</v>
      </c>
      <c r="L220" s="512"/>
    </row>
    <row r="221" spans="1:12" x14ac:dyDescent="0.35">
      <c r="A221" s="510" t="s">
        <v>615</v>
      </c>
      <c r="B221" s="527">
        <v>7274451</v>
      </c>
      <c r="C221" s="527">
        <v>7528708</v>
      </c>
      <c r="D221" s="527">
        <v>5299939</v>
      </c>
      <c r="E221" s="527">
        <v>4575743</v>
      </c>
      <c r="F221" s="527">
        <v>4398470</v>
      </c>
      <c r="G221" s="527">
        <v>3542228</v>
      </c>
      <c r="H221" s="527">
        <v>3802973</v>
      </c>
      <c r="I221" s="527">
        <v>4091816</v>
      </c>
      <c r="J221" s="527">
        <v>3419766</v>
      </c>
      <c r="K221" s="527">
        <v>2829121</v>
      </c>
      <c r="L221" s="512"/>
    </row>
    <row r="222" spans="1:12" x14ac:dyDescent="0.35">
      <c r="A222" s="510" t="s">
        <v>822</v>
      </c>
      <c r="B222" s="527">
        <v>38252323</v>
      </c>
      <c r="C222" s="527">
        <v>43481607</v>
      </c>
      <c r="D222" s="527">
        <v>38901754</v>
      </c>
      <c r="E222" s="527">
        <v>40706554</v>
      </c>
      <c r="F222" s="527">
        <v>41686549</v>
      </c>
      <c r="G222" s="527">
        <v>41766893</v>
      </c>
      <c r="H222" s="527">
        <v>58100627</v>
      </c>
      <c r="I222" s="527">
        <v>55603973</v>
      </c>
      <c r="J222" s="527">
        <v>56048879</v>
      </c>
      <c r="K222" s="527">
        <v>61010108</v>
      </c>
      <c r="L222" s="512"/>
    </row>
    <row r="223" spans="1:12" ht="13.15" x14ac:dyDescent="0.35">
      <c r="A223" s="517" t="s">
        <v>823</v>
      </c>
      <c r="B223" s="528"/>
      <c r="C223" s="528"/>
      <c r="D223" s="528"/>
      <c r="E223" s="528"/>
      <c r="F223" s="528"/>
      <c r="G223" s="528"/>
      <c r="H223" s="528"/>
      <c r="I223" s="528"/>
      <c r="J223" s="528"/>
      <c r="K223" s="528"/>
      <c r="L223" s="512"/>
    </row>
    <row r="224" spans="1:12" x14ac:dyDescent="0.35">
      <c r="A224" s="510" t="s">
        <v>608</v>
      </c>
      <c r="B224" s="527">
        <v>290941</v>
      </c>
      <c r="C224" s="527">
        <v>299631</v>
      </c>
      <c r="D224" s="527">
        <v>263998</v>
      </c>
      <c r="E224" s="527">
        <v>276868</v>
      </c>
      <c r="F224" s="527">
        <v>292281</v>
      </c>
      <c r="G224" s="527">
        <v>268140</v>
      </c>
      <c r="H224" s="527">
        <v>340289</v>
      </c>
      <c r="I224" s="527">
        <v>362116</v>
      </c>
      <c r="J224" s="527">
        <v>351024</v>
      </c>
      <c r="K224" s="527">
        <v>374769</v>
      </c>
      <c r="L224" s="512"/>
    </row>
    <row r="225" spans="1:12" x14ac:dyDescent="0.35">
      <c r="A225" s="510" t="s">
        <v>609</v>
      </c>
      <c r="B225" s="527">
        <v>3962693</v>
      </c>
      <c r="C225" s="527">
        <v>4125618</v>
      </c>
      <c r="D225" s="527">
        <v>3658490</v>
      </c>
      <c r="E225" s="527">
        <v>3866542</v>
      </c>
      <c r="F225" s="527">
        <v>7076225</v>
      </c>
      <c r="G225" s="527">
        <v>6516293</v>
      </c>
      <c r="H225" s="527">
        <v>30886292</v>
      </c>
      <c r="I225" s="527">
        <v>32894534</v>
      </c>
      <c r="J225" s="527">
        <v>31834584</v>
      </c>
      <c r="K225" s="527">
        <v>34024793</v>
      </c>
      <c r="L225" s="512"/>
    </row>
    <row r="226" spans="1:12" x14ac:dyDescent="0.35">
      <c r="A226" s="510" t="s">
        <v>610</v>
      </c>
      <c r="B226" s="527">
        <v>11238064</v>
      </c>
      <c r="C226" s="527">
        <v>9565442</v>
      </c>
      <c r="D226" s="527">
        <v>7693406</v>
      </c>
      <c r="E226" s="527">
        <v>6716446</v>
      </c>
      <c r="F226" s="527">
        <v>4456391</v>
      </c>
      <c r="G226" s="527">
        <v>5266335</v>
      </c>
      <c r="H226" s="527">
        <v>3204169</v>
      </c>
      <c r="I226" s="527">
        <v>2919384</v>
      </c>
      <c r="J226" s="527">
        <v>4085625</v>
      </c>
      <c r="K226" s="527">
        <v>6982491</v>
      </c>
      <c r="L226" s="512"/>
    </row>
    <row r="227" spans="1:12" x14ac:dyDescent="0.35">
      <c r="A227" s="510" t="s">
        <v>611</v>
      </c>
      <c r="B227" s="527">
        <v>1532045</v>
      </c>
      <c r="C227" s="527">
        <v>93872</v>
      </c>
      <c r="D227" s="527">
        <v>842794</v>
      </c>
      <c r="E227" s="527">
        <v>29696</v>
      </c>
      <c r="F227" s="527">
        <v>-127427</v>
      </c>
      <c r="G227" s="527">
        <v>720218</v>
      </c>
      <c r="H227" s="527">
        <v>97602</v>
      </c>
      <c r="I227" s="527">
        <v>-1520513</v>
      </c>
      <c r="J227" s="527">
        <v>-858560</v>
      </c>
      <c r="K227" s="527">
        <v>-1986856</v>
      </c>
      <c r="L227" s="512"/>
    </row>
    <row r="228" spans="1:12" x14ac:dyDescent="0.35">
      <c r="A228" s="510" t="s">
        <v>824</v>
      </c>
      <c r="B228" s="527">
        <v>17023743</v>
      </c>
      <c r="C228" s="527">
        <v>14084563</v>
      </c>
      <c r="D228" s="527">
        <v>12458688</v>
      </c>
      <c r="E228" s="527">
        <v>10889551</v>
      </c>
      <c r="F228" s="527">
        <v>11697470</v>
      </c>
      <c r="G228" s="527">
        <v>12770985</v>
      </c>
      <c r="H228" s="527">
        <v>34528352</v>
      </c>
      <c r="I228" s="527">
        <v>34655521</v>
      </c>
      <c r="J228" s="527">
        <v>35412672</v>
      </c>
      <c r="K228" s="527">
        <v>39395197</v>
      </c>
      <c r="L228" s="512"/>
    </row>
    <row r="229" spans="1:12" x14ac:dyDescent="0.35">
      <c r="A229" s="510" t="s">
        <v>648</v>
      </c>
      <c r="B229" s="527">
        <v>17493</v>
      </c>
      <c r="C229" s="527">
        <v>1720983</v>
      </c>
      <c r="D229" s="527">
        <v>1400770</v>
      </c>
      <c r="E229" s="527">
        <v>1376478</v>
      </c>
      <c r="F229" s="527">
        <v>1309026</v>
      </c>
      <c r="G229" s="527">
        <v>13080</v>
      </c>
      <c r="H229" s="527">
        <v>16707</v>
      </c>
      <c r="I229" s="527">
        <v>19650</v>
      </c>
      <c r="J229" s="527">
        <v>20808</v>
      </c>
      <c r="K229" s="527">
        <v>82102</v>
      </c>
      <c r="L229" s="512"/>
    </row>
    <row r="230" spans="1:12" x14ac:dyDescent="0.35">
      <c r="A230" s="510" t="s">
        <v>825</v>
      </c>
      <c r="B230" s="527">
        <v>17041236</v>
      </c>
      <c r="C230" s="527">
        <v>15805546</v>
      </c>
      <c r="D230" s="527">
        <v>13859458</v>
      </c>
      <c r="E230" s="527">
        <v>12266030</v>
      </c>
      <c r="F230" s="527">
        <v>13006496</v>
      </c>
      <c r="G230" s="527">
        <v>12784065</v>
      </c>
      <c r="H230" s="527">
        <v>34545059</v>
      </c>
      <c r="I230" s="527">
        <v>34675171</v>
      </c>
      <c r="J230" s="527">
        <v>35433480</v>
      </c>
      <c r="K230" s="527">
        <v>39477299</v>
      </c>
      <c r="L230" s="512"/>
    </row>
    <row r="231" spans="1:12" x14ac:dyDescent="0.35">
      <c r="A231" s="510" t="s">
        <v>826</v>
      </c>
      <c r="B231" s="527">
        <v>55293559</v>
      </c>
      <c r="C231" s="527">
        <v>59287153</v>
      </c>
      <c r="D231" s="527">
        <v>52761211</v>
      </c>
      <c r="E231" s="527">
        <v>52972583</v>
      </c>
      <c r="F231" s="527">
        <v>54693045</v>
      </c>
      <c r="G231" s="527">
        <v>54550958</v>
      </c>
      <c r="H231" s="527">
        <v>92645686</v>
      </c>
      <c r="I231" s="527">
        <v>90279143</v>
      </c>
      <c r="J231" s="527">
        <v>91482359</v>
      </c>
      <c r="K231" s="527">
        <v>100487407</v>
      </c>
      <c r="L231" s="512"/>
    </row>
    <row r="232" spans="1:12" ht="13.15" x14ac:dyDescent="0.35">
      <c r="A232" s="517" t="s">
        <v>827</v>
      </c>
      <c r="B232" s="528"/>
      <c r="C232" s="528"/>
      <c r="D232" s="528"/>
      <c r="E232" s="528"/>
      <c r="F232" s="528"/>
      <c r="G232" s="528"/>
      <c r="H232" s="528"/>
      <c r="I232" s="528"/>
      <c r="J232" s="528"/>
      <c r="K232" s="528"/>
      <c r="L232" s="512"/>
    </row>
    <row r="233" spans="1:12" x14ac:dyDescent="0.35">
      <c r="A233" s="510" t="s">
        <v>828</v>
      </c>
      <c r="B233" s="527">
        <v>1264122670</v>
      </c>
      <c r="C233" s="527">
        <v>1265229424</v>
      </c>
      <c r="D233" s="527">
        <v>1266221605</v>
      </c>
      <c r="E233" s="527">
        <v>1267039436</v>
      </c>
      <c r="F233" s="527">
        <v>1312137976</v>
      </c>
      <c r="G233" s="527">
        <v>1312668724</v>
      </c>
      <c r="H233" s="527">
        <v>1549400665</v>
      </c>
      <c r="I233" s="527">
        <v>1549800030</v>
      </c>
      <c r="J233" s="527">
        <v>1550162626</v>
      </c>
      <c r="K233" s="527">
        <v>1550546239</v>
      </c>
      <c r="L233" s="512"/>
    </row>
    <row r="234" spans="1:12" x14ac:dyDescent="0.35">
      <c r="A234" s="510" t="s">
        <v>829</v>
      </c>
      <c r="B234" s="527">
        <v>1264122670</v>
      </c>
      <c r="C234" s="527">
        <v>1265229424</v>
      </c>
      <c r="D234" s="527">
        <v>1266221605</v>
      </c>
      <c r="E234" s="527">
        <v>1267039436</v>
      </c>
      <c r="F234" s="527">
        <v>1312137976</v>
      </c>
      <c r="G234" s="527">
        <v>1312668724</v>
      </c>
      <c r="H234" s="527">
        <v>1549400665</v>
      </c>
      <c r="I234" s="527">
        <v>1549800030</v>
      </c>
      <c r="J234" s="527">
        <v>1550162626</v>
      </c>
      <c r="K234" s="527">
        <v>1550546239</v>
      </c>
      <c r="L234" s="512"/>
    </row>
    <row r="235" spans="1:12" x14ac:dyDescent="0.35">
      <c r="A235" s="510" t="s">
        <v>830</v>
      </c>
      <c r="B235" s="528">
        <v>13.47</v>
      </c>
      <c r="C235" s="528">
        <v>11.13</v>
      </c>
      <c r="D235" s="528">
        <v>9.84</v>
      </c>
      <c r="E235" s="528">
        <v>8.59</v>
      </c>
      <c r="F235" s="528">
        <v>8.91</v>
      </c>
      <c r="G235" s="528">
        <v>9.73</v>
      </c>
      <c r="H235" s="528">
        <v>22.28</v>
      </c>
      <c r="I235" s="528">
        <v>22.36</v>
      </c>
      <c r="J235" s="528">
        <v>22.84</v>
      </c>
      <c r="K235" s="528">
        <v>25.41</v>
      </c>
      <c r="L235" s="512"/>
    </row>
    <row r="236" spans="1:12" x14ac:dyDescent="0.35">
      <c r="A236" s="510" t="s">
        <v>831</v>
      </c>
      <c r="B236" s="527">
        <v>-14690689</v>
      </c>
      <c r="C236" s="527">
        <v>-23126598</v>
      </c>
      <c r="D236" s="527">
        <v>-19198538</v>
      </c>
      <c r="E236" s="527">
        <v>-18514333</v>
      </c>
      <c r="F236" s="527">
        <v>-17264171</v>
      </c>
      <c r="G236" s="527">
        <v>-14036475</v>
      </c>
      <c r="H236" s="527">
        <v>-20325899</v>
      </c>
      <c r="I236" s="527">
        <v>-20669613</v>
      </c>
      <c r="J236" s="527">
        <v>-17183872</v>
      </c>
      <c r="K236" s="527">
        <v>-16822114</v>
      </c>
      <c r="L236" s="512"/>
    </row>
    <row r="237" spans="1:12" x14ac:dyDescent="0.35">
      <c r="A237" s="510" t="s">
        <v>832</v>
      </c>
      <c r="B237" s="528">
        <v>-11.62</v>
      </c>
      <c r="C237" s="528">
        <v>-18.28</v>
      </c>
      <c r="D237" s="528">
        <v>-15.16</v>
      </c>
      <c r="E237" s="528">
        <v>-14.61</v>
      </c>
      <c r="F237" s="528">
        <v>-13.16</v>
      </c>
      <c r="G237" s="528">
        <v>-10.69</v>
      </c>
      <c r="H237" s="528">
        <v>-13.12</v>
      </c>
      <c r="I237" s="528">
        <v>-13.34</v>
      </c>
      <c r="J237" s="528">
        <v>-11.09</v>
      </c>
      <c r="K237" s="528">
        <v>-10.85</v>
      </c>
      <c r="L237" s="512"/>
    </row>
    <row r="238" spans="1:12" x14ac:dyDescent="0.35">
      <c r="A238" s="510" t="s">
        <v>833</v>
      </c>
      <c r="B238" s="527">
        <v>13868504</v>
      </c>
      <c r="C238" s="527">
        <v>17867881</v>
      </c>
      <c r="D238" s="527">
        <v>16371182</v>
      </c>
      <c r="E238" s="527">
        <v>18325679</v>
      </c>
      <c r="F238" s="527">
        <v>18202500</v>
      </c>
      <c r="G238" s="527">
        <v>18567060</v>
      </c>
      <c r="H238" s="527">
        <v>29336086</v>
      </c>
      <c r="I238" s="527">
        <v>29133020</v>
      </c>
      <c r="J238" s="527">
        <v>26823450</v>
      </c>
      <c r="K238" s="527">
        <v>29421314</v>
      </c>
      <c r="L238" s="512"/>
    </row>
    <row r="239" spans="1:12" x14ac:dyDescent="0.35">
      <c r="A239" s="510" t="s">
        <v>44</v>
      </c>
      <c r="B239" s="527">
        <v>7558947</v>
      </c>
      <c r="C239" s="527">
        <v>12253589</v>
      </c>
      <c r="D239" s="527">
        <v>12578611</v>
      </c>
      <c r="E239" s="527">
        <v>13364767</v>
      </c>
      <c r="F239" s="527">
        <v>12661640</v>
      </c>
      <c r="G239" s="527">
        <v>11998448</v>
      </c>
      <c r="H239" s="527">
        <v>23710325</v>
      </c>
      <c r="I239" s="527">
        <v>23290509</v>
      </c>
      <c r="J239" s="527">
        <v>21521908</v>
      </c>
      <c r="K239" s="527">
        <v>24084717</v>
      </c>
      <c r="L239" s="512"/>
    </row>
    <row r="240" spans="1:12" x14ac:dyDescent="0.35">
      <c r="A240" s="510" t="s">
        <v>834</v>
      </c>
      <c r="B240" s="528" t="s">
        <v>690</v>
      </c>
      <c r="C240" s="528" t="s">
        <v>690</v>
      </c>
      <c r="D240" s="528" t="s">
        <v>690</v>
      </c>
      <c r="E240" s="528" t="s">
        <v>690</v>
      </c>
      <c r="F240" s="528" t="s">
        <v>690</v>
      </c>
      <c r="G240" s="528" t="s">
        <v>690</v>
      </c>
      <c r="H240" s="528" t="s">
        <v>690</v>
      </c>
      <c r="I240" s="528" t="s">
        <v>690</v>
      </c>
      <c r="J240" s="527">
        <v>1189681</v>
      </c>
      <c r="K240" s="527">
        <v>1228625</v>
      </c>
      <c r="L240" s="512"/>
    </row>
    <row r="241" spans="1:12" x14ac:dyDescent="0.35">
      <c r="A241" s="510" t="s">
        <v>835</v>
      </c>
      <c r="B241" s="527">
        <v>1334323</v>
      </c>
      <c r="C241" s="527">
        <v>1258730</v>
      </c>
      <c r="D241" s="527">
        <v>1241638</v>
      </c>
      <c r="E241" s="527">
        <v>1274749</v>
      </c>
      <c r="F241" s="527">
        <v>-14293</v>
      </c>
      <c r="G241" s="528" t="s">
        <v>690</v>
      </c>
      <c r="H241" s="528" t="s">
        <v>690</v>
      </c>
      <c r="I241" s="528" t="s">
        <v>690</v>
      </c>
      <c r="J241" s="528" t="s">
        <v>690</v>
      </c>
      <c r="K241" s="528" t="s">
        <v>690</v>
      </c>
      <c r="L241" s="512"/>
    </row>
    <row r="242" spans="1:12" x14ac:dyDescent="0.35">
      <c r="A242" s="510" t="s">
        <v>648</v>
      </c>
      <c r="B242" s="527">
        <v>17493</v>
      </c>
      <c r="C242" s="527">
        <v>1720983</v>
      </c>
      <c r="D242" s="527">
        <v>1400770</v>
      </c>
      <c r="E242" s="527">
        <v>1376478</v>
      </c>
      <c r="F242" s="527">
        <v>1309026</v>
      </c>
      <c r="G242" s="527">
        <v>13080</v>
      </c>
      <c r="H242" s="527">
        <v>16707</v>
      </c>
      <c r="I242" s="527">
        <v>19650</v>
      </c>
      <c r="J242" s="527">
        <v>20808</v>
      </c>
      <c r="K242" s="527">
        <v>82102</v>
      </c>
      <c r="L242" s="512"/>
    </row>
    <row r="243" spans="1:12" x14ac:dyDescent="0.35">
      <c r="A243" s="510" t="s">
        <v>836</v>
      </c>
      <c r="B243" s="527">
        <v>78260</v>
      </c>
      <c r="C243" s="527">
        <v>93872</v>
      </c>
      <c r="D243" s="527">
        <v>85778</v>
      </c>
      <c r="E243" s="527">
        <v>77733</v>
      </c>
      <c r="F243" s="527">
        <v>51684</v>
      </c>
      <c r="G243" s="527">
        <v>31883</v>
      </c>
      <c r="H243" s="527">
        <v>60672</v>
      </c>
      <c r="I243" s="527">
        <v>71113</v>
      </c>
      <c r="J243" s="527">
        <v>132991</v>
      </c>
      <c r="K243" s="527">
        <v>258861</v>
      </c>
      <c r="L243" s="512"/>
    </row>
    <row r="244" spans="1:12" x14ac:dyDescent="0.35">
      <c r="A244" s="510" t="s">
        <v>837</v>
      </c>
      <c r="B244" s="527">
        <v>883872</v>
      </c>
      <c r="C244" s="527">
        <v>768990</v>
      </c>
      <c r="D244" s="527">
        <v>852787</v>
      </c>
      <c r="E244" s="527">
        <v>693480</v>
      </c>
      <c r="F244" s="527">
        <v>739613</v>
      </c>
      <c r="G244" s="527">
        <v>1031685</v>
      </c>
      <c r="H244" s="527">
        <v>1543172</v>
      </c>
      <c r="I244" s="527">
        <v>1330565</v>
      </c>
      <c r="J244" s="527">
        <v>1385096</v>
      </c>
      <c r="K244" s="527">
        <v>1438225</v>
      </c>
      <c r="L244" s="512"/>
    </row>
    <row r="245" spans="1:12" x14ac:dyDescent="0.35">
      <c r="A245" s="510" t="s">
        <v>838</v>
      </c>
      <c r="B245" s="527">
        <v>501782</v>
      </c>
      <c r="C245" s="527">
        <v>1005092</v>
      </c>
      <c r="D245" s="527">
        <v>1006022</v>
      </c>
      <c r="E245" s="527">
        <v>1266430</v>
      </c>
      <c r="F245" s="527">
        <v>1133479</v>
      </c>
      <c r="G245" s="527">
        <v>1088093</v>
      </c>
      <c r="H245" s="527">
        <v>4586429</v>
      </c>
      <c r="I245" s="527">
        <v>1744145</v>
      </c>
      <c r="J245" s="527">
        <v>2103428</v>
      </c>
      <c r="K245" s="527">
        <v>2204184</v>
      </c>
      <c r="L245" s="512"/>
    </row>
    <row r="246" spans="1:12" x14ac:dyDescent="0.35">
      <c r="A246" s="510" t="s">
        <v>839</v>
      </c>
      <c r="B246" s="527">
        <v>587407</v>
      </c>
      <c r="C246" s="527">
        <v>439017</v>
      </c>
      <c r="D246" s="527">
        <v>668738</v>
      </c>
      <c r="E246" s="527">
        <v>564216</v>
      </c>
      <c r="F246" s="527">
        <v>972190</v>
      </c>
      <c r="G246" s="527">
        <v>1169843</v>
      </c>
      <c r="H246" s="527">
        <v>1769152</v>
      </c>
      <c r="I246" s="527">
        <v>1322144</v>
      </c>
      <c r="J246" s="527">
        <v>1418570</v>
      </c>
      <c r="K246" s="527">
        <v>1465270</v>
      </c>
      <c r="L246" s="512"/>
    </row>
    <row r="247" spans="1:12" x14ac:dyDescent="0.35">
      <c r="A247" s="510" t="s">
        <v>840</v>
      </c>
      <c r="B247" s="527">
        <v>4430408</v>
      </c>
      <c r="C247" s="527">
        <v>4376891</v>
      </c>
      <c r="D247" s="527">
        <v>4183154</v>
      </c>
      <c r="E247" s="527">
        <v>4686664</v>
      </c>
      <c r="F247" s="527">
        <v>4929565</v>
      </c>
      <c r="G247" s="527">
        <v>4783193</v>
      </c>
      <c r="H247" s="527">
        <v>5607296</v>
      </c>
      <c r="I247" s="527">
        <v>5090208</v>
      </c>
      <c r="J247" s="527">
        <v>5852504</v>
      </c>
      <c r="K247" s="527">
        <v>6355622</v>
      </c>
      <c r="L247" s="512"/>
    </row>
    <row r="248" spans="1:12" x14ac:dyDescent="0.35">
      <c r="A248" s="510" t="s">
        <v>841</v>
      </c>
      <c r="B248" s="527">
        <v>6875788</v>
      </c>
      <c r="C248" s="527">
        <v>6204073</v>
      </c>
      <c r="D248" s="527">
        <v>5982002</v>
      </c>
      <c r="E248" s="527">
        <v>6197646</v>
      </c>
      <c r="F248" s="527">
        <v>6578991</v>
      </c>
      <c r="G248" s="527">
        <v>6325815</v>
      </c>
      <c r="H248" s="527">
        <v>6949108</v>
      </c>
      <c r="I248" s="527">
        <v>7070149</v>
      </c>
      <c r="J248" s="527">
        <v>7874509</v>
      </c>
      <c r="K248" s="527">
        <v>8552079</v>
      </c>
      <c r="L248" s="512"/>
    </row>
    <row r="249" spans="1:12" x14ac:dyDescent="0.35">
      <c r="A249" s="510" t="s">
        <v>842</v>
      </c>
      <c r="B249" s="527">
        <v>1443658</v>
      </c>
      <c r="C249" s="527">
        <v>2173274</v>
      </c>
      <c r="D249" s="527">
        <v>2026202</v>
      </c>
      <c r="E249" s="527">
        <v>1901392</v>
      </c>
      <c r="F249" s="527">
        <v>1858835</v>
      </c>
      <c r="G249" s="527">
        <v>2025765</v>
      </c>
      <c r="H249" s="527">
        <v>2398730</v>
      </c>
      <c r="I249" s="527">
        <v>2482412</v>
      </c>
      <c r="J249" s="527">
        <v>1850112</v>
      </c>
      <c r="K249" s="527">
        <v>2693895</v>
      </c>
      <c r="L249" s="512"/>
    </row>
    <row r="250" spans="1:12" x14ac:dyDescent="0.35">
      <c r="A250" s="510" t="s">
        <v>843</v>
      </c>
      <c r="B250" s="527">
        <v>61500</v>
      </c>
      <c r="C250" s="527">
        <v>59700</v>
      </c>
      <c r="D250" s="527">
        <v>61100</v>
      </c>
      <c r="E250" s="527">
        <v>64400</v>
      </c>
      <c r="F250" s="527">
        <v>70600</v>
      </c>
      <c r="G250" s="527">
        <v>76100</v>
      </c>
      <c r="H250" s="527">
        <v>83100</v>
      </c>
      <c r="I250" s="527">
        <v>83500</v>
      </c>
      <c r="J250" s="527">
        <v>89900</v>
      </c>
      <c r="K250" s="527">
        <v>94300</v>
      </c>
      <c r="L250" s="512"/>
    </row>
    <row r="251" spans="1:12" x14ac:dyDescent="0.35">
      <c r="A251" s="510" t="s">
        <v>844</v>
      </c>
      <c r="B251" s="527">
        <v>47876</v>
      </c>
      <c r="C251" s="527">
        <v>39824</v>
      </c>
      <c r="D251" s="527">
        <v>13325</v>
      </c>
      <c r="E251" s="527">
        <v>33189</v>
      </c>
      <c r="F251" s="527">
        <v>18713</v>
      </c>
      <c r="G251" s="527">
        <v>18803</v>
      </c>
      <c r="H251" s="527">
        <v>20224</v>
      </c>
      <c r="I251" s="527">
        <v>55206</v>
      </c>
      <c r="J251" s="527">
        <v>40712</v>
      </c>
      <c r="K251" s="527">
        <v>31875</v>
      </c>
      <c r="L251" s="512"/>
    </row>
    <row r="252" spans="1:12" x14ac:dyDescent="0.35">
      <c r="A252" s="510" t="s">
        <v>783</v>
      </c>
      <c r="B252" s="528" t="s">
        <v>845</v>
      </c>
      <c r="C252" s="528" t="s">
        <v>810</v>
      </c>
      <c r="D252" s="528" t="s">
        <v>845</v>
      </c>
      <c r="E252" s="528" t="s">
        <v>845</v>
      </c>
      <c r="F252" s="528" t="s">
        <v>810</v>
      </c>
      <c r="G252" s="528" t="s">
        <v>810</v>
      </c>
      <c r="H252" s="528" t="s">
        <v>810</v>
      </c>
      <c r="I252" s="528" t="s">
        <v>810</v>
      </c>
      <c r="J252" s="528" t="s">
        <v>810</v>
      </c>
      <c r="K252" s="528" t="s">
        <v>785</v>
      </c>
      <c r="L252" s="512"/>
    </row>
    <row r="253" spans="1:12" x14ac:dyDescent="0.35">
      <c r="A253" s="510" t="s">
        <v>786</v>
      </c>
      <c r="B253" s="528" t="s">
        <v>787</v>
      </c>
      <c r="C253" s="528" t="s">
        <v>787</v>
      </c>
      <c r="D253" s="528" t="s">
        <v>787</v>
      </c>
      <c r="E253" s="528" t="s">
        <v>787</v>
      </c>
      <c r="F253" s="528" t="s">
        <v>787</v>
      </c>
      <c r="G253" s="528" t="s">
        <v>787</v>
      </c>
      <c r="H253" s="528" t="s">
        <v>787</v>
      </c>
      <c r="I253" s="528" t="s">
        <v>787</v>
      </c>
      <c r="J253" s="528" t="s">
        <v>787</v>
      </c>
      <c r="K253" s="528" t="s">
        <v>787</v>
      </c>
      <c r="L253" s="512"/>
    </row>
    <row r="254" spans="1:12" ht="13.15" x14ac:dyDescent="0.35">
      <c r="A254" s="517" t="s">
        <v>846</v>
      </c>
      <c r="B254" s="528"/>
      <c r="C254" s="528"/>
      <c r="D254" s="528"/>
      <c r="E254" s="528"/>
      <c r="F254" s="528"/>
      <c r="G254" s="528"/>
      <c r="H254" s="528"/>
      <c r="I254" s="528"/>
      <c r="J254" s="528"/>
      <c r="K254" s="528"/>
      <c r="L254" s="512"/>
    </row>
    <row r="255" spans="1:12" x14ac:dyDescent="0.35">
      <c r="A255" s="510" t="s">
        <v>847</v>
      </c>
      <c r="B255" s="528" t="s">
        <v>690</v>
      </c>
      <c r="C255" s="528" t="s">
        <v>690</v>
      </c>
      <c r="D255" s="528" t="s">
        <v>690</v>
      </c>
      <c r="E255" s="528" t="s">
        <v>690</v>
      </c>
      <c r="F255" s="527">
        <v>30373</v>
      </c>
      <c r="G255" s="527">
        <v>1754</v>
      </c>
      <c r="H255" s="527">
        <v>48219</v>
      </c>
      <c r="I255" s="527">
        <v>244488</v>
      </c>
      <c r="J255" s="528" t="s">
        <v>690</v>
      </c>
      <c r="K255" s="528" t="s">
        <v>690</v>
      </c>
      <c r="L255" s="512"/>
    </row>
    <row r="256" spans="1:12" x14ac:dyDescent="0.35">
      <c r="A256" s="510" t="s">
        <v>848</v>
      </c>
      <c r="B256" s="528" t="s">
        <v>690</v>
      </c>
      <c r="C256" s="528" t="s">
        <v>690</v>
      </c>
      <c r="D256" s="528" t="s">
        <v>690</v>
      </c>
      <c r="E256" s="528" t="s">
        <v>690</v>
      </c>
      <c r="F256" s="527">
        <v>194747</v>
      </c>
      <c r="G256" s="527">
        <v>205249</v>
      </c>
      <c r="H256" s="527">
        <v>253787</v>
      </c>
      <c r="I256" s="527">
        <v>652602</v>
      </c>
      <c r="J256" s="528" t="s">
        <v>690</v>
      </c>
      <c r="K256" s="528" t="s">
        <v>690</v>
      </c>
      <c r="L256" s="512"/>
    </row>
    <row r="257" spans="1:12" x14ac:dyDescent="0.35">
      <c r="A257" s="510" t="s">
        <v>849</v>
      </c>
      <c r="B257" s="528" t="s">
        <v>690</v>
      </c>
      <c r="C257" s="528" t="s">
        <v>690</v>
      </c>
      <c r="D257" s="528" t="s">
        <v>690</v>
      </c>
      <c r="E257" s="528" t="s">
        <v>690</v>
      </c>
      <c r="F257" s="527">
        <v>225120</v>
      </c>
      <c r="G257" s="527">
        <v>207003</v>
      </c>
      <c r="H257" s="527">
        <v>302006</v>
      </c>
      <c r="I257" s="527">
        <v>897090</v>
      </c>
      <c r="J257" s="528" t="s">
        <v>690</v>
      </c>
      <c r="K257" s="528" t="s">
        <v>690</v>
      </c>
      <c r="L257" s="512"/>
    </row>
    <row r="258" spans="1:12" ht="13.15" x14ac:dyDescent="0.35">
      <c r="A258" s="517" t="s">
        <v>850</v>
      </c>
      <c r="B258" s="528"/>
      <c r="C258" s="528"/>
      <c r="D258" s="528"/>
      <c r="E258" s="528"/>
      <c r="F258" s="528"/>
      <c r="G258" s="528"/>
      <c r="H258" s="528"/>
      <c r="I258" s="528"/>
      <c r="J258" s="528"/>
      <c r="K258" s="528"/>
      <c r="L258" s="512"/>
    </row>
    <row r="259" spans="1:12" x14ac:dyDescent="0.35">
      <c r="A259" s="510" t="s">
        <v>851</v>
      </c>
      <c r="B259" s="527">
        <v>602138</v>
      </c>
      <c r="C259" s="527">
        <v>884671</v>
      </c>
      <c r="D259" s="527">
        <v>1172582</v>
      </c>
      <c r="E259" s="527">
        <v>1289138</v>
      </c>
      <c r="F259" s="527">
        <v>1768834</v>
      </c>
      <c r="G259" s="527">
        <v>824858</v>
      </c>
      <c r="H259" s="527">
        <v>949644</v>
      </c>
      <c r="I259" s="527">
        <v>835580</v>
      </c>
      <c r="J259" s="527">
        <v>1119114</v>
      </c>
      <c r="K259" s="527">
        <v>1271124</v>
      </c>
      <c r="L259" s="512"/>
    </row>
    <row r="260" spans="1:12" x14ac:dyDescent="0.35">
      <c r="A260" s="510" t="s">
        <v>852</v>
      </c>
      <c r="B260" s="527">
        <v>412474</v>
      </c>
      <c r="C260" s="527">
        <v>350834</v>
      </c>
      <c r="D260" s="527">
        <v>443050</v>
      </c>
      <c r="E260" s="527">
        <v>362461</v>
      </c>
      <c r="F260" s="527">
        <v>86437</v>
      </c>
      <c r="G260" s="527">
        <v>255878</v>
      </c>
      <c r="H260" s="527">
        <v>162671</v>
      </c>
      <c r="I260" s="527">
        <v>150648</v>
      </c>
      <c r="J260" s="527">
        <v>311217</v>
      </c>
      <c r="K260" s="527">
        <v>227952</v>
      </c>
      <c r="L260" s="512"/>
    </row>
    <row r="261" spans="1:12" x14ac:dyDescent="0.35">
      <c r="A261" s="510" t="s">
        <v>853</v>
      </c>
      <c r="B261" s="527">
        <v>324086</v>
      </c>
      <c r="C261" s="527">
        <v>607796</v>
      </c>
      <c r="D261" s="527">
        <v>562140</v>
      </c>
      <c r="E261" s="527">
        <v>144984</v>
      </c>
      <c r="F261" s="527">
        <v>202280</v>
      </c>
      <c r="G261" s="527">
        <v>177398</v>
      </c>
      <c r="H261" s="527">
        <v>104637</v>
      </c>
      <c r="I261" s="527">
        <v>191819</v>
      </c>
      <c r="J261" s="527">
        <v>294028</v>
      </c>
      <c r="K261" s="527">
        <v>340963</v>
      </c>
      <c r="L261" s="512"/>
    </row>
    <row r="262" spans="1:12" x14ac:dyDescent="0.35">
      <c r="A262" s="510" t="s">
        <v>854</v>
      </c>
      <c r="B262" s="527">
        <v>1338698</v>
      </c>
      <c r="C262" s="527">
        <v>1843301</v>
      </c>
      <c r="D262" s="527">
        <v>2177772</v>
      </c>
      <c r="E262" s="527">
        <v>1796584</v>
      </c>
      <c r="F262" s="527">
        <v>2057550</v>
      </c>
      <c r="G262" s="527">
        <v>1258133</v>
      </c>
      <c r="H262" s="527">
        <v>1216951</v>
      </c>
      <c r="I262" s="527">
        <v>1178046</v>
      </c>
      <c r="J262" s="527">
        <v>1724358</v>
      </c>
      <c r="K262" s="527">
        <v>1840040</v>
      </c>
      <c r="L262" s="512"/>
    </row>
    <row r="263" spans="1:12" x14ac:dyDescent="0.35">
      <c r="A263" s="510" t="s">
        <v>855</v>
      </c>
      <c r="B263" s="527">
        <v>14539694</v>
      </c>
      <c r="C263" s="527">
        <v>18706090</v>
      </c>
      <c r="D263" s="527">
        <v>15925634</v>
      </c>
      <c r="E263" s="527">
        <v>16968415</v>
      </c>
      <c r="F263" s="527">
        <v>17579621</v>
      </c>
      <c r="G263" s="527">
        <v>18686415</v>
      </c>
      <c r="H263" s="527">
        <v>28114738</v>
      </c>
      <c r="I263" s="527">
        <v>25041203</v>
      </c>
      <c r="J263" s="527">
        <v>24115683</v>
      </c>
      <c r="K263" s="527">
        <v>26724521</v>
      </c>
      <c r="L263" s="512"/>
    </row>
    <row r="264" spans="1:12" x14ac:dyDescent="0.35">
      <c r="A264" s="510" t="s">
        <v>856</v>
      </c>
      <c r="B264" s="527">
        <v>9207</v>
      </c>
      <c r="C264" s="527">
        <v>128007</v>
      </c>
      <c r="D264" s="527">
        <v>23318</v>
      </c>
      <c r="E264" s="527">
        <v>27075</v>
      </c>
      <c r="F264" s="527">
        <v>48119</v>
      </c>
      <c r="G264" s="527">
        <v>28613</v>
      </c>
      <c r="H264" s="527">
        <v>109033</v>
      </c>
      <c r="I264" s="527">
        <v>240475</v>
      </c>
      <c r="J264" s="527">
        <v>175512</v>
      </c>
      <c r="K264" s="527">
        <v>159374</v>
      </c>
      <c r="L264" s="512"/>
    </row>
    <row r="265" spans="1:12" x14ac:dyDescent="0.35">
      <c r="A265" s="510" t="s">
        <v>857</v>
      </c>
      <c r="B265" s="527">
        <v>5902608</v>
      </c>
      <c r="C265" s="527">
        <v>5174327</v>
      </c>
      <c r="D265" s="527">
        <v>4608715</v>
      </c>
      <c r="E265" s="527">
        <v>4459580</v>
      </c>
      <c r="F265" s="527">
        <v>3688263</v>
      </c>
      <c r="G265" s="527">
        <v>2716553</v>
      </c>
      <c r="H265" s="527">
        <v>2519195</v>
      </c>
      <c r="I265" s="527">
        <v>2079125</v>
      </c>
      <c r="J265" s="527">
        <v>1933344</v>
      </c>
      <c r="K265" s="527">
        <v>1691291</v>
      </c>
      <c r="L265" s="512"/>
    </row>
    <row r="266" spans="1:12" x14ac:dyDescent="0.35">
      <c r="A266" s="510" t="s">
        <v>858</v>
      </c>
      <c r="B266" s="527">
        <v>20451509</v>
      </c>
      <c r="C266" s="527">
        <v>24008424</v>
      </c>
      <c r="D266" s="527">
        <v>20557668</v>
      </c>
      <c r="E266" s="527">
        <v>21455071</v>
      </c>
      <c r="F266" s="527">
        <v>21316003</v>
      </c>
      <c r="G266" s="527">
        <v>21431580</v>
      </c>
      <c r="H266" s="527">
        <v>30742966</v>
      </c>
      <c r="I266" s="527">
        <v>27360804</v>
      </c>
      <c r="J266" s="527">
        <v>26224539</v>
      </c>
      <c r="K266" s="527">
        <v>28575186</v>
      </c>
      <c r="L266" s="512"/>
    </row>
    <row r="267" spans="1:12" x14ac:dyDescent="0.35">
      <c r="A267" s="510" t="s">
        <v>859</v>
      </c>
      <c r="B267" s="527">
        <v>389478</v>
      </c>
      <c r="C267" s="527">
        <v>1047133</v>
      </c>
      <c r="D267" s="527">
        <v>-96670</v>
      </c>
      <c r="E267" s="527">
        <v>419548</v>
      </c>
      <c r="F267" s="527">
        <v>548507</v>
      </c>
      <c r="G267" s="527">
        <v>238580</v>
      </c>
      <c r="H267" s="527">
        <v>-11843</v>
      </c>
      <c r="I267" s="527">
        <v>-78008</v>
      </c>
      <c r="J267" s="527">
        <v>-507750</v>
      </c>
      <c r="K267" s="527">
        <v>-287546</v>
      </c>
      <c r="L267" s="512"/>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9279E-43CA-4255-8F38-3887415B5C7F}">
  <dimension ref="A1:L286"/>
  <sheetViews>
    <sheetView workbookViewId="0"/>
  </sheetViews>
  <sheetFormatPr defaultColWidth="9.1328125" defaultRowHeight="12.75" x14ac:dyDescent="0.35"/>
  <cols>
    <col min="1" max="1" width="49.46484375" bestFit="1" customWidth="1"/>
    <col min="2" max="3" width="12.6640625" bestFit="1" customWidth="1"/>
    <col min="9" max="9" width="12.6640625" bestFit="1" customWidth="1"/>
    <col min="11" max="11" width="12.6640625" bestFit="1" customWidth="1"/>
  </cols>
  <sheetData>
    <row r="1" spans="1:12" x14ac:dyDescent="0.35">
      <c r="A1" s="513"/>
      <c r="B1" s="513"/>
      <c r="C1" s="513"/>
      <c r="D1" s="513"/>
      <c r="E1" s="512"/>
      <c r="F1" s="512"/>
      <c r="G1" s="512"/>
      <c r="H1" s="512"/>
      <c r="I1" s="512"/>
      <c r="J1" s="512"/>
      <c r="K1" s="512"/>
      <c r="L1" s="512"/>
    </row>
    <row r="2" spans="1:12" ht="17.649999999999999" x14ac:dyDescent="0.5">
      <c r="A2" s="521" t="s">
        <v>860</v>
      </c>
      <c r="B2" s="521"/>
      <c r="C2" s="521"/>
      <c r="D2" s="521"/>
      <c r="E2" s="521"/>
      <c r="F2" s="521"/>
      <c r="G2" s="521"/>
      <c r="H2" s="521"/>
      <c r="I2" s="521"/>
      <c r="J2" s="521"/>
      <c r="K2" s="521"/>
      <c r="L2" s="521"/>
    </row>
    <row r="3" spans="1:12" x14ac:dyDescent="0.35">
      <c r="A3" s="510" t="s">
        <v>861</v>
      </c>
      <c r="B3" s="512"/>
      <c r="C3" s="512"/>
      <c r="D3" s="512"/>
      <c r="E3" s="512"/>
      <c r="F3" s="512"/>
      <c r="G3" s="512"/>
      <c r="H3" s="512"/>
      <c r="I3" s="512"/>
      <c r="J3" s="512"/>
      <c r="K3" s="512"/>
      <c r="L3" s="512"/>
    </row>
    <row r="4" spans="1:12" x14ac:dyDescent="0.35">
      <c r="A4" s="512"/>
      <c r="B4" s="512"/>
      <c r="C4" s="512"/>
      <c r="D4" s="512"/>
      <c r="E4" s="512"/>
      <c r="F4" s="512"/>
      <c r="G4" s="512"/>
      <c r="H4" s="512"/>
      <c r="I4" s="512"/>
      <c r="J4" s="512"/>
      <c r="K4" s="512"/>
      <c r="L4" s="512"/>
    </row>
    <row r="5" spans="1:12" x14ac:dyDescent="0.35">
      <c r="A5" s="510" t="s">
        <v>665</v>
      </c>
      <c r="B5" s="523"/>
      <c r="C5" s="512"/>
      <c r="D5" s="512"/>
      <c r="E5" s="512"/>
      <c r="F5" s="512"/>
      <c r="G5" s="512"/>
      <c r="H5" s="512"/>
      <c r="I5" s="512"/>
      <c r="J5" s="512"/>
      <c r="K5" s="512"/>
      <c r="L5" s="512"/>
    </row>
    <row r="6" spans="1:12" x14ac:dyDescent="0.35">
      <c r="A6" s="510" t="s">
        <v>666</v>
      </c>
      <c r="B6" s="523"/>
      <c r="C6" s="512"/>
      <c r="D6" s="512"/>
      <c r="E6" s="512"/>
      <c r="F6" s="512"/>
      <c r="G6" s="512"/>
      <c r="H6" s="512"/>
      <c r="I6" s="512"/>
      <c r="J6" s="512"/>
      <c r="K6" s="512"/>
      <c r="L6" s="512"/>
    </row>
    <row r="7" spans="1:12" x14ac:dyDescent="0.35">
      <c r="A7" s="510" t="s">
        <v>667</v>
      </c>
      <c r="B7" s="523"/>
      <c r="C7" s="512"/>
      <c r="D7" s="512"/>
      <c r="E7" s="512"/>
      <c r="F7" s="512"/>
      <c r="G7" s="512"/>
      <c r="H7" s="512"/>
      <c r="I7" s="512"/>
      <c r="J7" s="512"/>
      <c r="K7" s="512"/>
      <c r="L7" s="512"/>
    </row>
    <row r="8" spans="1:12" x14ac:dyDescent="0.35">
      <c r="A8" s="510" t="s">
        <v>730</v>
      </c>
      <c r="B8" s="523"/>
      <c r="C8" s="512"/>
      <c r="D8" s="512"/>
      <c r="E8" s="512"/>
      <c r="F8" s="512"/>
      <c r="G8" s="512"/>
      <c r="H8" s="512"/>
      <c r="I8" s="512"/>
      <c r="J8" s="512"/>
      <c r="K8" s="512"/>
      <c r="L8" s="512"/>
    </row>
    <row r="9" spans="1:12" x14ac:dyDescent="0.35">
      <c r="A9" s="510" t="s">
        <v>668</v>
      </c>
      <c r="B9" s="523"/>
      <c r="C9" s="512"/>
      <c r="D9" s="512"/>
      <c r="E9" s="512"/>
      <c r="F9" s="512"/>
      <c r="G9" s="512"/>
      <c r="H9" s="512"/>
      <c r="I9" s="512"/>
      <c r="J9" s="512"/>
      <c r="K9" s="512"/>
      <c r="L9" s="512"/>
    </row>
    <row r="10" spans="1:12" x14ac:dyDescent="0.35">
      <c r="A10" s="510" t="s">
        <v>731</v>
      </c>
      <c r="B10" s="523"/>
      <c r="C10" s="512"/>
      <c r="D10" s="512"/>
      <c r="E10" s="512"/>
      <c r="F10" s="512"/>
      <c r="G10" s="512"/>
      <c r="H10" s="512"/>
      <c r="I10" s="512"/>
      <c r="J10" s="512"/>
      <c r="K10" s="512"/>
      <c r="L10" s="512"/>
    </row>
    <row r="11" spans="1:12" x14ac:dyDescent="0.35">
      <c r="A11" s="510" t="s">
        <v>732</v>
      </c>
      <c r="B11" s="523"/>
      <c r="C11" s="512"/>
      <c r="D11" s="512"/>
      <c r="E11" s="512"/>
      <c r="F11" s="512"/>
      <c r="G11" s="512"/>
      <c r="H11" s="512"/>
      <c r="I11" s="512"/>
      <c r="J11" s="512"/>
      <c r="K11" s="512"/>
      <c r="L11" s="512"/>
    </row>
    <row r="12" spans="1:12" x14ac:dyDescent="0.35">
      <c r="A12" s="526"/>
      <c r="B12" s="526"/>
      <c r="C12" s="526"/>
      <c r="D12" s="526"/>
      <c r="E12" s="526"/>
      <c r="F12" s="526"/>
      <c r="G12" s="526"/>
      <c r="H12" s="526"/>
      <c r="I12" s="526"/>
      <c r="J12" s="526"/>
      <c r="K12" s="526"/>
      <c r="L12" s="512"/>
    </row>
    <row r="13" spans="1:12" x14ac:dyDescent="0.35">
      <c r="A13" s="520" t="s">
        <v>670</v>
      </c>
      <c r="B13" s="519" t="s">
        <v>733</v>
      </c>
      <c r="C13" s="519" t="s">
        <v>720</v>
      </c>
      <c r="D13" s="519" t="s">
        <v>671</v>
      </c>
      <c r="E13" s="519" t="s">
        <v>672</v>
      </c>
      <c r="F13" s="519" t="s">
        <v>673</v>
      </c>
      <c r="G13" s="519" t="s">
        <v>674</v>
      </c>
      <c r="H13" s="519" t="s">
        <v>675</v>
      </c>
      <c r="I13" s="519" t="s">
        <v>676</v>
      </c>
      <c r="J13" s="519" t="s">
        <v>677</v>
      </c>
      <c r="K13" s="519" t="s">
        <v>734</v>
      </c>
      <c r="L13" s="512"/>
    </row>
    <row r="14" spans="1:12" ht="25.5" x14ac:dyDescent="0.35">
      <c r="A14" s="510" t="s">
        <v>73</v>
      </c>
      <c r="B14" s="528" t="s">
        <v>735</v>
      </c>
      <c r="C14" s="528" t="s">
        <v>735</v>
      </c>
      <c r="D14" s="528" t="s">
        <v>735</v>
      </c>
      <c r="E14" s="528" t="s">
        <v>735</v>
      </c>
      <c r="F14" s="528" t="s">
        <v>735</v>
      </c>
      <c r="G14" s="528" t="s">
        <v>735</v>
      </c>
      <c r="H14" s="528" t="s">
        <v>735</v>
      </c>
      <c r="I14" s="528" t="s">
        <v>735</v>
      </c>
      <c r="J14" s="528" t="s">
        <v>735</v>
      </c>
      <c r="K14" s="528" t="s">
        <v>735</v>
      </c>
      <c r="L14" s="512"/>
    </row>
    <row r="15" spans="1:12" ht="25.5" x14ac:dyDescent="0.35">
      <c r="A15" s="510" t="s">
        <v>678</v>
      </c>
      <c r="B15" s="528" t="s">
        <v>736</v>
      </c>
      <c r="C15" s="528" t="s">
        <v>737</v>
      </c>
      <c r="D15" s="528" t="s">
        <v>679</v>
      </c>
      <c r="E15" s="528" t="s">
        <v>680</v>
      </c>
      <c r="F15" s="528" t="s">
        <v>681</v>
      </c>
      <c r="G15" s="528" t="s">
        <v>682</v>
      </c>
      <c r="H15" s="528" t="s">
        <v>683</v>
      </c>
      <c r="I15" s="528" t="s">
        <v>684</v>
      </c>
      <c r="J15" s="528" t="s">
        <v>685</v>
      </c>
      <c r="K15" s="528" t="s">
        <v>738</v>
      </c>
      <c r="L15" s="512"/>
    </row>
    <row r="16" spans="1:12" x14ac:dyDescent="0.35">
      <c r="A16" s="510" t="s">
        <v>739</v>
      </c>
      <c r="B16" s="528" t="s">
        <v>862</v>
      </c>
      <c r="C16" s="530">
        <v>43802</v>
      </c>
      <c r="D16" s="530">
        <v>43924</v>
      </c>
      <c r="E16" s="530">
        <v>44442</v>
      </c>
      <c r="F16" s="530">
        <v>44654</v>
      </c>
      <c r="G16" s="530">
        <v>45202</v>
      </c>
      <c r="H16" s="530">
        <v>45294</v>
      </c>
      <c r="I16" s="530">
        <v>45294</v>
      </c>
      <c r="J16" s="530">
        <v>45294</v>
      </c>
      <c r="K16" s="530">
        <v>45779</v>
      </c>
      <c r="L16" s="512"/>
    </row>
    <row r="17" spans="1:12" x14ac:dyDescent="0.35">
      <c r="A17" s="510" t="s">
        <v>745</v>
      </c>
      <c r="B17" s="528">
        <v>1.3569640000000001</v>
      </c>
      <c r="C17" s="528">
        <v>1.1711959999999999</v>
      </c>
      <c r="D17" s="528">
        <v>1.125634</v>
      </c>
      <c r="E17" s="528">
        <v>1.113165</v>
      </c>
      <c r="F17" s="528">
        <v>1.1801870000000001</v>
      </c>
      <c r="G17" s="528">
        <v>1.1161319999999999</v>
      </c>
      <c r="H17" s="528">
        <v>1.1906239999999999</v>
      </c>
      <c r="I17" s="528">
        <v>1.1274169999999999</v>
      </c>
      <c r="J17" s="528">
        <v>1.1523669999999999</v>
      </c>
      <c r="K17" s="528">
        <v>1.2092339999999999</v>
      </c>
      <c r="L17" s="512"/>
    </row>
    <row r="18" spans="1:12" x14ac:dyDescent="0.35">
      <c r="A18" s="510" t="s">
        <v>746</v>
      </c>
      <c r="B18" s="528">
        <v>1.3775299999999999</v>
      </c>
      <c r="C18" s="528">
        <v>1.2242310000000001</v>
      </c>
      <c r="D18" s="528">
        <v>1.1415150000000001</v>
      </c>
      <c r="E18" s="528">
        <v>1.1304479999999999</v>
      </c>
      <c r="F18" s="528">
        <v>1.1402749999999999</v>
      </c>
      <c r="G18" s="528">
        <v>1.1252009999999999</v>
      </c>
      <c r="H18" s="528">
        <v>1.163424</v>
      </c>
      <c r="I18" s="528">
        <v>1.1731</v>
      </c>
      <c r="J18" s="528">
        <v>1.1498949999999999</v>
      </c>
      <c r="K18" s="528">
        <v>1.181354</v>
      </c>
      <c r="L18" s="512"/>
    </row>
    <row r="19" spans="1:12" x14ac:dyDescent="0.35">
      <c r="A19" s="510" t="s">
        <v>73</v>
      </c>
      <c r="B19" s="528"/>
      <c r="C19" s="528"/>
      <c r="D19" s="528"/>
      <c r="E19" s="528"/>
      <c r="F19" s="528"/>
      <c r="G19" s="528"/>
      <c r="H19" s="528"/>
      <c r="I19" s="528"/>
      <c r="J19" s="528"/>
      <c r="K19" s="528"/>
      <c r="L19" s="512"/>
    </row>
    <row r="20" spans="1:12" ht="13.15" x14ac:dyDescent="0.35">
      <c r="A20" s="531">
        <v>0</v>
      </c>
      <c r="B20" s="528"/>
      <c r="C20" s="528"/>
      <c r="D20" s="528"/>
      <c r="E20" s="528"/>
      <c r="F20" s="528"/>
      <c r="G20" s="528"/>
      <c r="H20" s="528"/>
      <c r="I20" s="528"/>
      <c r="J20" s="528"/>
      <c r="K20" s="528"/>
      <c r="L20" s="512"/>
    </row>
    <row r="21" spans="1:12" x14ac:dyDescent="0.35">
      <c r="A21" s="510" t="s">
        <v>96</v>
      </c>
      <c r="B21" s="527">
        <v>32954658</v>
      </c>
      <c r="C21" s="527">
        <v>34142590</v>
      </c>
      <c r="D21" s="527">
        <v>34457761</v>
      </c>
      <c r="E21" s="527">
        <v>34841553</v>
      </c>
      <c r="F21" s="527">
        <v>38488834</v>
      </c>
      <c r="G21" s="527">
        <v>27403153</v>
      </c>
      <c r="H21" s="527">
        <v>28731920</v>
      </c>
      <c r="I21" s="527">
        <v>34399977</v>
      </c>
      <c r="J21" s="527">
        <v>34874021</v>
      </c>
      <c r="K21" s="527">
        <v>37066156</v>
      </c>
      <c r="L21" s="512"/>
    </row>
    <row r="22" spans="1:12" x14ac:dyDescent="0.35">
      <c r="A22" s="510" t="s">
        <v>863</v>
      </c>
      <c r="B22" s="527">
        <v>32954658</v>
      </c>
      <c r="C22" s="527">
        <v>34142590</v>
      </c>
      <c r="D22" s="527">
        <v>34457761</v>
      </c>
      <c r="E22" s="527">
        <v>34841553</v>
      </c>
      <c r="F22" s="527">
        <v>38488834</v>
      </c>
      <c r="G22" s="527">
        <v>27403153</v>
      </c>
      <c r="H22" s="527">
        <v>28731920</v>
      </c>
      <c r="I22" s="527">
        <v>34399977</v>
      </c>
      <c r="J22" s="527">
        <v>34874021</v>
      </c>
      <c r="K22" s="527">
        <v>37066156</v>
      </c>
      <c r="L22" s="512"/>
    </row>
    <row r="23" spans="1:12" x14ac:dyDescent="0.35">
      <c r="A23" s="510" t="s">
        <v>656</v>
      </c>
      <c r="B23" s="527">
        <v>12195276</v>
      </c>
      <c r="C23" s="527">
        <v>10904229</v>
      </c>
      <c r="D23" s="527">
        <v>10635492</v>
      </c>
      <c r="E23" s="527">
        <v>10981177</v>
      </c>
      <c r="F23" s="527">
        <v>12305845</v>
      </c>
      <c r="G23" s="527">
        <v>8237599</v>
      </c>
      <c r="H23" s="527">
        <v>9345785</v>
      </c>
      <c r="I23" s="527">
        <v>11035349</v>
      </c>
      <c r="J23" s="527">
        <v>9645321</v>
      </c>
      <c r="K23" s="527">
        <v>10449074</v>
      </c>
      <c r="L23" s="512"/>
    </row>
    <row r="24" spans="1:12" x14ac:dyDescent="0.35">
      <c r="A24" s="510" t="s">
        <v>747</v>
      </c>
      <c r="B24" s="527">
        <v>20759382</v>
      </c>
      <c r="C24" s="527">
        <v>23238361</v>
      </c>
      <c r="D24" s="527">
        <v>23822269</v>
      </c>
      <c r="E24" s="527">
        <v>23860376</v>
      </c>
      <c r="F24" s="527">
        <v>26182989</v>
      </c>
      <c r="G24" s="527">
        <v>19165554</v>
      </c>
      <c r="H24" s="527">
        <v>19386134</v>
      </c>
      <c r="I24" s="527">
        <v>23364628</v>
      </c>
      <c r="J24" s="527">
        <v>25228701</v>
      </c>
      <c r="K24" s="527">
        <v>26617082</v>
      </c>
      <c r="L24" s="512"/>
    </row>
    <row r="25" spans="1:12" x14ac:dyDescent="0.35">
      <c r="A25" s="510" t="s">
        <v>73</v>
      </c>
      <c r="B25" s="528"/>
      <c r="C25" s="528"/>
      <c r="D25" s="528"/>
      <c r="E25" s="528"/>
      <c r="F25" s="528"/>
      <c r="G25" s="528"/>
      <c r="H25" s="528"/>
      <c r="I25" s="528"/>
      <c r="J25" s="528"/>
      <c r="K25" s="528"/>
      <c r="L25" s="512"/>
    </row>
    <row r="26" spans="1:12" x14ac:dyDescent="0.35">
      <c r="A26" s="510" t="s">
        <v>586</v>
      </c>
      <c r="B26" s="527">
        <v>12717360</v>
      </c>
      <c r="C26" s="527">
        <v>10836897</v>
      </c>
      <c r="D26" s="527">
        <v>10757634</v>
      </c>
      <c r="E26" s="527">
        <v>10739261</v>
      </c>
      <c r="F26" s="527">
        <v>12499692</v>
      </c>
      <c r="G26" s="527">
        <v>7922543</v>
      </c>
      <c r="H26" s="527">
        <v>7892669</v>
      </c>
      <c r="I26" s="527">
        <v>9594783</v>
      </c>
      <c r="J26" s="527">
        <v>10528440</v>
      </c>
      <c r="K26" s="527">
        <v>12821233</v>
      </c>
      <c r="L26" s="512"/>
    </row>
    <row r="27" spans="1:12" x14ac:dyDescent="0.35">
      <c r="A27" s="510" t="s">
        <v>630</v>
      </c>
      <c r="B27" s="527">
        <v>4904008</v>
      </c>
      <c r="C27" s="527">
        <v>4346022</v>
      </c>
      <c r="D27" s="527">
        <v>4480445</v>
      </c>
      <c r="E27" s="527">
        <v>4294574</v>
      </c>
      <c r="F27" s="527">
        <v>5022910</v>
      </c>
      <c r="G27" s="527">
        <v>4947510</v>
      </c>
      <c r="H27" s="527">
        <v>5383163</v>
      </c>
      <c r="I27" s="527">
        <v>6044983</v>
      </c>
      <c r="J27" s="527">
        <v>6695840</v>
      </c>
      <c r="K27" s="527">
        <v>7180268</v>
      </c>
      <c r="L27" s="512"/>
    </row>
    <row r="28" spans="1:12" x14ac:dyDescent="0.35">
      <c r="A28" s="510" t="s">
        <v>631</v>
      </c>
      <c r="B28" s="527">
        <v>-370556</v>
      </c>
      <c r="C28" s="527">
        <v>1581707</v>
      </c>
      <c r="D28" s="527">
        <v>912070</v>
      </c>
      <c r="E28" s="527">
        <v>353830</v>
      </c>
      <c r="F28" s="527">
        <v>-691006</v>
      </c>
      <c r="G28" s="527">
        <v>-511967</v>
      </c>
      <c r="H28" s="527">
        <v>-444428</v>
      </c>
      <c r="I28" s="527">
        <v>-864575</v>
      </c>
      <c r="J28" s="527">
        <v>-1658149</v>
      </c>
      <c r="K28" s="527">
        <v>-1144732</v>
      </c>
      <c r="L28" s="512"/>
    </row>
    <row r="29" spans="1:12" x14ac:dyDescent="0.35">
      <c r="A29" s="510" t="s">
        <v>748</v>
      </c>
      <c r="B29" s="527">
        <v>17250812</v>
      </c>
      <c r="C29" s="527">
        <v>16764625</v>
      </c>
      <c r="D29" s="527">
        <v>16150149</v>
      </c>
      <c r="E29" s="527">
        <v>15387665</v>
      </c>
      <c r="F29" s="527">
        <v>16831596</v>
      </c>
      <c r="G29" s="527">
        <v>12358086</v>
      </c>
      <c r="H29" s="527">
        <v>12831403</v>
      </c>
      <c r="I29" s="527">
        <v>14775191</v>
      </c>
      <c r="J29" s="527">
        <v>15566131</v>
      </c>
      <c r="K29" s="527">
        <v>18856769</v>
      </c>
      <c r="L29" s="512"/>
    </row>
    <row r="30" spans="1:12" x14ac:dyDescent="0.35">
      <c r="A30" s="510" t="s">
        <v>864</v>
      </c>
      <c r="B30" s="527">
        <v>3508570</v>
      </c>
      <c r="C30" s="527">
        <v>6473736</v>
      </c>
      <c r="D30" s="527">
        <v>7672120</v>
      </c>
      <c r="E30" s="527">
        <v>8472711</v>
      </c>
      <c r="F30" s="527">
        <v>9351393</v>
      </c>
      <c r="G30" s="527">
        <v>6807468</v>
      </c>
      <c r="H30" s="527">
        <v>6554731</v>
      </c>
      <c r="I30" s="527">
        <v>8589436</v>
      </c>
      <c r="J30" s="527">
        <v>9662569</v>
      </c>
      <c r="K30" s="527">
        <v>7760313</v>
      </c>
      <c r="L30" s="512"/>
    </row>
    <row r="31" spans="1:12" x14ac:dyDescent="0.35">
      <c r="A31" s="510" t="s">
        <v>73</v>
      </c>
      <c r="B31" s="528"/>
      <c r="C31" s="528"/>
      <c r="D31" s="528"/>
      <c r="E31" s="528"/>
      <c r="F31" s="528"/>
      <c r="G31" s="528"/>
      <c r="H31" s="528"/>
      <c r="I31" s="528"/>
      <c r="J31" s="528"/>
      <c r="K31" s="528"/>
      <c r="L31" s="512"/>
    </row>
    <row r="32" spans="1:12" x14ac:dyDescent="0.35">
      <c r="A32" s="510" t="s">
        <v>408</v>
      </c>
      <c r="B32" s="527">
        <v>-990444</v>
      </c>
      <c r="C32" s="527">
        <v>-858186</v>
      </c>
      <c r="D32" s="527">
        <v>-823032</v>
      </c>
      <c r="E32" s="527">
        <v>-854619</v>
      </c>
      <c r="F32" s="527">
        <v>-1000021</v>
      </c>
      <c r="G32" s="527">
        <v>-949670</v>
      </c>
      <c r="H32" s="527">
        <v>-886529</v>
      </c>
      <c r="I32" s="527">
        <v>-960769</v>
      </c>
      <c r="J32" s="527">
        <v>-816426</v>
      </c>
      <c r="K32" s="527">
        <v>-790326</v>
      </c>
      <c r="L32" s="512"/>
    </row>
    <row r="33" spans="1:12" x14ac:dyDescent="0.35">
      <c r="A33" s="510" t="s">
        <v>558</v>
      </c>
      <c r="B33" s="527">
        <v>136376</v>
      </c>
      <c r="C33" s="527">
        <v>85696</v>
      </c>
      <c r="D33" s="527">
        <v>71915</v>
      </c>
      <c r="E33" s="527">
        <v>83653</v>
      </c>
      <c r="F33" s="527">
        <v>90082</v>
      </c>
      <c r="G33" s="527">
        <v>29255</v>
      </c>
      <c r="H33" s="527">
        <v>15125</v>
      </c>
      <c r="I33" s="527">
        <v>72732</v>
      </c>
      <c r="J33" s="527">
        <v>124189</v>
      </c>
      <c r="K33" s="527">
        <v>144125</v>
      </c>
      <c r="L33" s="512"/>
    </row>
    <row r="34" spans="1:12" x14ac:dyDescent="0.35">
      <c r="A34" s="510" t="s">
        <v>750</v>
      </c>
      <c r="B34" s="527">
        <v>-854069</v>
      </c>
      <c r="C34" s="527">
        <v>-772490</v>
      </c>
      <c r="D34" s="527">
        <v>-751117</v>
      </c>
      <c r="E34" s="527">
        <v>-770966</v>
      </c>
      <c r="F34" s="527">
        <v>-909939</v>
      </c>
      <c r="G34" s="527">
        <v>-920415</v>
      </c>
      <c r="H34" s="527">
        <v>-871405</v>
      </c>
      <c r="I34" s="527">
        <v>-888037</v>
      </c>
      <c r="J34" s="527">
        <v>-692237</v>
      </c>
      <c r="K34" s="527">
        <v>-646201</v>
      </c>
      <c r="L34" s="512"/>
    </row>
    <row r="35" spans="1:12" x14ac:dyDescent="0.35">
      <c r="A35" s="510" t="s">
        <v>632</v>
      </c>
      <c r="B35" s="527">
        <v>19285</v>
      </c>
      <c r="C35" s="527">
        <v>6121</v>
      </c>
      <c r="D35" s="527">
        <v>14840</v>
      </c>
      <c r="E35" s="527">
        <v>35044</v>
      </c>
      <c r="F35" s="527">
        <v>84380</v>
      </c>
      <c r="G35" s="527">
        <v>37132</v>
      </c>
      <c r="H35" s="527">
        <v>38393</v>
      </c>
      <c r="I35" s="527">
        <v>-2346</v>
      </c>
      <c r="J35" s="527">
        <v>-5749</v>
      </c>
      <c r="K35" s="527">
        <v>-3544</v>
      </c>
      <c r="L35" s="512"/>
    </row>
    <row r="36" spans="1:12" x14ac:dyDescent="0.35">
      <c r="A36" s="510" t="s">
        <v>634</v>
      </c>
      <c r="B36" s="527">
        <v>-45459</v>
      </c>
      <c r="C36" s="527">
        <v>-25709</v>
      </c>
      <c r="D36" s="527">
        <v>1142</v>
      </c>
      <c r="E36" s="527">
        <v>-18087</v>
      </c>
      <c r="F36" s="527">
        <v>-13683</v>
      </c>
      <c r="G36" s="527">
        <v>-27005</v>
      </c>
      <c r="H36" s="527">
        <v>-6981</v>
      </c>
      <c r="I36" s="527">
        <v>-53963</v>
      </c>
      <c r="J36" s="527">
        <v>-86242</v>
      </c>
      <c r="K36" s="528" t="s">
        <v>690</v>
      </c>
      <c r="L36" s="512"/>
    </row>
    <row r="37" spans="1:12" x14ac:dyDescent="0.35">
      <c r="A37" s="510" t="s">
        <v>865</v>
      </c>
      <c r="B37" s="527">
        <v>2628328</v>
      </c>
      <c r="C37" s="527">
        <v>5681658</v>
      </c>
      <c r="D37" s="527">
        <v>6936984</v>
      </c>
      <c r="E37" s="527">
        <v>7718702</v>
      </c>
      <c r="F37" s="527">
        <v>8512151</v>
      </c>
      <c r="G37" s="527">
        <v>5897180</v>
      </c>
      <c r="H37" s="527">
        <v>5714739</v>
      </c>
      <c r="I37" s="527">
        <v>7645091</v>
      </c>
      <c r="J37" s="527">
        <v>8878341</v>
      </c>
      <c r="K37" s="527">
        <v>7110568</v>
      </c>
      <c r="L37" s="512"/>
    </row>
    <row r="38" spans="1:12" x14ac:dyDescent="0.35">
      <c r="A38" s="510" t="s">
        <v>635</v>
      </c>
      <c r="B38" s="528" t="s">
        <v>690</v>
      </c>
      <c r="C38" s="527">
        <v>-1192401</v>
      </c>
      <c r="D38" s="527">
        <v>-1210006</v>
      </c>
      <c r="E38" s="527">
        <v>-919055</v>
      </c>
      <c r="F38" s="527">
        <v>-1265705</v>
      </c>
      <c r="G38" s="527">
        <v>-1325487</v>
      </c>
      <c r="H38" s="527">
        <v>-493292</v>
      </c>
      <c r="I38" s="527">
        <v>-376565</v>
      </c>
      <c r="J38" s="527">
        <v>-439260</v>
      </c>
      <c r="K38" s="527">
        <v>-417018</v>
      </c>
      <c r="L38" s="512"/>
    </row>
    <row r="39" spans="1:12" x14ac:dyDescent="0.35">
      <c r="A39" s="510" t="s">
        <v>637</v>
      </c>
      <c r="B39" s="527">
        <v>1270083</v>
      </c>
      <c r="C39" s="527">
        <v>253416</v>
      </c>
      <c r="D39" s="527">
        <v>115293</v>
      </c>
      <c r="E39" s="527">
        <v>26000</v>
      </c>
      <c r="F39" s="527">
        <v>-15964</v>
      </c>
      <c r="G39" s="527">
        <v>-272299</v>
      </c>
      <c r="H39" s="527">
        <v>1163</v>
      </c>
      <c r="I39" s="527">
        <v>300314</v>
      </c>
      <c r="J39" s="527">
        <v>-139137</v>
      </c>
      <c r="K39" s="527">
        <v>7088</v>
      </c>
      <c r="L39" s="512"/>
    </row>
    <row r="40" spans="1:12" x14ac:dyDescent="0.35">
      <c r="A40" s="510" t="s">
        <v>638</v>
      </c>
      <c r="B40" s="527">
        <v>13308320</v>
      </c>
      <c r="C40" s="527">
        <v>336664</v>
      </c>
      <c r="D40" s="527">
        <v>213463</v>
      </c>
      <c r="E40" s="527">
        <v>271308</v>
      </c>
      <c r="F40" s="527">
        <v>616889</v>
      </c>
      <c r="G40" s="527">
        <v>3214700</v>
      </c>
      <c r="H40" s="527">
        <v>642210</v>
      </c>
      <c r="I40" s="527">
        <v>252216</v>
      </c>
      <c r="J40" s="527">
        <v>70144</v>
      </c>
      <c r="K40" s="528" t="s">
        <v>690</v>
      </c>
      <c r="L40" s="512"/>
    </row>
    <row r="41" spans="1:12" x14ac:dyDescent="0.35">
      <c r="A41" s="510" t="s">
        <v>639</v>
      </c>
      <c r="B41" s="528" t="s">
        <v>690</v>
      </c>
      <c r="C41" s="528" t="s">
        <v>690</v>
      </c>
      <c r="D41" s="527">
        <v>-785362</v>
      </c>
      <c r="E41" s="527">
        <v>-131132</v>
      </c>
      <c r="F41" s="527">
        <v>-94643</v>
      </c>
      <c r="G41" s="527">
        <v>-225040</v>
      </c>
      <c r="H41" s="527">
        <v>-403708</v>
      </c>
      <c r="I41" s="527">
        <v>-347238</v>
      </c>
      <c r="J41" s="527">
        <v>-457658</v>
      </c>
      <c r="K41" s="527">
        <v>-370945</v>
      </c>
      <c r="L41" s="512"/>
    </row>
    <row r="42" spans="1:12" x14ac:dyDescent="0.35">
      <c r="A42" s="510" t="s">
        <v>640</v>
      </c>
      <c r="B42" s="528" t="s">
        <v>690</v>
      </c>
      <c r="C42" s="528" t="s">
        <v>690</v>
      </c>
      <c r="D42" s="528" t="s">
        <v>690</v>
      </c>
      <c r="E42" s="528" t="s">
        <v>690</v>
      </c>
      <c r="F42" s="528" t="s">
        <v>690</v>
      </c>
      <c r="G42" s="528" t="s">
        <v>690</v>
      </c>
      <c r="H42" s="528" t="s">
        <v>690</v>
      </c>
      <c r="I42" s="527">
        <v>1081598</v>
      </c>
      <c r="J42" s="528" t="s">
        <v>690</v>
      </c>
      <c r="K42" s="528" t="s">
        <v>690</v>
      </c>
      <c r="L42" s="512"/>
    </row>
    <row r="43" spans="1:12" x14ac:dyDescent="0.35">
      <c r="A43" s="510" t="s">
        <v>641</v>
      </c>
      <c r="B43" s="527">
        <v>-2706847</v>
      </c>
      <c r="C43" s="527">
        <v>-2705551</v>
      </c>
      <c r="D43" s="527">
        <v>-1246534</v>
      </c>
      <c r="E43" s="527">
        <v>-1539671</v>
      </c>
      <c r="F43" s="527">
        <v>-659079</v>
      </c>
      <c r="G43" s="527">
        <v>-1471763</v>
      </c>
      <c r="H43" s="527">
        <v>-1273949</v>
      </c>
      <c r="I43" s="527">
        <v>-1953211</v>
      </c>
      <c r="J43" s="527">
        <v>-939464</v>
      </c>
      <c r="K43" s="527">
        <v>-2222126</v>
      </c>
      <c r="L43" s="512"/>
    </row>
    <row r="44" spans="1:12" x14ac:dyDescent="0.35">
      <c r="A44" s="510" t="s">
        <v>866</v>
      </c>
      <c r="B44" s="527">
        <v>14499884</v>
      </c>
      <c r="C44" s="527">
        <v>2373785</v>
      </c>
      <c r="D44" s="527">
        <v>4023839</v>
      </c>
      <c r="E44" s="527">
        <v>5426153</v>
      </c>
      <c r="F44" s="527">
        <v>7093649</v>
      </c>
      <c r="G44" s="527">
        <v>5817291</v>
      </c>
      <c r="H44" s="527">
        <v>4187163</v>
      </c>
      <c r="I44" s="527">
        <v>6602205</v>
      </c>
      <c r="J44" s="527">
        <v>6972964</v>
      </c>
      <c r="K44" s="527">
        <v>4107567</v>
      </c>
      <c r="L44" s="512"/>
    </row>
    <row r="45" spans="1:12" x14ac:dyDescent="0.35">
      <c r="A45" s="510" t="s">
        <v>73</v>
      </c>
      <c r="B45" s="528"/>
      <c r="C45" s="528"/>
      <c r="D45" s="528"/>
      <c r="E45" s="528"/>
      <c r="F45" s="528"/>
      <c r="G45" s="528"/>
      <c r="H45" s="528"/>
      <c r="I45" s="528"/>
      <c r="J45" s="528"/>
      <c r="K45" s="528"/>
      <c r="L45" s="512"/>
    </row>
    <row r="46" spans="1:12" x14ac:dyDescent="0.35">
      <c r="A46" s="510" t="s">
        <v>559</v>
      </c>
      <c r="B46" s="527">
        <v>2967200</v>
      </c>
      <c r="C46" s="527">
        <v>1073651</v>
      </c>
      <c r="D46" s="527">
        <v>1547894</v>
      </c>
      <c r="E46" s="527">
        <v>852358</v>
      </c>
      <c r="F46" s="527">
        <v>1086682</v>
      </c>
      <c r="G46" s="527">
        <v>75388</v>
      </c>
      <c r="H46" s="527">
        <v>96564</v>
      </c>
      <c r="I46" s="527">
        <v>829382</v>
      </c>
      <c r="J46" s="527">
        <v>869321</v>
      </c>
      <c r="K46" s="527">
        <v>621392</v>
      </c>
      <c r="L46" s="512"/>
    </row>
    <row r="47" spans="1:12" x14ac:dyDescent="0.35">
      <c r="A47" s="510" t="s">
        <v>753</v>
      </c>
      <c r="B47" s="527">
        <v>11532684</v>
      </c>
      <c r="C47" s="527">
        <v>1300134</v>
      </c>
      <c r="D47" s="527">
        <v>2475945</v>
      </c>
      <c r="E47" s="527">
        <v>4573795</v>
      </c>
      <c r="F47" s="527">
        <v>6006967</v>
      </c>
      <c r="G47" s="527">
        <v>5741902</v>
      </c>
      <c r="H47" s="527">
        <v>4090599</v>
      </c>
      <c r="I47" s="527">
        <v>5772824</v>
      </c>
      <c r="J47" s="527">
        <v>6103644</v>
      </c>
      <c r="K47" s="527">
        <v>3486175</v>
      </c>
      <c r="L47" s="512"/>
    </row>
    <row r="48" spans="1:12" x14ac:dyDescent="0.35">
      <c r="A48" s="510" t="s">
        <v>643</v>
      </c>
      <c r="B48" s="528" t="s">
        <v>690</v>
      </c>
      <c r="C48" s="528" t="s">
        <v>690</v>
      </c>
      <c r="D48" s="528" t="s">
        <v>690</v>
      </c>
      <c r="E48" s="528" t="s">
        <v>690</v>
      </c>
      <c r="F48" s="528" t="s">
        <v>690</v>
      </c>
      <c r="G48" s="527">
        <v>985676</v>
      </c>
      <c r="H48" s="527">
        <v>1243700</v>
      </c>
      <c r="I48" s="527">
        <v>12311682</v>
      </c>
      <c r="J48" s="528" t="s">
        <v>690</v>
      </c>
      <c r="K48" s="528" t="s">
        <v>690</v>
      </c>
      <c r="L48" s="512"/>
    </row>
    <row r="49" spans="1:12" x14ac:dyDescent="0.35">
      <c r="A49" s="510" t="s">
        <v>754</v>
      </c>
      <c r="B49" s="527">
        <v>11532684</v>
      </c>
      <c r="C49" s="527">
        <v>1300134</v>
      </c>
      <c r="D49" s="527">
        <v>2475945</v>
      </c>
      <c r="E49" s="527">
        <v>4573795</v>
      </c>
      <c r="F49" s="527">
        <v>6006967</v>
      </c>
      <c r="G49" s="527">
        <v>6727579</v>
      </c>
      <c r="H49" s="527">
        <v>5334299</v>
      </c>
      <c r="I49" s="527">
        <v>18084506</v>
      </c>
      <c r="J49" s="527">
        <v>6103644</v>
      </c>
      <c r="K49" s="527">
        <v>3486175</v>
      </c>
      <c r="L49" s="512"/>
    </row>
    <row r="50" spans="1:12" x14ac:dyDescent="0.35">
      <c r="A50" s="510" t="s">
        <v>642</v>
      </c>
      <c r="B50" s="527">
        <v>68877</v>
      </c>
      <c r="C50" s="527">
        <v>-183635</v>
      </c>
      <c r="D50" s="527">
        <v>-727145</v>
      </c>
      <c r="E50" s="527">
        <v>-478180</v>
      </c>
      <c r="F50" s="527">
        <v>-710391</v>
      </c>
      <c r="G50" s="527">
        <v>-258796</v>
      </c>
      <c r="H50" s="527">
        <v>-232685</v>
      </c>
      <c r="I50" s="527">
        <v>-539626</v>
      </c>
      <c r="J50" s="527">
        <v>-436960</v>
      </c>
      <c r="K50" s="527">
        <v>-444189</v>
      </c>
      <c r="L50" s="512"/>
    </row>
    <row r="51" spans="1:12" x14ac:dyDescent="0.35">
      <c r="A51" s="510" t="s">
        <v>867</v>
      </c>
      <c r="B51" s="527">
        <v>11601560</v>
      </c>
      <c r="C51" s="527">
        <v>1116499</v>
      </c>
      <c r="D51" s="527">
        <v>1748800</v>
      </c>
      <c r="E51" s="527">
        <v>4095615</v>
      </c>
      <c r="F51" s="527">
        <v>5296576</v>
      </c>
      <c r="G51" s="527">
        <v>6468782</v>
      </c>
      <c r="H51" s="527">
        <v>5101614</v>
      </c>
      <c r="I51" s="527">
        <v>17544880</v>
      </c>
      <c r="J51" s="527">
        <v>5666684</v>
      </c>
      <c r="K51" s="527">
        <v>3041986</v>
      </c>
      <c r="L51" s="512"/>
    </row>
    <row r="52" spans="1:12" x14ac:dyDescent="0.35">
      <c r="A52" s="510" t="s">
        <v>755</v>
      </c>
      <c r="B52" s="527">
        <v>11601560</v>
      </c>
      <c r="C52" s="527">
        <v>1116499</v>
      </c>
      <c r="D52" s="527">
        <v>1748800</v>
      </c>
      <c r="E52" s="527">
        <v>4095615</v>
      </c>
      <c r="F52" s="527">
        <v>5296576</v>
      </c>
      <c r="G52" s="527">
        <v>6468782</v>
      </c>
      <c r="H52" s="527">
        <v>5101614</v>
      </c>
      <c r="I52" s="527">
        <v>17544880</v>
      </c>
      <c r="J52" s="527">
        <v>5666684</v>
      </c>
      <c r="K52" s="527">
        <v>3041986</v>
      </c>
      <c r="L52" s="512"/>
    </row>
    <row r="53" spans="1:12" x14ac:dyDescent="0.35">
      <c r="A53" s="510" t="s">
        <v>756</v>
      </c>
      <c r="B53" s="527">
        <v>11601560</v>
      </c>
      <c r="C53" s="527">
        <v>1116499</v>
      </c>
      <c r="D53" s="527">
        <v>1748800</v>
      </c>
      <c r="E53" s="527">
        <v>4095615</v>
      </c>
      <c r="F53" s="527">
        <v>5296576</v>
      </c>
      <c r="G53" s="527">
        <v>5483106</v>
      </c>
      <c r="H53" s="527">
        <v>3857914</v>
      </c>
      <c r="I53" s="527">
        <v>5233198</v>
      </c>
      <c r="J53" s="527">
        <v>5666684</v>
      </c>
      <c r="K53" s="527">
        <v>3041986</v>
      </c>
      <c r="L53" s="512"/>
    </row>
    <row r="54" spans="1:12" ht="13.15" x14ac:dyDescent="0.35">
      <c r="A54" s="517" t="s">
        <v>757</v>
      </c>
      <c r="B54" s="528"/>
      <c r="C54" s="528"/>
      <c r="D54" s="528"/>
      <c r="E54" s="528"/>
      <c r="F54" s="528"/>
      <c r="G54" s="528"/>
      <c r="H54" s="528"/>
      <c r="I54" s="528"/>
      <c r="J54" s="528"/>
      <c r="K54" s="528"/>
      <c r="L54" s="512"/>
    </row>
    <row r="55" spans="1:12" x14ac:dyDescent="0.35">
      <c r="A55" s="510" t="s">
        <v>758</v>
      </c>
      <c r="B55" s="528">
        <v>3</v>
      </c>
      <c r="C55" s="528">
        <v>0.28999999999999998</v>
      </c>
      <c r="D55" s="528">
        <v>0.45</v>
      </c>
      <c r="E55" s="528">
        <v>1.04</v>
      </c>
      <c r="F55" s="528">
        <v>1.34</v>
      </c>
      <c r="G55" s="528">
        <v>1.62</v>
      </c>
      <c r="H55" s="528">
        <v>1.27</v>
      </c>
      <c r="I55" s="528">
        <v>4.3600000000000003</v>
      </c>
      <c r="J55" s="528">
        <v>1.4</v>
      </c>
      <c r="K55" s="528">
        <v>0.75</v>
      </c>
      <c r="L55" s="512"/>
    </row>
    <row r="56" spans="1:12" x14ac:dyDescent="0.35">
      <c r="A56" s="510" t="s">
        <v>759</v>
      </c>
      <c r="B56" s="528">
        <v>3</v>
      </c>
      <c r="C56" s="528">
        <v>0.28999999999999998</v>
      </c>
      <c r="D56" s="528">
        <v>0.45</v>
      </c>
      <c r="E56" s="528">
        <v>1.04</v>
      </c>
      <c r="F56" s="528">
        <v>1.34</v>
      </c>
      <c r="G56" s="528">
        <v>1.38</v>
      </c>
      <c r="H56" s="528">
        <v>0.96</v>
      </c>
      <c r="I56" s="528">
        <v>1.3</v>
      </c>
      <c r="J56" s="528">
        <v>1.4</v>
      </c>
      <c r="K56" s="528">
        <v>0.75</v>
      </c>
      <c r="L56" s="512"/>
    </row>
    <row r="57" spans="1:12" x14ac:dyDescent="0.35">
      <c r="A57" s="510" t="s">
        <v>760</v>
      </c>
      <c r="B57" s="527">
        <v>3864800000</v>
      </c>
      <c r="C57" s="527">
        <v>3888000000</v>
      </c>
      <c r="D57" s="527">
        <v>3908800000</v>
      </c>
      <c r="E57" s="527">
        <v>3931200000</v>
      </c>
      <c r="F57" s="527">
        <v>3957600000</v>
      </c>
      <c r="G57" s="527">
        <v>3981000000</v>
      </c>
      <c r="H57" s="527">
        <v>4003000000</v>
      </c>
      <c r="I57" s="527">
        <v>4026000000</v>
      </c>
      <c r="J57" s="527">
        <v>4052000000</v>
      </c>
      <c r="K57" s="527">
        <v>4077000000</v>
      </c>
      <c r="L57" s="512"/>
    </row>
    <row r="58" spans="1:12" x14ac:dyDescent="0.35">
      <c r="A58" s="510" t="s">
        <v>761</v>
      </c>
      <c r="B58" s="528">
        <v>2.97</v>
      </c>
      <c r="C58" s="528">
        <v>0.28999999999999998</v>
      </c>
      <c r="D58" s="528">
        <v>0.44</v>
      </c>
      <c r="E58" s="528">
        <v>1.03</v>
      </c>
      <c r="F58" s="528">
        <v>1.32</v>
      </c>
      <c r="G58" s="528">
        <v>1.6</v>
      </c>
      <c r="H58" s="528">
        <v>1.26</v>
      </c>
      <c r="I58" s="528">
        <v>4.3</v>
      </c>
      <c r="J58" s="528">
        <v>1.38</v>
      </c>
      <c r="K58" s="528">
        <v>0.73</v>
      </c>
      <c r="L58" s="512"/>
    </row>
    <row r="59" spans="1:12" x14ac:dyDescent="0.35">
      <c r="A59" s="510" t="s">
        <v>762</v>
      </c>
      <c r="B59" s="528">
        <v>2.97</v>
      </c>
      <c r="C59" s="528">
        <v>0.28999999999999998</v>
      </c>
      <c r="D59" s="528">
        <v>0.44</v>
      </c>
      <c r="E59" s="528">
        <v>1.03</v>
      </c>
      <c r="F59" s="528">
        <v>1.32</v>
      </c>
      <c r="G59" s="528">
        <v>1.36</v>
      </c>
      <c r="H59" s="528">
        <v>0.95</v>
      </c>
      <c r="I59" s="528">
        <v>1.28</v>
      </c>
      <c r="J59" s="528">
        <v>1.38</v>
      </c>
      <c r="K59" s="528">
        <v>0.73</v>
      </c>
      <c r="L59" s="512"/>
    </row>
    <row r="60" spans="1:12" x14ac:dyDescent="0.35">
      <c r="A60" s="510" t="s">
        <v>763</v>
      </c>
      <c r="B60" s="527">
        <v>3910400000</v>
      </c>
      <c r="C60" s="527">
        <v>3927200000</v>
      </c>
      <c r="D60" s="527">
        <v>3952800000</v>
      </c>
      <c r="E60" s="527">
        <v>3976800000</v>
      </c>
      <c r="F60" s="527">
        <v>4012800000</v>
      </c>
      <c r="G60" s="527">
        <v>4030000000</v>
      </c>
      <c r="H60" s="527">
        <v>4052000000</v>
      </c>
      <c r="I60" s="527">
        <v>4084000000</v>
      </c>
      <c r="J60" s="527">
        <v>4111000000</v>
      </c>
      <c r="K60" s="527">
        <v>4142000000</v>
      </c>
      <c r="L60" s="512"/>
    </row>
    <row r="61" spans="1:12" x14ac:dyDescent="0.35">
      <c r="A61" s="510" t="s">
        <v>764</v>
      </c>
      <c r="B61" s="528">
        <v>0.44</v>
      </c>
      <c r="C61" s="528">
        <v>0.87</v>
      </c>
      <c r="D61" s="528">
        <v>0.92</v>
      </c>
      <c r="E61" s="528">
        <v>1.1100000000000001</v>
      </c>
      <c r="F61" s="528">
        <v>1.1599999999999999</v>
      </c>
      <c r="G61" s="528">
        <v>0.86</v>
      </c>
      <c r="H61" s="528">
        <v>0.83</v>
      </c>
      <c r="I61" s="528">
        <v>1.05</v>
      </c>
      <c r="J61" s="528">
        <v>1.26</v>
      </c>
      <c r="K61" s="528">
        <v>0.98</v>
      </c>
      <c r="L61" s="512"/>
    </row>
    <row r="62" spans="1:12" x14ac:dyDescent="0.35">
      <c r="A62" s="510" t="s">
        <v>765</v>
      </c>
      <c r="B62" s="528">
        <v>0.44</v>
      </c>
      <c r="C62" s="528">
        <v>0.86</v>
      </c>
      <c r="D62" s="528">
        <v>0.91</v>
      </c>
      <c r="E62" s="528">
        <v>1.0900000000000001</v>
      </c>
      <c r="F62" s="528">
        <v>1.1499999999999999</v>
      </c>
      <c r="G62" s="528">
        <v>0.85</v>
      </c>
      <c r="H62" s="528">
        <v>0.82</v>
      </c>
      <c r="I62" s="528">
        <v>1.04</v>
      </c>
      <c r="J62" s="528">
        <v>1.24</v>
      </c>
      <c r="K62" s="528">
        <v>0.97</v>
      </c>
      <c r="L62" s="512"/>
    </row>
    <row r="63" spans="1:12" x14ac:dyDescent="0.35">
      <c r="A63" s="510" t="s">
        <v>766</v>
      </c>
      <c r="B63" s="528">
        <v>1.38</v>
      </c>
      <c r="C63" s="528">
        <v>1.22</v>
      </c>
      <c r="D63" s="528">
        <v>1.1399999999999999</v>
      </c>
      <c r="E63" s="528">
        <v>1.1299999999999999</v>
      </c>
      <c r="F63" s="528">
        <v>1.1399999999999999</v>
      </c>
      <c r="G63" s="528">
        <v>1.1299999999999999</v>
      </c>
      <c r="H63" s="528">
        <v>1.1599999999999999</v>
      </c>
      <c r="I63" s="528">
        <v>0.72</v>
      </c>
      <c r="J63" s="528">
        <v>0.67</v>
      </c>
      <c r="K63" s="528">
        <v>0.72</v>
      </c>
      <c r="L63" s="512"/>
    </row>
    <row r="64" spans="1:12" x14ac:dyDescent="0.35">
      <c r="A64" s="510" t="s">
        <v>767</v>
      </c>
      <c r="B64" s="528">
        <v>46</v>
      </c>
      <c r="C64" s="528">
        <v>425.55</v>
      </c>
      <c r="D64" s="528">
        <v>254.96</v>
      </c>
      <c r="E64" s="528">
        <v>108.39</v>
      </c>
      <c r="F64" s="528">
        <v>85.1</v>
      </c>
      <c r="G64" s="528">
        <v>69.180000000000007</v>
      </c>
      <c r="H64" s="528">
        <v>91.2</v>
      </c>
      <c r="I64" s="528">
        <v>23.18</v>
      </c>
      <c r="J64" s="528">
        <v>45.6</v>
      </c>
      <c r="K64" s="528">
        <v>94.91</v>
      </c>
      <c r="L64" s="512"/>
    </row>
    <row r="65" spans="1:12" x14ac:dyDescent="0.35">
      <c r="A65" s="510" t="s">
        <v>769</v>
      </c>
      <c r="B65" s="528">
        <v>2</v>
      </c>
      <c r="C65" s="528">
        <v>2</v>
      </c>
      <c r="D65" s="528">
        <v>2</v>
      </c>
      <c r="E65" s="528">
        <v>2</v>
      </c>
      <c r="F65" s="528">
        <v>2</v>
      </c>
      <c r="G65" s="528">
        <v>2</v>
      </c>
      <c r="H65" s="528">
        <v>2</v>
      </c>
      <c r="I65" s="528">
        <v>2</v>
      </c>
      <c r="J65" s="528">
        <v>2</v>
      </c>
      <c r="K65" s="528">
        <v>2</v>
      </c>
      <c r="L65" s="512"/>
    </row>
    <row r="66" spans="1:12" ht="13.15" x14ac:dyDescent="0.35">
      <c r="A66" s="517" t="s">
        <v>770</v>
      </c>
      <c r="B66" s="528"/>
      <c r="C66" s="528"/>
      <c r="D66" s="528"/>
      <c r="E66" s="528"/>
      <c r="F66" s="528"/>
      <c r="G66" s="528"/>
      <c r="H66" s="528"/>
      <c r="I66" s="528"/>
      <c r="J66" s="528"/>
      <c r="K66" s="528"/>
      <c r="L66" s="512"/>
    </row>
    <row r="67" spans="1:12" x14ac:dyDescent="0.35">
      <c r="A67" s="510" t="s">
        <v>771</v>
      </c>
      <c r="B67" s="527">
        <v>5753944</v>
      </c>
      <c r="C67" s="527">
        <v>8645522</v>
      </c>
      <c r="D67" s="527">
        <v>9866111</v>
      </c>
      <c r="E67" s="527">
        <v>10570824</v>
      </c>
      <c r="F67" s="527">
        <v>11768776</v>
      </c>
      <c r="G67" s="527">
        <v>9114131</v>
      </c>
      <c r="H67" s="527">
        <v>9023517</v>
      </c>
      <c r="I67" s="527">
        <v>10662304</v>
      </c>
      <c r="J67" s="527">
        <v>11848520</v>
      </c>
      <c r="K67" s="527">
        <v>10915709</v>
      </c>
      <c r="L67" s="512"/>
    </row>
    <row r="68" spans="1:12" x14ac:dyDescent="0.35">
      <c r="A68" s="510" t="s">
        <v>772</v>
      </c>
      <c r="B68" s="527">
        <v>4525187</v>
      </c>
      <c r="C68" s="527">
        <v>7448224</v>
      </c>
      <c r="D68" s="527">
        <v>8738294</v>
      </c>
      <c r="E68" s="527">
        <v>9492376</v>
      </c>
      <c r="F68" s="527">
        <v>10609116</v>
      </c>
      <c r="G68" s="527">
        <v>7984429</v>
      </c>
      <c r="H68" s="527">
        <v>7820536</v>
      </c>
      <c r="I68" s="527">
        <v>9624110</v>
      </c>
      <c r="J68" s="527">
        <v>10822814</v>
      </c>
      <c r="K68" s="527">
        <v>8944029</v>
      </c>
      <c r="L68" s="512"/>
    </row>
    <row r="69" spans="1:12" x14ac:dyDescent="0.35">
      <c r="A69" s="510" t="s">
        <v>58</v>
      </c>
      <c r="B69" s="527">
        <v>3508570</v>
      </c>
      <c r="C69" s="527">
        <v>6473736</v>
      </c>
      <c r="D69" s="527">
        <v>7672120</v>
      </c>
      <c r="E69" s="527">
        <v>8472711</v>
      </c>
      <c r="F69" s="527">
        <v>9351393</v>
      </c>
      <c r="G69" s="527">
        <v>6807468</v>
      </c>
      <c r="H69" s="527">
        <v>6554731</v>
      </c>
      <c r="I69" s="527">
        <v>8589436</v>
      </c>
      <c r="J69" s="527">
        <v>9662569</v>
      </c>
      <c r="K69" s="527">
        <v>7760313</v>
      </c>
      <c r="L69" s="512"/>
    </row>
    <row r="70" spans="1:12" x14ac:dyDescent="0.35">
      <c r="A70" s="510" t="s">
        <v>773</v>
      </c>
      <c r="B70" s="527">
        <v>5913738</v>
      </c>
      <c r="C70" s="527">
        <v>8766721</v>
      </c>
      <c r="D70" s="527">
        <v>10001951</v>
      </c>
      <c r="E70" s="527">
        <v>10802566</v>
      </c>
      <c r="F70" s="527">
        <v>11801844</v>
      </c>
      <c r="G70" s="527">
        <v>9144511</v>
      </c>
      <c r="H70" s="527">
        <v>9046785</v>
      </c>
      <c r="I70" s="527">
        <v>10682246</v>
      </c>
      <c r="J70" s="527">
        <v>11879567</v>
      </c>
      <c r="K70" s="528" t="s">
        <v>690</v>
      </c>
      <c r="L70" s="512"/>
    </row>
    <row r="71" spans="1:12" x14ac:dyDescent="0.35">
      <c r="A71" s="510" t="s">
        <v>775</v>
      </c>
      <c r="B71" s="528">
        <v>20.46</v>
      </c>
      <c r="C71" s="528">
        <v>45.23</v>
      </c>
      <c r="D71" s="528">
        <v>38.47</v>
      </c>
      <c r="E71" s="528">
        <v>15.71</v>
      </c>
      <c r="F71" s="528">
        <v>15.32</v>
      </c>
      <c r="G71" s="528">
        <v>1.3</v>
      </c>
      <c r="H71" s="528">
        <v>2.31</v>
      </c>
      <c r="I71" s="528">
        <v>12.56</v>
      </c>
      <c r="J71" s="528">
        <v>12.47</v>
      </c>
      <c r="K71" s="528">
        <v>15.13</v>
      </c>
      <c r="L71" s="512"/>
    </row>
    <row r="72" spans="1:12" x14ac:dyDescent="0.35">
      <c r="A72" s="510" t="s">
        <v>776</v>
      </c>
      <c r="B72" s="527">
        <v>3543008</v>
      </c>
      <c r="C72" s="527">
        <v>1735960</v>
      </c>
      <c r="D72" s="527">
        <v>1848112</v>
      </c>
      <c r="E72" s="527">
        <v>1320364</v>
      </c>
      <c r="F72" s="527">
        <v>1295352</v>
      </c>
      <c r="G72" s="527">
        <v>800018</v>
      </c>
      <c r="H72" s="527">
        <v>1083148</v>
      </c>
      <c r="I72" s="527">
        <v>1749092</v>
      </c>
      <c r="J72" s="527">
        <v>1863980</v>
      </c>
      <c r="K72" s="528" t="s">
        <v>690</v>
      </c>
      <c r="L72" s="512"/>
    </row>
    <row r="73" spans="1:12" x14ac:dyDescent="0.35">
      <c r="A73" s="510" t="s">
        <v>777</v>
      </c>
      <c r="B73" s="527">
        <v>-575808</v>
      </c>
      <c r="C73" s="527">
        <v>-662309</v>
      </c>
      <c r="D73" s="527">
        <v>-300218</v>
      </c>
      <c r="E73" s="527">
        <v>-468006</v>
      </c>
      <c r="F73" s="527">
        <v>-208670</v>
      </c>
      <c r="G73" s="527">
        <v>-724630</v>
      </c>
      <c r="H73" s="527">
        <v>-986584</v>
      </c>
      <c r="I73" s="527">
        <v>-919710</v>
      </c>
      <c r="J73" s="527">
        <v>-994659</v>
      </c>
      <c r="K73" s="528" t="s">
        <v>690</v>
      </c>
      <c r="L73" s="512"/>
    </row>
    <row r="74" spans="1:12" x14ac:dyDescent="0.35">
      <c r="A74" s="510" t="s">
        <v>778</v>
      </c>
      <c r="B74" s="527">
        <v>1711581</v>
      </c>
      <c r="C74" s="527">
        <v>3367402</v>
      </c>
      <c r="D74" s="527">
        <v>3608470</v>
      </c>
      <c r="E74" s="527">
        <v>4346009</v>
      </c>
      <c r="F74" s="527">
        <v>4609703</v>
      </c>
      <c r="G74" s="527">
        <v>3426941</v>
      </c>
      <c r="H74" s="527">
        <v>3339027</v>
      </c>
      <c r="I74" s="527">
        <v>4238556</v>
      </c>
      <c r="J74" s="527">
        <v>5112003</v>
      </c>
      <c r="K74" s="527">
        <v>3999916</v>
      </c>
      <c r="L74" s="512"/>
    </row>
    <row r="75" spans="1:12" x14ac:dyDescent="0.35">
      <c r="A75" s="510" t="s">
        <v>779</v>
      </c>
      <c r="B75" s="528" t="s">
        <v>690</v>
      </c>
      <c r="C75" s="528" t="s">
        <v>690</v>
      </c>
      <c r="D75" s="527">
        <v>1142</v>
      </c>
      <c r="E75" s="527">
        <v>2261</v>
      </c>
      <c r="F75" s="527">
        <v>44471</v>
      </c>
      <c r="G75" s="528" t="s">
        <v>690</v>
      </c>
      <c r="H75" s="527">
        <v>31412</v>
      </c>
      <c r="I75" s="527">
        <v>59828</v>
      </c>
      <c r="J75" s="527">
        <v>85092</v>
      </c>
      <c r="K75" s="528" t="s">
        <v>690</v>
      </c>
      <c r="L75" s="512"/>
    </row>
    <row r="76" spans="1:12" x14ac:dyDescent="0.35">
      <c r="A76" s="510" t="s">
        <v>780</v>
      </c>
      <c r="B76" s="527">
        <v>100560</v>
      </c>
      <c r="C76" s="527">
        <v>123647</v>
      </c>
      <c r="D76" s="527">
        <v>125567</v>
      </c>
      <c r="E76" s="527">
        <v>148089</v>
      </c>
      <c r="F76" s="527">
        <v>85521</v>
      </c>
      <c r="G76" s="527">
        <v>104644</v>
      </c>
      <c r="H76" s="527">
        <v>86093</v>
      </c>
      <c r="I76" s="527">
        <v>43405</v>
      </c>
      <c r="J76" s="527">
        <v>83942</v>
      </c>
      <c r="K76" s="528" t="s">
        <v>690</v>
      </c>
      <c r="L76" s="512"/>
    </row>
    <row r="77" spans="1:12" ht="13.15" x14ac:dyDescent="0.35">
      <c r="A77" s="517" t="s">
        <v>781</v>
      </c>
      <c r="B77" s="528"/>
      <c r="C77" s="528"/>
      <c r="D77" s="528"/>
      <c r="E77" s="528"/>
      <c r="F77" s="528"/>
      <c r="G77" s="528"/>
      <c r="H77" s="528"/>
      <c r="I77" s="528"/>
      <c r="J77" s="528"/>
      <c r="K77" s="528"/>
      <c r="L77" s="512"/>
    </row>
    <row r="78" spans="1:12" x14ac:dyDescent="0.35">
      <c r="A78" s="510" t="s">
        <v>589</v>
      </c>
      <c r="B78" s="527">
        <v>1458805</v>
      </c>
      <c r="C78" s="527">
        <v>1548653</v>
      </c>
      <c r="D78" s="527">
        <v>1542186</v>
      </c>
      <c r="E78" s="527">
        <v>1555497</v>
      </c>
      <c r="F78" s="527">
        <v>1786811</v>
      </c>
      <c r="G78" s="527">
        <v>406198</v>
      </c>
      <c r="H78" s="527">
        <v>503763</v>
      </c>
      <c r="I78" s="527">
        <v>862228</v>
      </c>
      <c r="J78" s="527">
        <v>960162</v>
      </c>
      <c r="K78" s="528" t="s">
        <v>690</v>
      </c>
      <c r="L78" s="512"/>
    </row>
    <row r="79" spans="1:12" x14ac:dyDescent="0.35">
      <c r="A79" s="510" t="s">
        <v>549</v>
      </c>
      <c r="B79" s="527">
        <v>1458805</v>
      </c>
      <c r="C79" s="527">
        <v>1548653</v>
      </c>
      <c r="D79" s="527">
        <v>1542186</v>
      </c>
      <c r="E79" s="527">
        <v>1555497</v>
      </c>
      <c r="F79" s="528" t="s">
        <v>690</v>
      </c>
      <c r="G79" s="528" t="s">
        <v>690</v>
      </c>
      <c r="H79" s="528" t="s">
        <v>690</v>
      </c>
      <c r="I79" s="528" t="s">
        <v>690</v>
      </c>
      <c r="J79" s="528" t="s">
        <v>690</v>
      </c>
      <c r="K79" s="528" t="s">
        <v>690</v>
      </c>
      <c r="L79" s="512"/>
    </row>
    <row r="80" spans="1:12" x14ac:dyDescent="0.35">
      <c r="A80" s="510" t="s">
        <v>550</v>
      </c>
      <c r="B80" s="527">
        <v>4904008</v>
      </c>
      <c r="C80" s="527">
        <v>4441512</v>
      </c>
      <c r="D80" s="527">
        <v>5109419</v>
      </c>
      <c r="E80" s="527">
        <v>4400836</v>
      </c>
      <c r="F80" s="527">
        <v>5208775</v>
      </c>
      <c r="G80" s="527">
        <v>5393090</v>
      </c>
      <c r="H80" s="527">
        <v>5839225</v>
      </c>
      <c r="I80" s="527">
        <v>6437971</v>
      </c>
      <c r="J80" s="527">
        <v>7155798</v>
      </c>
      <c r="K80" s="527">
        <v>7561846</v>
      </c>
      <c r="L80" s="512"/>
    </row>
    <row r="81" spans="1:12" x14ac:dyDescent="0.35">
      <c r="A81" s="510" t="s">
        <v>551</v>
      </c>
      <c r="B81" s="527">
        <v>159794</v>
      </c>
      <c r="C81" s="527">
        <v>121199</v>
      </c>
      <c r="D81" s="527">
        <v>135840</v>
      </c>
      <c r="E81" s="527">
        <v>231742</v>
      </c>
      <c r="F81" s="527">
        <v>33068</v>
      </c>
      <c r="G81" s="527">
        <v>30380</v>
      </c>
      <c r="H81" s="527">
        <v>23268</v>
      </c>
      <c r="I81" s="527">
        <v>19943</v>
      </c>
      <c r="J81" s="527">
        <v>31047</v>
      </c>
      <c r="K81" s="528" t="s">
        <v>690</v>
      </c>
      <c r="L81" s="512"/>
    </row>
    <row r="82" spans="1:12" x14ac:dyDescent="0.35">
      <c r="A82" s="510" t="s">
        <v>552</v>
      </c>
      <c r="B82" s="527">
        <v>51905</v>
      </c>
      <c r="C82" s="527">
        <v>38375</v>
      </c>
      <c r="D82" s="527">
        <v>43675</v>
      </c>
      <c r="E82" s="527">
        <v>64958</v>
      </c>
      <c r="F82" s="527">
        <v>8202</v>
      </c>
      <c r="G82" s="527">
        <v>7115</v>
      </c>
      <c r="H82" s="527">
        <v>5527</v>
      </c>
      <c r="I82" s="527">
        <v>5935</v>
      </c>
      <c r="J82" s="527">
        <v>9501</v>
      </c>
      <c r="K82" s="528" t="s">
        <v>690</v>
      </c>
      <c r="L82" s="512"/>
    </row>
    <row r="83" spans="1:12" x14ac:dyDescent="0.35">
      <c r="A83" s="510" t="s">
        <v>553</v>
      </c>
      <c r="B83" s="527">
        <v>107889</v>
      </c>
      <c r="C83" s="527">
        <v>82823</v>
      </c>
      <c r="D83" s="527">
        <v>92165</v>
      </c>
      <c r="E83" s="527">
        <v>166784</v>
      </c>
      <c r="F83" s="527">
        <v>24866</v>
      </c>
      <c r="G83" s="527">
        <v>23265</v>
      </c>
      <c r="H83" s="527">
        <v>17741</v>
      </c>
      <c r="I83" s="527">
        <v>14008</v>
      </c>
      <c r="J83" s="527">
        <v>21546</v>
      </c>
      <c r="K83" s="528" t="s">
        <v>690</v>
      </c>
      <c r="L83" s="512"/>
    </row>
    <row r="84" spans="1:12" x14ac:dyDescent="0.35">
      <c r="A84" s="510" t="s">
        <v>554</v>
      </c>
      <c r="B84" s="527">
        <v>506931</v>
      </c>
      <c r="C84" s="527">
        <v>413790</v>
      </c>
      <c r="D84" s="527">
        <v>396106</v>
      </c>
      <c r="E84" s="527">
        <v>444266</v>
      </c>
      <c r="F84" s="527">
        <v>492599</v>
      </c>
      <c r="G84" s="527">
        <v>379193</v>
      </c>
      <c r="H84" s="527">
        <v>399054</v>
      </c>
      <c r="I84" s="527">
        <v>405893</v>
      </c>
      <c r="J84" s="527">
        <v>353018</v>
      </c>
      <c r="K84" s="528" t="s">
        <v>690</v>
      </c>
      <c r="L84" s="512"/>
    </row>
    <row r="85" spans="1:12" ht="13.15" x14ac:dyDescent="0.35">
      <c r="A85" s="517" t="s">
        <v>782</v>
      </c>
      <c r="B85" s="529">
        <v>506931</v>
      </c>
      <c r="C85" s="529">
        <v>413790</v>
      </c>
      <c r="D85" s="529">
        <v>396106</v>
      </c>
      <c r="E85" s="529">
        <v>444266</v>
      </c>
      <c r="F85" s="529">
        <v>492599</v>
      </c>
      <c r="G85" s="529">
        <v>379193</v>
      </c>
      <c r="H85" s="529">
        <v>399054</v>
      </c>
      <c r="I85" s="529">
        <v>405893</v>
      </c>
      <c r="J85" s="529">
        <v>353018</v>
      </c>
      <c r="K85" s="532" t="s">
        <v>690</v>
      </c>
      <c r="L85" s="512"/>
    </row>
    <row r="86" spans="1:12" x14ac:dyDescent="0.35">
      <c r="A86" s="510" t="s">
        <v>783</v>
      </c>
      <c r="B86" s="528" t="s">
        <v>784</v>
      </c>
      <c r="C86" s="528" t="s">
        <v>784</v>
      </c>
      <c r="D86" s="528" t="s">
        <v>784</v>
      </c>
      <c r="E86" s="528" t="s">
        <v>784</v>
      </c>
      <c r="F86" s="528" t="s">
        <v>784</v>
      </c>
      <c r="G86" s="528" t="s">
        <v>868</v>
      </c>
      <c r="H86" s="528" t="s">
        <v>868</v>
      </c>
      <c r="I86" s="528" t="s">
        <v>810</v>
      </c>
      <c r="J86" s="528" t="s">
        <v>785</v>
      </c>
      <c r="K86" s="528" t="s">
        <v>869</v>
      </c>
      <c r="L86" s="512"/>
    </row>
    <row r="87" spans="1:12" x14ac:dyDescent="0.35">
      <c r="A87" s="510" t="s">
        <v>786</v>
      </c>
      <c r="B87" s="528" t="s">
        <v>787</v>
      </c>
      <c r="C87" s="528" t="s">
        <v>787</v>
      </c>
      <c r="D87" s="528" t="s">
        <v>787</v>
      </c>
      <c r="E87" s="528" t="s">
        <v>787</v>
      </c>
      <c r="F87" s="528" t="s">
        <v>787</v>
      </c>
      <c r="G87" s="528" t="s">
        <v>787</v>
      </c>
      <c r="H87" s="528" t="s">
        <v>787</v>
      </c>
      <c r="I87" s="528" t="s">
        <v>787</v>
      </c>
      <c r="J87" s="528" t="s">
        <v>787</v>
      </c>
      <c r="K87" s="528" t="s">
        <v>787</v>
      </c>
      <c r="L87" s="512"/>
    </row>
    <row r="88" spans="1:12" ht="13.15" x14ac:dyDescent="0.35">
      <c r="A88" s="517" t="s">
        <v>870</v>
      </c>
      <c r="B88" s="528"/>
      <c r="C88" s="528"/>
      <c r="D88" s="528"/>
      <c r="E88" s="528"/>
      <c r="F88" s="528"/>
      <c r="G88" s="528"/>
      <c r="H88" s="528"/>
      <c r="I88" s="528"/>
      <c r="J88" s="528"/>
      <c r="K88" s="528"/>
      <c r="L88" s="512"/>
    </row>
    <row r="89" spans="1:12" x14ac:dyDescent="0.35">
      <c r="A89" s="510" t="s">
        <v>871</v>
      </c>
      <c r="B89" s="528" t="s">
        <v>690</v>
      </c>
      <c r="C89" s="528" t="s">
        <v>690</v>
      </c>
      <c r="D89" s="528" t="s">
        <v>690</v>
      </c>
      <c r="E89" s="528" t="s">
        <v>690</v>
      </c>
      <c r="F89" s="528" t="s">
        <v>690</v>
      </c>
      <c r="G89" s="528" t="s">
        <v>690</v>
      </c>
      <c r="H89" s="528" t="s">
        <v>690</v>
      </c>
      <c r="I89" s="528" t="s">
        <v>690</v>
      </c>
      <c r="J89" s="527">
        <v>1900000</v>
      </c>
      <c r="K89" s="528" t="s">
        <v>690</v>
      </c>
      <c r="L89" s="512"/>
    </row>
    <row r="90" spans="1:12" x14ac:dyDescent="0.35">
      <c r="A90" s="510" t="s">
        <v>872</v>
      </c>
      <c r="B90" s="528" t="s">
        <v>690</v>
      </c>
      <c r="C90" s="528" t="s">
        <v>690</v>
      </c>
      <c r="D90" s="528" t="s">
        <v>690</v>
      </c>
      <c r="E90" s="528" t="s">
        <v>690</v>
      </c>
      <c r="F90" s="528" t="s">
        <v>690</v>
      </c>
      <c r="G90" s="528" t="s">
        <v>690</v>
      </c>
      <c r="H90" s="528" t="s">
        <v>690</v>
      </c>
      <c r="I90" s="528" t="s">
        <v>690</v>
      </c>
      <c r="J90" s="527">
        <v>6196000</v>
      </c>
      <c r="K90" s="528" t="s">
        <v>690</v>
      </c>
      <c r="L90" s="512"/>
    </row>
    <row r="91" spans="1:12" x14ac:dyDescent="0.35">
      <c r="A91" s="510" t="s">
        <v>873</v>
      </c>
      <c r="B91" s="528" t="s">
        <v>690</v>
      </c>
      <c r="C91" s="528" t="s">
        <v>690</v>
      </c>
      <c r="D91" s="528" t="s">
        <v>690</v>
      </c>
      <c r="E91" s="528" t="s">
        <v>690</v>
      </c>
      <c r="F91" s="528" t="s">
        <v>690</v>
      </c>
      <c r="G91" s="528" t="s">
        <v>690</v>
      </c>
      <c r="H91" s="528" t="s">
        <v>690</v>
      </c>
      <c r="I91" s="528" t="s">
        <v>690</v>
      </c>
      <c r="J91" s="528">
        <v>12.8</v>
      </c>
      <c r="K91" s="528" t="s">
        <v>690</v>
      </c>
      <c r="L91" s="512"/>
    </row>
    <row r="92" spans="1:12" ht="13.15" x14ac:dyDescent="0.35">
      <c r="A92" s="517" t="s">
        <v>874</v>
      </c>
      <c r="B92" s="528"/>
      <c r="C92" s="528"/>
      <c r="D92" s="528"/>
      <c r="E92" s="528"/>
      <c r="F92" s="528"/>
      <c r="G92" s="528"/>
      <c r="H92" s="528"/>
      <c r="I92" s="528"/>
      <c r="J92" s="528"/>
      <c r="K92" s="528"/>
      <c r="L92" s="512"/>
    </row>
    <row r="93" spans="1:12" x14ac:dyDescent="0.35">
      <c r="A93" s="510" t="s">
        <v>875</v>
      </c>
      <c r="B93" s="528" t="s">
        <v>690</v>
      </c>
      <c r="C93" s="528" t="s">
        <v>690</v>
      </c>
      <c r="D93" s="528" t="s">
        <v>690</v>
      </c>
      <c r="E93" s="528" t="s">
        <v>690</v>
      </c>
      <c r="F93" s="528" t="s">
        <v>690</v>
      </c>
      <c r="G93" s="528" t="s">
        <v>690</v>
      </c>
      <c r="H93" s="528" t="s">
        <v>690</v>
      </c>
      <c r="I93" s="528" t="s">
        <v>690</v>
      </c>
      <c r="J93" s="527">
        <v>1900000</v>
      </c>
      <c r="K93" s="528" t="s">
        <v>690</v>
      </c>
      <c r="L93" s="512"/>
    </row>
    <row r="94" spans="1:12" x14ac:dyDescent="0.35">
      <c r="A94" s="510" t="s">
        <v>876</v>
      </c>
      <c r="B94" s="528" t="s">
        <v>690</v>
      </c>
      <c r="C94" s="528" t="s">
        <v>690</v>
      </c>
      <c r="D94" s="528" t="s">
        <v>690</v>
      </c>
      <c r="E94" s="528" t="s">
        <v>690</v>
      </c>
      <c r="F94" s="528" t="s">
        <v>690</v>
      </c>
      <c r="G94" s="528" t="s">
        <v>690</v>
      </c>
      <c r="H94" s="528" t="s">
        <v>690</v>
      </c>
      <c r="I94" s="528" t="s">
        <v>690</v>
      </c>
      <c r="J94" s="527">
        <v>6196000</v>
      </c>
      <c r="K94" s="528" t="s">
        <v>690</v>
      </c>
      <c r="L94" s="512"/>
    </row>
    <row r="95" spans="1:12" ht="13.15" x14ac:dyDescent="0.35">
      <c r="A95" s="517" t="s">
        <v>788</v>
      </c>
      <c r="B95" s="528"/>
      <c r="C95" s="528"/>
      <c r="D95" s="528"/>
      <c r="E95" s="528"/>
      <c r="F95" s="528"/>
      <c r="G95" s="528"/>
      <c r="H95" s="528"/>
      <c r="I95" s="528"/>
      <c r="J95" s="528"/>
      <c r="K95" s="528"/>
      <c r="L95" s="512"/>
    </row>
    <row r="96" spans="1:12" x14ac:dyDescent="0.35">
      <c r="A96" s="510" t="s">
        <v>877</v>
      </c>
      <c r="B96" s="527">
        <v>5510</v>
      </c>
      <c r="C96" s="527">
        <v>4897</v>
      </c>
      <c r="D96" s="527">
        <v>4566</v>
      </c>
      <c r="E96" s="527">
        <v>4522</v>
      </c>
      <c r="F96" s="527">
        <v>4561</v>
      </c>
      <c r="G96" s="527">
        <v>4501</v>
      </c>
      <c r="H96" s="527">
        <v>5817</v>
      </c>
      <c r="I96" s="527">
        <v>4692</v>
      </c>
      <c r="J96" s="527">
        <v>5749</v>
      </c>
      <c r="K96" s="528" t="s">
        <v>690</v>
      </c>
      <c r="L96" s="512"/>
    </row>
    <row r="97" spans="1:12" x14ac:dyDescent="0.35">
      <c r="A97" s="510" t="s">
        <v>789</v>
      </c>
      <c r="B97" s="527">
        <v>506931</v>
      </c>
      <c r="C97" s="527">
        <v>413790</v>
      </c>
      <c r="D97" s="527">
        <v>396106</v>
      </c>
      <c r="E97" s="527">
        <v>444266</v>
      </c>
      <c r="F97" s="527">
        <v>492599</v>
      </c>
      <c r="G97" s="527">
        <v>379193</v>
      </c>
      <c r="H97" s="527">
        <v>399054</v>
      </c>
      <c r="I97" s="527">
        <v>405893</v>
      </c>
      <c r="J97" s="527">
        <v>353018</v>
      </c>
      <c r="K97" s="528" t="s">
        <v>690</v>
      </c>
      <c r="L97" s="512"/>
    </row>
    <row r="98" spans="1:12" ht="13.15" x14ac:dyDescent="0.35">
      <c r="A98" s="517" t="s">
        <v>878</v>
      </c>
      <c r="B98" s="528"/>
      <c r="C98" s="528"/>
      <c r="D98" s="528"/>
      <c r="E98" s="528"/>
      <c r="F98" s="528"/>
      <c r="G98" s="528"/>
      <c r="H98" s="528"/>
      <c r="I98" s="528"/>
      <c r="J98" s="528"/>
      <c r="K98" s="528"/>
      <c r="L98" s="512"/>
    </row>
    <row r="99" spans="1:12" x14ac:dyDescent="0.35">
      <c r="A99" s="510" t="s">
        <v>879</v>
      </c>
      <c r="B99" s="528" t="s">
        <v>690</v>
      </c>
      <c r="C99" s="528" t="s">
        <v>690</v>
      </c>
      <c r="D99" s="528" t="s">
        <v>690</v>
      </c>
      <c r="E99" s="528" t="s">
        <v>690</v>
      </c>
      <c r="F99" s="528" t="s">
        <v>690</v>
      </c>
      <c r="G99" s="528" t="s">
        <v>690</v>
      </c>
      <c r="H99" s="528" t="s">
        <v>690</v>
      </c>
      <c r="I99" s="527">
        <v>24635</v>
      </c>
      <c r="J99" s="527">
        <v>41396</v>
      </c>
      <c r="K99" s="528" t="s">
        <v>690</v>
      </c>
      <c r="L99" s="512"/>
    </row>
    <row r="100" spans="1:12" x14ac:dyDescent="0.35">
      <c r="A100" s="523"/>
      <c r="B100" s="512"/>
      <c r="C100" s="512"/>
      <c r="D100" s="512"/>
      <c r="E100" s="512"/>
      <c r="F100" s="512"/>
      <c r="G100" s="512"/>
      <c r="H100" s="512"/>
      <c r="I100" s="512"/>
      <c r="J100" s="512"/>
      <c r="K100" s="512"/>
      <c r="L100" s="512"/>
    </row>
    <row r="103" spans="1:12" x14ac:dyDescent="0.35">
      <c r="A103" s="513"/>
      <c r="B103" s="513"/>
      <c r="C103" s="513"/>
      <c r="D103" s="513"/>
      <c r="E103" s="512"/>
      <c r="F103" s="512"/>
      <c r="G103" s="512"/>
      <c r="H103" s="512"/>
      <c r="I103" s="512"/>
      <c r="J103" s="512"/>
      <c r="K103" s="512"/>
      <c r="L103" s="512"/>
    </row>
    <row r="104" spans="1:12" ht="17.649999999999999" x14ac:dyDescent="0.5">
      <c r="A104" s="521" t="s">
        <v>880</v>
      </c>
      <c r="B104" s="521"/>
      <c r="C104" s="521"/>
      <c r="D104" s="521"/>
      <c r="E104" s="521"/>
      <c r="F104" s="521"/>
      <c r="G104" s="521"/>
      <c r="H104" s="521"/>
      <c r="I104" s="521"/>
      <c r="J104" s="521"/>
      <c r="K104" s="521"/>
      <c r="L104" s="521"/>
    </row>
    <row r="105" spans="1:12" x14ac:dyDescent="0.35">
      <c r="A105" s="510" t="s">
        <v>861</v>
      </c>
      <c r="B105" s="512"/>
      <c r="C105" s="512"/>
      <c r="D105" s="512"/>
      <c r="E105" s="512"/>
      <c r="F105" s="512"/>
      <c r="G105" s="512"/>
      <c r="H105" s="512"/>
      <c r="I105" s="512"/>
      <c r="J105" s="512"/>
      <c r="K105" s="512"/>
      <c r="L105" s="512"/>
    </row>
    <row r="106" spans="1:12" x14ac:dyDescent="0.35">
      <c r="A106" s="512"/>
      <c r="B106" s="512"/>
      <c r="C106" s="512"/>
      <c r="D106" s="512"/>
      <c r="E106" s="512"/>
      <c r="F106" s="512"/>
      <c r="G106" s="512"/>
      <c r="H106" s="512"/>
      <c r="I106" s="512"/>
      <c r="J106" s="512"/>
      <c r="K106" s="512"/>
      <c r="L106" s="512"/>
    </row>
    <row r="107" spans="1:12" x14ac:dyDescent="0.35">
      <c r="A107" s="510" t="s">
        <v>665</v>
      </c>
      <c r="B107" s="523"/>
      <c r="C107" s="512"/>
      <c r="D107" s="512"/>
      <c r="E107" s="512"/>
      <c r="F107" s="512"/>
      <c r="G107" s="512"/>
      <c r="H107" s="512"/>
      <c r="I107" s="512"/>
      <c r="J107" s="512"/>
      <c r="K107" s="512"/>
      <c r="L107" s="512"/>
    </row>
    <row r="108" spans="1:12" x14ac:dyDescent="0.35">
      <c r="A108" s="510" t="s">
        <v>666</v>
      </c>
      <c r="B108" s="523"/>
      <c r="C108" s="512"/>
      <c r="D108" s="512"/>
      <c r="E108" s="512"/>
      <c r="F108" s="512"/>
      <c r="G108" s="512"/>
      <c r="H108" s="512"/>
      <c r="I108" s="512"/>
      <c r="J108" s="512"/>
      <c r="K108" s="512"/>
      <c r="L108" s="512"/>
    </row>
    <row r="109" spans="1:12" x14ac:dyDescent="0.35">
      <c r="A109" s="510" t="s">
        <v>667</v>
      </c>
      <c r="B109" s="523"/>
      <c r="C109" s="512"/>
      <c r="D109" s="512"/>
      <c r="E109" s="512"/>
      <c r="F109" s="512"/>
      <c r="G109" s="512"/>
      <c r="H109" s="512"/>
      <c r="I109" s="512"/>
      <c r="J109" s="512"/>
      <c r="K109" s="512"/>
      <c r="L109" s="512"/>
    </row>
    <row r="110" spans="1:12" x14ac:dyDescent="0.35">
      <c r="A110" s="510" t="s">
        <v>730</v>
      </c>
      <c r="B110" s="523"/>
      <c r="C110" s="512"/>
      <c r="D110" s="512"/>
      <c r="E110" s="512"/>
      <c r="F110" s="512"/>
      <c r="G110" s="512"/>
      <c r="H110" s="512"/>
      <c r="I110" s="512"/>
      <c r="J110" s="512"/>
      <c r="K110" s="512"/>
      <c r="L110" s="512"/>
    </row>
    <row r="111" spans="1:12" x14ac:dyDescent="0.35">
      <c r="A111" s="510" t="s">
        <v>668</v>
      </c>
      <c r="B111" s="523"/>
      <c r="C111" s="512"/>
      <c r="D111" s="512"/>
      <c r="E111" s="512"/>
      <c r="F111" s="512"/>
      <c r="G111" s="512"/>
      <c r="H111" s="512"/>
      <c r="I111" s="512"/>
      <c r="J111" s="512"/>
      <c r="K111" s="512"/>
      <c r="L111" s="512"/>
    </row>
    <row r="112" spans="1:12" x14ac:dyDescent="0.35">
      <c r="A112" s="510" t="s">
        <v>731</v>
      </c>
      <c r="B112" s="523"/>
      <c r="C112" s="512"/>
      <c r="D112" s="512"/>
      <c r="E112" s="512"/>
      <c r="F112" s="512"/>
      <c r="G112" s="512"/>
      <c r="H112" s="512"/>
      <c r="I112" s="512"/>
      <c r="J112" s="512"/>
      <c r="K112" s="512"/>
      <c r="L112" s="512"/>
    </row>
    <row r="113" spans="1:12" x14ac:dyDescent="0.35">
      <c r="A113" s="510" t="s">
        <v>732</v>
      </c>
      <c r="B113" s="523"/>
      <c r="C113" s="512"/>
      <c r="D113" s="512"/>
      <c r="E113" s="512"/>
      <c r="F113" s="512"/>
      <c r="G113" s="512"/>
      <c r="H113" s="512"/>
      <c r="I113" s="512"/>
      <c r="J113" s="512"/>
      <c r="K113" s="512"/>
      <c r="L113" s="512"/>
    </row>
    <row r="114" spans="1:12" x14ac:dyDescent="0.35">
      <c r="A114" s="526"/>
      <c r="B114" s="526"/>
      <c r="C114" s="526"/>
      <c r="D114" s="526"/>
      <c r="E114" s="526"/>
      <c r="F114" s="526"/>
      <c r="G114" s="526"/>
      <c r="H114" s="526"/>
      <c r="I114" s="526"/>
      <c r="J114" s="526"/>
      <c r="K114" s="526"/>
      <c r="L114" s="512"/>
    </row>
    <row r="115" spans="1:12" x14ac:dyDescent="0.35">
      <c r="A115" s="520" t="s">
        <v>670</v>
      </c>
      <c r="B115" s="519" t="s">
        <v>733</v>
      </c>
      <c r="C115" s="519" t="s">
        <v>720</v>
      </c>
      <c r="D115" s="519" t="s">
        <v>671</v>
      </c>
      <c r="E115" s="519" t="s">
        <v>672</v>
      </c>
      <c r="F115" s="519" t="s">
        <v>673</v>
      </c>
      <c r="G115" s="519" t="s">
        <v>674</v>
      </c>
      <c r="H115" s="519" t="s">
        <v>675</v>
      </c>
      <c r="I115" s="519" t="s">
        <v>676</v>
      </c>
      <c r="J115" s="519" t="s">
        <v>677</v>
      </c>
      <c r="K115" s="519" t="s">
        <v>734</v>
      </c>
      <c r="L115" s="512"/>
    </row>
    <row r="116" spans="1:12" ht="25.5" x14ac:dyDescent="0.35">
      <c r="A116" s="510" t="s">
        <v>73</v>
      </c>
      <c r="B116" s="528" t="s">
        <v>735</v>
      </c>
      <c r="C116" s="528" t="s">
        <v>735</v>
      </c>
      <c r="D116" s="528" t="s">
        <v>735</v>
      </c>
      <c r="E116" s="528" t="s">
        <v>735</v>
      </c>
      <c r="F116" s="528" t="s">
        <v>735</v>
      </c>
      <c r="G116" s="528" t="s">
        <v>735</v>
      </c>
      <c r="H116" s="528" t="s">
        <v>735</v>
      </c>
      <c r="I116" s="528" t="s">
        <v>735</v>
      </c>
      <c r="J116" s="528" t="s">
        <v>735</v>
      </c>
      <c r="K116" s="528" t="s">
        <v>735</v>
      </c>
      <c r="L116" s="512"/>
    </row>
    <row r="117" spans="1:12" ht="25.5" x14ac:dyDescent="0.35">
      <c r="A117" s="510" t="s">
        <v>678</v>
      </c>
      <c r="B117" s="528" t="s">
        <v>736</v>
      </c>
      <c r="C117" s="528" t="s">
        <v>737</v>
      </c>
      <c r="D117" s="528" t="s">
        <v>679</v>
      </c>
      <c r="E117" s="528" t="s">
        <v>680</v>
      </c>
      <c r="F117" s="528" t="s">
        <v>681</v>
      </c>
      <c r="G117" s="528" t="s">
        <v>682</v>
      </c>
      <c r="H117" s="528" t="s">
        <v>683</v>
      </c>
      <c r="I117" s="528" t="s">
        <v>684</v>
      </c>
      <c r="J117" s="528" t="s">
        <v>685</v>
      </c>
      <c r="K117" s="528" t="s">
        <v>738</v>
      </c>
      <c r="L117" s="512"/>
    </row>
    <row r="118" spans="1:12" x14ac:dyDescent="0.35">
      <c r="A118" s="510" t="s">
        <v>739</v>
      </c>
      <c r="B118" s="528" t="s">
        <v>862</v>
      </c>
      <c r="C118" s="530">
        <v>43802</v>
      </c>
      <c r="D118" s="530">
        <v>43924</v>
      </c>
      <c r="E118" s="530">
        <v>44442</v>
      </c>
      <c r="F118" s="530">
        <v>44654</v>
      </c>
      <c r="G118" s="530">
        <v>45202</v>
      </c>
      <c r="H118" s="530">
        <v>45294</v>
      </c>
      <c r="I118" s="530">
        <v>45294</v>
      </c>
      <c r="J118" s="530">
        <v>45294</v>
      </c>
      <c r="K118" s="530">
        <v>45779</v>
      </c>
      <c r="L118" s="512"/>
    </row>
    <row r="119" spans="1:12" x14ac:dyDescent="0.35">
      <c r="A119" s="510" t="s">
        <v>745</v>
      </c>
      <c r="B119" s="528">
        <v>1.3569640000000001</v>
      </c>
      <c r="C119" s="528">
        <v>1.1711959999999999</v>
      </c>
      <c r="D119" s="528">
        <v>1.125634</v>
      </c>
      <c r="E119" s="528">
        <v>1.113165</v>
      </c>
      <c r="F119" s="528">
        <v>1.1801870000000001</v>
      </c>
      <c r="G119" s="528">
        <v>1.1161319999999999</v>
      </c>
      <c r="H119" s="528">
        <v>1.1906239999999999</v>
      </c>
      <c r="I119" s="528">
        <v>1.1274169999999999</v>
      </c>
      <c r="J119" s="528">
        <v>1.1523669999999999</v>
      </c>
      <c r="K119" s="528">
        <v>1.2092339999999999</v>
      </c>
      <c r="L119" s="512"/>
    </row>
    <row r="120" spans="1:12" x14ac:dyDescent="0.35">
      <c r="A120" s="510" t="s">
        <v>746</v>
      </c>
      <c r="B120" s="528">
        <v>1.3775299999999999</v>
      </c>
      <c r="C120" s="528">
        <v>1.2242310000000001</v>
      </c>
      <c r="D120" s="528">
        <v>1.1415150000000001</v>
      </c>
      <c r="E120" s="528">
        <v>1.1304479999999999</v>
      </c>
      <c r="F120" s="528">
        <v>1.1402749999999999</v>
      </c>
      <c r="G120" s="528">
        <v>1.1252009999999999</v>
      </c>
      <c r="H120" s="528">
        <v>1.163424</v>
      </c>
      <c r="I120" s="528">
        <v>1.1731</v>
      </c>
      <c r="J120" s="528">
        <v>1.1498949999999999</v>
      </c>
      <c r="K120" s="528">
        <v>1.181354</v>
      </c>
      <c r="L120" s="512"/>
    </row>
    <row r="121" spans="1:12" x14ac:dyDescent="0.35">
      <c r="A121" s="510" t="s">
        <v>73</v>
      </c>
      <c r="B121" s="528"/>
      <c r="C121" s="528"/>
      <c r="D121" s="528"/>
      <c r="E121" s="528"/>
      <c r="F121" s="528"/>
      <c r="G121" s="528"/>
      <c r="H121" s="528"/>
      <c r="I121" s="528"/>
      <c r="J121" s="528"/>
      <c r="K121" s="528"/>
      <c r="L121" s="512"/>
    </row>
    <row r="122" spans="1:12" ht="13.15" x14ac:dyDescent="0.35">
      <c r="A122" s="517" t="s">
        <v>791</v>
      </c>
      <c r="B122" s="528"/>
      <c r="C122" s="528"/>
      <c r="D122" s="528"/>
      <c r="E122" s="528"/>
      <c r="F122" s="528"/>
      <c r="G122" s="528"/>
      <c r="H122" s="528"/>
      <c r="I122" s="528"/>
      <c r="J122" s="528"/>
      <c r="K122" s="528"/>
      <c r="L122" s="512"/>
    </row>
    <row r="123" spans="1:12" x14ac:dyDescent="0.35">
      <c r="A123" s="510" t="s">
        <v>792</v>
      </c>
      <c r="B123" s="527">
        <v>11601560</v>
      </c>
      <c r="C123" s="527">
        <v>1116499</v>
      </c>
      <c r="D123" s="527">
        <v>1748800</v>
      </c>
      <c r="E123" s="527">
        <v>4095615</v>
      </c>
      <c r="F123" s="527">
        <v>5296576</v>
      </c>
      <c r="G123" s="527">
        <v>6468782</v>
      </c>
      <c r="H123" s="527">
        <v>5101614</v>
      </c>
      <c r="I123" s="527">
        <v>17544880</v>
      </c>
      <c r="J123" s="527">
        <v>5666684</v>
      </c>
      <c r="K123" s="527">
        <v>3041986</v>
      </c>
      <c r="L123" s="512"/>
    </row>
    <row r="124" spans="1:12" x14ac:dyDescent="0.35">
      <c r="A124" s="510" t="s">
        <v>556</v>
      </c>
      <c r="B124" s="527">
        <v>1228757</v>
      </c>
      <c r="C124" s="527">
        <v>1197298</v>
      </c>
      <c r="D124" s="527">
        <v>1127816</v>
      </c>
      <c r="E124" s="527">
        <v>1078448</v>
      </c>
      <c r="F124" s="527">
        <v>1403678</v>
      </c>
      <c r="G124" s="527">
        <v>1129702</v>
      </c>
      <c r="H124" s="527">
        <v>1202980</v>
      </c>
      <c r="I124" s="527">
        <v>1244659</v>
      </c>
      <c r="J124" s="527">
        <v>1244187</v>
      </c>
      <c r="K124" s="527">
        <v>1971679</v>
      </c>
      <c r="L124" s="512"/>
    </row>
    <row r="125" spans="1:12" x14ac:dyDescent="0.35">
      <c r="A125" s="510" t="s">
        <v>560</v>
      </c>
      <c r="B125" s="527">
        <v>1016617</v>
      </c>
      <c r="C125" s="527">
        <v>974488</v>
      </c>
      <c r="D125" s="527">
        <v>1066175</v>
      </c>
      <c r="E125" s="527">
        <v>1019665</v>
      </c>
      <c r="F125" s="527">
        <v>1257723</v>
      </c>
      <c r="G125" s="527">
        <v>1176961</v>
      </c>
      <c r="H125" s="527">
        <v>1265805</v>
      </c>
      <c r="I125" s="527">
        <v>1034674</v>
      </c>
      <c r="J125" s="527">
        <v>1160244</v>
      </c>
      <c r="K125" s="527">
        <v>1183716</v>
      </c>
      <c r="L125" s="512"/>
    </row>
    <row r="126" spans="1:12" x14ac:dyDescent="0.35">
      <c r="A126" s="510" t="s">
        <v>793</v>
      </c>
      <c r="B126" s="527">
        <v>2245374</v>
      </c>
      <c r="C126" s="527">
        <v>2171787</v>
      </c>
      <c r="D126" s="527">
        <v>2193991</v>
      </c>
      <c r="E126" s="527">
        <v>2098112</v>
      </c>
      <c r="F126" s="527">
        <v>2661401</v>
      </c>
      <c r="G126" s="527">
        <v>2306663</v>
      </c>
      <c r="H126" s="527">
        <v>2468786</v>
      </c>
      <c r="I126" s="527">
        <v>2279333</v>
      </c>
      <c r="J126" s="527">
        <v>2404431</v>
      </c>
      <c r="K126" s="527">
        <v>3155396</v>
      </c>
      <c r="L126" s="512"/>
    </row>
    <row r="127" spans="1:12" x14ac:dyDescent="0.35">
      <c r="A127" s="510" t="s">
        <v>561</v>
      </c>
      <c r="B127" s="528" t="s">
        <v>690</v>
      </c>
      <c r="C127" s="528" t="s">
        <v>690</v>
      </c>
      <c r="D127" s="528" t="s">
        <v>690</v>
      </c>
      <c r="E127" s="528" t="s">
        <v>690</v>
      </c>
      <c r="F127" s="528" t="s">
        <v>690</v>
      </c>
      <c r="G127" s="528" t="s">
        <v>690</v>
      </c>
      <c r="H127" s="528" t="s">
        <v>690</v>
      </c>
      <c r="I127" s="527">
        <v>239312</v>
      </c>
      <c r="J127" s="527">
        <v>233429</v>
      </c>
      <c r="K127" s="528" t="s">
        <v>690</v>
      </c>
      <c r="L127" s="512"/>
    </row>
    <row r="128" spans="1:12" x14ac:dyDescent="0.35">
      <c r="A128" s="510" t="s">
        <v>562</v>
      </c>
      <c r="B128" s="527">
        <v>-13302810</v>
      </c>
      <c r="C128" s="527">
        <v>-224034</v>
      </c>
      <c r="D128" s="527">
        <v>-231727</v>
      </c>
      <c r="E128" s="527">
        <v>-298438</v>
      </c>
      <c r="F128" s="527">
        <v>-619169</v>
      </c>
      <c r="G128" s="527">
        <v>-3481373</v>
      </c>
      <c r="H128" s="527">
        <v>-681766</v>
      </c>
      <c r="I128" s="527">
        <v>-259255</v>
      </c>
      <c r="J128" s="527">
        <v>-13799</v>
      </c>
      <c r="K128" s="528" t="s">
        <v>690</v>
      </c>
      <c r="L128" s="512"/>
    </row>
    <row r="129" spans="1:12" x14ac:dyDescent="0.35">
      <c r="A129" s="510" t="s">
        <v>563</v>
      </c>
      <c r="B129" s="527">
        <v>-1632373</v>
      </c>
      <c r="C129" s="527">
        <v>-310955</v>
      </c>
      <c r="D129" s="527">
        <v>-149538</v>
      </c>
      <c r="E129" s="527">
        <v>-7913</v>
      </c>
      <c r="F129" s="527">
        <v>-2281</v>
      </c>
      <c r="G129" s="527">
        <v>-77639</v>
      </c>
      <c r="H129" s="527">
        <v>32576</v>
      </c>
      <c r="I129" s="527">
        <v>-1173</v>
      </c>
      <c r="J129" s="527">
        <v>-1150</v>
      </c>
      <c r="K129" s="527">
        <v>-7088</v>
      </c>
      <c r="L129" s="512"/>
    </row>
    <row r="130" spans="1:12" x14ac:dyDescent="0.35">
      <c r="A130" s="510" t="s">
        <v>564</v>
      </c>
      <c r="B130" s="527">
        <v>1132330</v>
      </c>
      <c r="C130" s="527">
        <v>276676</v>
      </c>
      <c r="D130" s="527">
        <v>1211147</v>
      </c>
      <c r="E130" s="527">
        <v>395657</v>
      </c>
      <c r="F130" s="527">
        <v>962392</v>
      </c>
      <c r="G130" s="527">
        <v>1189338</v>
      </c>
      <c r="H130" s="527">
        <v>579385</v>
      </c>
      <c r="I130" s="527">
        <v>232274</v>
      </c>
      <c r="J130" s="527">
        <v>413962</v>
      </c>
      <c r="K130" s="527">
        <v>370945</v>
      </c>
      <c r="L130" s="512"/>
    </row>
    <row r="131" spans="1:12" x14ac:dyDescent="0.35">
      <c r="A131" s="510" t="s">
        <v>565</v>
      </c>
      <c r="B131" s="527">
        <v>-19285</v>
      </c>
      <c r="C131" s="527">
        <v>-6121</v>
      </c>
      <c r="D131" s="527">
        <v>-14840</v>
      </c>
      <c r="E131" s="527">
        <v>-35044</v>
      </c>
      <c r="F131" s="527">
        <v>-84380</v>
      </c>
      <c r="G131" s="527">
        <v>-37132</v>
      </c>
      <c r="H131" s="527">
        <v>-38393</v>
      </c>
      <c r="I131" s="527">
        <v>2346</v>
      </c>
      <c r="J131" s="527">
        <v>5749</v>
      </c>
      <c r="K131" s="527">
        <v>3544</v>
      </c>
      <c r="L131" s="512"/>
    </row>
    <row r="132" spans="1:12" x14ac:dyDescent="0.35">
      <c r="A132" s="510" t="s">
        <v>566</v>
      </c>
      <c r="B132" s="527">
        <v>506931</v>
      </c>
      <c r="C132" s="527">
        <v>390530</v>
      </c>
      <c r="D132" s="527">
        <v>380124</v>
      </c>
      <c r="E132" s="527">
        <v>406961</v>
      </c>
      <c r="F132" s="527">
        <v>416200</v>
      </c>
      <c r="G132" s="527">
        <v>379193</v>
      </c>
      <c r="H132" s="527">
        <v>399054</v>
      </c>
      <c r="I132" s="527">
        <v>405893</v>
      </c>
      <c r="J132" s="527">
        <v>353018</v>
      </c>
      <c r="K132" s="528" t="s">
        <v>690</v>
      </c>
      <c r="L132" s="512"/>
    </row>
    <row r="133" spans="1:12" x14ac:dyDescent="0.35">
      <c r="A133" s="510" t="s">
        <v>653</v>
      </c>
      <c r="B133" s="528" t="s">
        <v>690</v>
      </c>
      <c r="C133" s="528" t="s">
        <v>690</v>
      </c>
      <c r="D133" s="528" t="s">
        <v>690</v>
      </c>
      <c r="E133" s="528" t="s">
        <v>690</v>
      </c>
      <c r="F133" s="528" t="s">
        <v>690</v>
      </c>
      <c r="G133" s="527">
        <v>2084998</v>
      </c>
      <c r="H133" s="527">
        <v>1948735</v>
      </c>
      <c r="I133" s="527">
        <v>902114</v>
      </c>
      <c r="J133" s="528" t="s">
        <v>690</v>
      </c>
      <c r="K133" s="528" t="s">
        <v>690</v>
      </c>
      <c r="L133" s="512"/>
    </row>
    <row r="134" spans="1:12" x14ac:dyDescent="0.35">
      <c r="A134" s="510" t="s">
        <v>567</v>
      </c>
      <c r="B134" s="527">
        <v>699785</v>
      </c>
      <c r="C134" s="527">
        <v>4099951</v>
      </c>
      <c r="D134" s="527">
        <v>3515865</v>
      </c>
      <c r="E134" s="527">
        <v>3123429</v>
      </c>
      <c r="F134" s="527">
        <v>204109</v>
      </c>
      <c r="G134" s="527">
        <v>-366816</v>
      </c>
      <c r="H134" s="527">
        <v>-935393</v>
      </c>
      <c r="I134" s="527">
        <v>-11068196</v>
      </c>
      <c r="J134" s="527">
        <v>-295523</v>
      </c>
      <c r="K134" s="527">
        <v>-1291220</v>
      </c>
      <c r="L134" s="512"/>
    </row>
    <row r="135" spans="1:12" x14ac:dyDescent="0.35">
      <c r="A135" s="510" t="s">
        <v>568</v>
      </c>
      <c r="B135" s="527">
        <v>134998</v>
      </c>
      <c r="C135" s="527">
        <v>-230156</v>
      </c>
      <c r="D135" s="527">
        <v>-327615</v>
      </c>
      <c r="E135" s="527">
        <v>-484962</v>
      </c>
      <c r="F135" s="527">
        <v>-36489</v>
      </c>
      <c r="G135" s="527">
        <v>-313931</v>
      </c>
      <c r="H135" s="527">
        <v>-907471</v>
      </c>
      <c r="I135" s="527">
        <v>-185350</v>
      </c>
      <c r="J135" s="527">
        <v>-913017</v>
      </c>
      <c r="K135" s="528" t="s">
        <v>690</v>
      </c>
      <c r="L135" s="512"/>
    </row>
    <row r="136" spans="1:12" x14ac:dyDescent="0.35">
      <c r="A136" s="510" t="s">
        <v>569</v>
      </c>
      <c r="B136" s="527">
        <v>-152906</v>
      </c>
      <c r="C136" s="527">
        <v>85696</v>
      </c>
      <c r="D136" s="527">
        <v>-526238</v>
      </c>
      <c r="E136" s="527">
        <v>57653</v>
      </c>
      <c r="F136" s="527">
        <v>342082</v>
      </c>
      <c r="G136" s="527">
        <v>112520</v>
      </c>
      <c r="H136" s="527">
        <v>59335</v>
      </c>
      <c r="I136" s="527">
        <v>-315564</v>
      </c>
      <c r="J136" s="527">
        <v>-487556</v>
      </c>
      <c r="K136" s="528" t="s">
        <v>690</v>
      </c>
      <c r="L136" s="512"/>
    </row>
    <row r="137" spans="1:12" x14ac:dyDescent="0.35">
      <c r="A137" s="510" t="s">
        <v>570</v>
      </c>
      <c r="B137" s="527">
        <v>55101</v>
      </c>
      <c r="C137" s="527">
        <v>117526</v>
      </c>
      <c r="D137" s="527">
        <v>12557</v>
      </c>
      <c r="E137" s="527">
        <v>148089</v>
      </c>
      <c r="F137" s="527">
        <v>299892</v>
      </c>
      <c r="G137" s="527">
        <v>148527</v>
      </c>
      <c r="H137" s="527">
        <v>266424</v>
      </c>
      <c r="I137" s="527">
        <v>579511</v>
      </c>
      <c r="J137" s="527">
        <v>-17248</v>
      </c>
      <c r="K137" s="528" t="s">
        <v>690</v>
      </c>
      <c r="L137" s="512"/>
    </row>
    <row r="138" spans="1:12" x14ac:dyDescent="0.35">
      <c r="A138" s="510" t="s">
        <v>626</v>
      </c>
      <c r="B138" s="527">
        <v>2270170</v>
      </c>
      <c r="C138" s="527">
        <v>466432</v>
      </c>
      <c r="D138" s="527">
        <v>84472</v>
      </c>
      <c r="E138" s="527">
        <v>20348</v>
      </c>
      <c r="F138" s="527">
        <v>-295331</v>
      </c>
      <c r="G138" s="527">
        <v>1084694</v>
      </c>
      <c r="H138" s="527">
        <v>958661</v>
      </c>
      <c r="I138" s="527">
        <v>-1671667</v>
      </c>
      <c r="J138" s="527">
        <v>433510</v>
      </c>
      <c r="K138" s="527">
        <v>2469029</v>
      </c>
      <c r="L138" s="512"/>
    </row>
    <row r="139" spans="1:12" x14ac:dyDescent="0.35">
      <c r="A139" s="510" t="s">
        <v>794</v>
      </c>
      <c r="B139" s="527">
        <v>3538875</v>
      </c>
      <c r="C139" s="527">
        <v>7953832</v>
      </c>
      <c r="D139" s="527">
        <v>7896998</v>
      </c>
      <c r="E139" s="527">
        <v>9519507</v>
      </c>
      <c r="F139" s="527">
        <v>9145004</v>
      </c>
      <c r="G139" s="527">
        <v>9497824</v>
      </c>
      <c r="H139" s="527">
        <v>9251548</v>
      </c>
      <c r="I139" s="527">
        <v>8684457</v>
      </c>
      <c r="J139" s="527">
        <v>7782491</v>
      </c>
      <c r="K139" s="527">
        <v>7742593</v>
      </c>
      <c r="L139" s="512"/>
    </row>
    <row r="140" spans="1:12" ht="13.15" x14ac:dyDescent="0.35">
      <c r="A140" s="517" t="s">
        <v>795</v>
      </c>
      <c r="B140" s="528"/>
      <c r="C140" s="528"/>
      <c r="D140" s="528"/>
      <c r="E140" s="528"/>
      <c r="F140" s="528"/>
      <c r="G140" s="528"/>
      <c r="H140" s="528"/>
      <c r="I140" s="528"/>
      <c r="J140" s="528"/>
      <c r="K140" s="528"/>
      <c r="L140" s="512"/>
    </row>
    <row r="141" spans="1:12" x14ac:dyDescent="0.35">
      <c r="A141" s="510" t="s">
        <v>571</v>
      </c>
      <c r="B141" s="527">
        <v>-1900992</v>
      </c>
      <c r="C141" s="527">
        <v>-1888989</v>
      </c>
      <c r="D141" s="527">
        <v>-1763640</v>
      </c>
      <c r="E141" s="527">
        <v>-1519323</v>
      </c>
      <c r="F141" s="527">
        <v>-1442448</v>
      </c>
      <c r="G141" s="527">
        <v>-1112824</v>
      </c>
      <c r="H141" s="527">
        <v>-1105253</v>
      </c>
      <c r="I141" s="527">
        <v>-1340853</v>
      </c>
      <c r="J141" s="527">
        <v>-1510962</v>
      </c>
      <c r="K141" s="527">
        <v>-1652714</v>
      </c>
      <c r="L141" s="512"/>
    </row>
    <row r="142" spans="1:12" x14ac:dyDescent="0.35">
      <c r="A142" s="510" t="s">
        <v>572</v>
      </c>
      <c r="B142" s="527">
        <v>99182</v>
      </c>
      <c r="C142" s="527">
        <v>119975</v>
      </c>
      <c r="D142" s="527">
        <v>320766</v>
      </c>
      <c r="E142" s="527">
        <v>189915</v>
      </c>
      <c r="F142" s="527">
        <v>108326</v>
      </c>
      <c r="G142" s="527">
        <v>55135</v>
      </c>
      <c r="H142" s="527">
        <v>153572</v>
      </c>
      <c r="I142" s="527">
        <v>171273</v>
      </c>
      <c r="J142" s="527">
        <v>32197</v>
      </c>
      <c r="K142" s="527">
        <v>76788</v>
      </c>
      <c r="L142" s="512"/>
    </row>
    <row r="143" spans="1:12" x14ac:dyDescent="0.35">
      <c r="A143" s="510" t="s">
        <v>573</v>
      </c>
      <c r="B143" s="527">
        <v>-4877835</v>
      </c>
      <c r="C143" s="527">
        <v>-68557</v>
      </c>
      <c r="D143" s="527">
        <v>-103878</v>
      </c>
      <c r="E143" s="527">
        <v>-172959</v>
      </c>
      <c r="F143" s="527">
        <v>-4200772</v>
      </c>
      <c r="G143" s="527">
        <v>-135024</v>
      </c>
      <c r="H143" s="527">
        <v>-132630</v>
      </c>
      <c r="I143" s="527">
        <v>-3738669</v>
      </c>
      <c r="J143" s="527">
        <v>-1688046</v>
      </c>
      <c r="K143" s="527">
        <v>-973436</v>
      </c>
      <c r="L143" s="512"/>
    </row>
    <row r="144" spans="1:12" x14ac:dyDescent="0.35">
      <c r="A144" s="510" t="s">
        <v>657</v>
      </c>
      <c r="B144" s="527">
        <v>14114176</v>
      </c>
      <c r="C144" s="527">
        <v>88145</v>
      </c>
      <c r="D144" s="527">
        <v>321907</v>
      </c>
      <c r="E144" s="527">
        <v>29392</v>
      </c>
      <c r="F144" s="527">
        <v>118589</v>
      </c>
      <c r="G144" s="527">
        <v>131649</v>
      </c>
      <c r="H144" s="527">
        <v>-19778</v>
      </c>
      <c r="I144" s="527">
        <v>-50443</v>
      </c>
      <c r="J144" s="527">
        <v>56345</v>
      </c>
      <c r="K144" s="527">
        <v>-21264</v>
      </c>
      <c r="L144" s="512"/>
    </row>
    <row r="145" spans="1:12" x14ac:dyDescent="0.35">
      <c r="A145" s="510" t="s">
        <v>574</v>
      </c>
      <c r="B145" s="527">
        <v>-392596</v>
      </c>
      <c r="C145" s="527">
        <v>-643946</v>
      </c>
      <c r="D145" s="527">
        <v>-695182</v>
      </c>
      <c r="E145" s="527">
        <v>-221568</v>
      </c>
      <c r="F145" s="527">
        <v>-563296</v>
      </c>
      <c r="G145" s="527">
        <v>-689748</v>
      </c>
      <c r="H145" s="527">
        <v>-1236720</v>
      </c>
      <c r="I145" s="527">
        <v>-1078079</v>
      </c>
      <c r="J145" s="527">
        <v>-1170593</v>
      </c>
      <c r="K145" s="527">
        <v>-1715326</v>
      </c>
      <c r="L145" s="512"/>
    </row>
    <row r="146" spans="1:12" x14ac:dyDescent="0.35">
      <c r="A146" s="510" t="s">
        <v>575</v>
      </c>
      <c r="B146" s="527">
        <v>1130952</v>
      </c>
      <c r="C146" s="527">
        <v>705157</v>
      </c>
      <c r="D146" s="527">
        <v>192916</v>
      </c>
      <c r="E146" s="527">
        <v>-186524</v>
      </c>
      <c r="F146" s="527">
        <v>-226915</v>
      </c>
      <c r="G146" s="527">
        <v>3210199</v>
      </c>
      <c r="H146" s="527">
        <v>388584</v>
      </c>
      <c r="I146" s="527">
        <v>111444</v>
      </c>
      <c r="J146" s="527">
        <v>2049113</v>
      </c>
      <c r="K146" s="527">
        <v>2635600</v>
      </c>
      <c r="L146" s="512"/>
    </row>
    <row r="147" spans="1:12" x14ac:dyDescent="0.35">
      <c r="A147" s="510" t="s">
        <v>576</v>
      </c>
      <c r="B147" s="527">
        <v>143263</v>
      </c>
      <c r="C147" s="527">
        <v>134665</v>
      </c>
      <c r="D147" s="527">
        <v>79906</v>
      </c>
      <c r="E147" s="527">
        <v>125480</v>
      </c>
      <c r="F147" s="527">
        <v>101484</v>
      </c>
      <c r="G147" s="527">
        <v>972174</v>
      </c>
      <c r="H147" s="527">
        <v>-115179</v>
      </c>
      <c r="I147" s="527">
        <v>-4365104</v>
      </c>
      <c r="J147" s="527">
        <v>397864</v>
      </c>
      <c r="K147" s="527">
        <v>198467</v>
      </c>
      <c r="L147" s="512"/>
    </row>
    <row r="148" spans="1:12" x14ac:dyDescent="0.35">
      <c r="A148" s="510" t="s">
        <v>796</v>
      </c>
      <c r="B148" s="527">
        <v>8316151</v>
      </c>
      <c r="C148" s="527">
        <v>-1553550</v>
      </c>
      <c r="D148" s="527">
        <v>-1647206</v>
      </c>
      <c r="E148" s="527">
        <v>-1755587</v>
      </c>
      <c r="F148" s="527">
        <v>-6105031</v>
      </c>
      <c r="G148" s="527">
        <v>2431560</v>
      </c>
      <c r="H148" s="527">
        <v>-2067404</v>
      </c>
      <c r="I148" s="527">
        <v>-10290431</v>
      </c>
      <c r="J148" s="527">
        <v>-1834083</v>
      </c>
      <c r="K148" s="527">
        <v>-1451884</v>
      </c>
      <c r="L148" s="512"/>
    </row>
    <row r="149" spans="1:12" ht="13.15" x14ac:dyDescent="0.35">
      <c r="A149" s="517" t="s">
        <v>797</v>
      </c>
      <c r="B149" s="528"/>
      <c r="C149" s="528"/>
      <c r="D149" s="528"/>
      <c r="E149" s="528"/>
      <c r="F149" s="528"/>
      <c r="G149" s="528"/>
      <c r="H149" s="528"/>
      <c r="I149" s="528"/>
      <c r="J149" s="528"/>
      <c r="K149" s="528"/>
      <c r="L149" s="512"/>
    </row>
    <row r="150" spans="1:12" x14ac:dyDescent="0.35">
      <c r="A150" s="510" t="s">
        <v>577</v>
      </c>
      <c r="B150" s="528" t="s">
        <v>690</v>
      </c>
      <c r="C150" s="527">
        <v>1240146</v>
      </c>
      <c r="D150" s="528" t="s">
        <v>690</v>
      </c>
      <c r="E150" s="527">
        <v>91566</v>
      </c>
      <c r="F150" s="527">
        <v>3529150</v>
      </c>
      <c r="G150" s="528" t="s">
        <v>690</v>
      </c>
      <c r="H150" s="527">
        <v>350191</v>
      </c>
      <c r="I150" s="527">
        <v>1197735</v>
      </c>
      <c r="J150" s="528" t="s">
        <v>690</v>
      </c>
      <c r="K150" s="527">
        <v>314240</v>
      </c>
      <c r="L150" s="512"/>
    </row>
    <row r="151" spans="1:12" x14ac:dyDescent="0.35">
      <c r="A151" s="510" t="s">
        <v>578</v>
      </c>
      <c r="B151" s="528" t="s">
        <v>690</v>
      </c>
      <c r="C151" s="528" t="s">
        <v>690</v>
      </c>
      <c r="D151" s="527">
        <v>2549002</v>
      </c>
      <c r="E151" s="527">
        <v>11460487</v>
      </c>
      <c r="F151" s="527">
        <v>5466477</v>
      </c>
      <c r="G151" s="527">
        <v>3710914</v>
      </c>
      <c r="H151" s="528" t="s">
        <v>690</v>
      </c>
      <c r="I151" s="527">
        <v>1202427</v>
      </c>
      <c r="J151" s="527">
        <v>256427</v>
      </c>
      <c r="K151" s="527">
        <v>1269955</v>
      </c>
      <c r="L151" s="512"/>
    </row>
    <row r="152" spans="1:12" x14ac:dyDescent="0.35">
      <c r="A152" s="510" t="s">
        <v>798</v>
      </c>
      <c r="B152" s="528" t="s">
        <v>690</v>
      </c>
      <c r="C152" s="527">
        <v>1240146</v>
      </c>
      <c r="D152" s="527">
        <v>2549002</v>
      </c>
      <c r="E152" s="527">
        <v>11552053</v>
      </c>
      <c r="F152" s="527">
        <v>8995628</v>
      </c>
      <c r="G152" s="527">
        <v>3710914</v>
      </c>
      <c r="H152" s="527">
        <v>350191</v>
      </c>
      <c r="I152" s="527">
        <v>2400162</v>
      </c>
      <c r="J152" s="527">
        <v>256427</v>
      </c>
      <c r="K152" s="527">
        <v>1584195</v>
      </c>
      <c r="L152" s="512"/>
    </row>
    <row r="153" spans="1:12" x14ac:dyDescent="0.35">
      <c r="A153" s="510" t="s">
        <v>579</v>
      </c>
      <c r="B153" s="527">
        <v>-3322603</v>
      </c>
      <c r="C153" s="527">
        <v>-1058960</v>
      </c>
      <c r="D153" s="527">
        <v>-3652847</v>
      </c>
      <c r="E153" s="527">
        <v>-2336637</v>
      </c>
      <c r="F153" s="527">
        <v>-4743543</v>
      </c>
      <c r="G153" s="527">
        <v>-8249976</v>
      </c>
      <c r="H153" s="527">
        <v>-2680529</v>
      </c>
      <c r="I153" s="527">
        <v>-5952308</v>
      </c>
      <c r="J153" s="527">
        <v>-2816093</v>
      </c>
      <c r="K153" s="527">
        <v>-1053768</v>
      </c>
      <c r="L153" s="512"/>
    </row>
    <row r="154" spans="1:12" x14ac:dyDescent="0.35">
      <c r="A154" s="510" t="s">
        <v>580</v>
      </c>
      <c r="B154" s="527">
        <v>-34438</v>
      </c>
      <c r="C154" s="527">
        <v>-22036</v>
      </c>
      <c r="D154" s="527">
        <v>-26255</v>
      </c>
      <c r="E154" s="527">
        <v>-31653</v>
      </c>
      <c r="F154" s="527">
        <v>-244019</v>
      </c>
      <c r="G154" s="527">
        <v>-204787</v>
      </c>
      <c r="H154" s="527">
        <v>-210580</v>
      </c>
      <c r="I154" s="527">
        <v>-2106887</v>
      </c>
      <c r="J154" s="527">
        <v>-392114</v>
      </c>
      <c r="K154" s="527">
        <v>-2174872</v>
      </c>
      <c r="L154" s="512"/>
    </row>
    <row r="155" spans="1:12" x14ac:dyDescent="0.35">
      <c r="A155" s="510" t="s">
        <v>799</v>
      </c>
      <c r="B155" s="527">
        <v>-3357041</v>
      </c>
      <c r="C155" s="527">
        <v>-1080996</v>
      </c>
      <c r="D155" s="527">
        <v>-3679102</v>
      </c>
      <c r="E155" s="527">
        <v>-2368290</v>
      </c>
      <c r="F155" s="527">
        <v>-4987562</v>
      </c>
      <c r="G155" s="527">
        <v>-8454763</v>
      </c>
      <c r="H155" s="527">
        <v>-2891109</v>
      </c>
      <c r="I155" s="527">
        <v>-8059195</v>
      </c>
      <c r="J155" s="527">
        <v>-3208208</v>
      </c>
      <c r="K155" s="527">
        <v>-3228640</v>
      </c>
      <c r="L155" s="512"/>
    </row>
    <row r="156" spans="1:12" x14ac:dyDescent="0.35">
      <c r="A156" s="510" t="s">
        <v>581</v>
      </c>
      <c r="B156" s="527">
        <v>100560</v>
      </c>
      <c r="C156" s="527">
        <v>108957</v>
      </c>
      <c r="D156" s="527">
        <v>63925</v>
      </c>
      <c r="E156" s="527">
        <v>83653</v>
      </c>
      <c r="F156" s="527">
        <v>58154</v>
      </c>
      <c r="G156" s="527">
        <v>32631</v>
      </c>
      <c r="H156" s="527">
        <v>24432</v>
      </c>
      <c r="I156" s="527">
        <v>29327</v>
      </c>
      <c r="J156" s="527">
        <v>11499</v>
      </c>
      <c r="K156" s="527">
        <v>23627</v>
      </c>
      <c r="L156" s="512"/>
    </row>
    <row r="157" spans="1:12" x14ac:dyDescent="0.35">
      <c r="A157" s="510" t="s">
        <v>582</v>
      </c>
      <c r="B157" s="527">
        <v>-136376</v>
      </c>
      <c r="C157" s="527">
        <v>-90593</v>
      </c>
      <c r="D157" s="527">
        <v>-74198</v>
      </c>
      <c r="E157" s="528" t="s">
        <v>690</v>
      </c>
      <c r="F157" s="528" t="s">
        <v>690</v>
      </c>
      <c r="G157" s="528" t="s">
        <v>690</v>
      </c>
      <c r="H157" s="528" t="s">
        <v>690</v>
      </c>
      <c r="I157" s="528" t="s">
        <v>690</v>
      </c>
      <c r="J157" s="528" t="s">
        <v>690</v>
      </c>
      <c r="K157" s="528" t="s">
        <v>690</v>
      </c>
      <c r="L157" s="512"/>
    </row>
    <row r="158" spans="1:12" x14ac:dyDescent="0.35">
      <c r="A158" s="510" t="s">
        <v>583</v>
      </c>
      <c r="B158" s="527">
        <v>-5336552</v>
      </c>
      <c r="C158" s="527">
        <v>-4751242</v>
      </c>
      <c r="D158" s="527">
        <v>-4458756</v>
      </c>
      <c r="E158" s="527">
        <v>-4439271</v>
      </c>
      <c r="F158" s="527">
        <v>-4507506</v>
      </c>
      <c r="G158" s="527">
        <v>-4474926</v>
      </c>
      <c r="H158" s="527">
        <v>-4652533</v>
      </c>
      <c r="I158" s="527">
        <v>-4067137</v>
      </c>
      <c r="J158" s="527">
        <v>-2583815</v>
      </c>
      <c r="K158" s="527">
        <v>-2887229</v>
      </c>
      <c r="L158" s="512"/>
    </row>
    <row r="159" spans="1:12" x14ac:dyDescent="0.35">
      <c r="A159" s="510" t="s">
        <v>800</v>
      </c>
      <c r="B159" s="527">
        <v>-5336552</v>
      </c>
      <c r="C159" s="527">
        <v>-4751242</v>
      </c>
      <c r="D159" s="527">
        <v>-4458756</v>
      </c>
      <c r="E159" s="527">
        <v>-4439271</v>
      </c>
      <c r="F159" s="527">
        <v>-4507506</v>
      </c>
      <c r="G159" s="527">
        <v>-4474926</v>
      </c>
      <c r="H159" s="527">
        <v>-4652533</v>
      </c>
      <c r="I159" s="527">
        <v>-4067137</v>
      </c>
      <c r="J159" s="527">
        <v>-2583815</v>
      </c>
      <c r="K159" s="527">
        <v>-2887229</v>
      </c>
      <c r="L159" s="512"/>
    </row>
    <row r="160" spans="1:12" x14ac:dyDescent="0.35">
      <c r="A160" s="510" t="s">
        <v>658</v>
      </c>
      <c r="B160" s="528" t="s">
        <v>690</v>
      </c>
      <c r="C160" s="527">
        <v>-1186280</v>
      </c>
      <c r="D160" s="528" t="s">
        <v>690</v>
      </c>
      <c r="E160" s="528" t="s">
        <v>690</v>
      </c>
      <c r="F160" s="528" t="s">
        <v>690</v>
      </c>
      <c r="G160" s="528" t="s">
        <v>690</v>
      </c>
      <c r="H160" s="528" t="s">
        <v>690</v>
      </c>
      <c r="I160" s="528" t="s">
        <v>690</v>
      </c>
      <c r="J160" s="528" t="s">
        <v>690</v>
      </c>
      <c r="K160" s="528" t="s">
        <v>690</v>
      </c>
      <c r="L160" s="512"/>
    </row>
    <row r="161" spans="1:12" x14ac:dyDescent="0.35">
      <c r="A161" s="510" t="s">
        <v>584</v>
      </c>
      <c r="B161" s="527">
        <v>-1055188</v>
      </c>
      <c r="C161" s="527">
        <v>-2065278</v>
      </c>
      <c r="D161" s="527">
        <v>-1683734</v>
      </c>
      <c r="E161" s="527">
        <v>-12050581</v>
      </c>
      <c r="F161" s="527">
        <v>-1656819</v>
      </c>
      <c r="G161" s="527">
        <v>-2214396</v>
      </c>
      <c r="H161" s="527">
        <v>-1660206</v>
      </c>
      <c r="I161" s="527">
        <v>10662304</v>
      </c>
      <c r="J161" s="527">
        <v>-962462</v>
      </c>
      <c r="K161" s="527">
        <v>-1075032</v>
      </c>
      <c r="L161" s="512"/>
    </row>
    <row r="162" spans="1:12" x14ac:dyDescent="0.35">
      <c r="A162" s="510" t="s">
        <v>801</v>
      </c>
      <c r="B162" s="527">
        <v>-9784598</v>
      </c>
      <c r="C162" s="527">
        <v>-7825287</v>
      </c>
      <c r="D162" s="527">
        <v>-7282863</v>
      </c>
      <c r="E162" s="527">
        <v>-7222435</v>
      </c>
      <c r="F162" s="527">
        <v>-2098106</v>
      </c>
      <c r="G162" s="527">
        <v>-11400540</v>
      </c>
      <c r="H162" s="527">
        <v>-8829225</v>
      </c>
      <c r="I162" s="527">
        <v>965461</v>
      </c>
      <c r="J162" s="527">
        <v>-6486559</v>
      </c>
      <c r="K162" s="527">
        <v>-5583078</v>
      </c>
      <c r="L162" s="512"/>
    </row>
    <row r="163" spans="1:12" ht="13.15" x14ac:dyDescent="0.35">
      <c r="A163" s="517" t="s">
        <v>802</v>
      </c>
      <c r="B163" s="528"/>
      <c r="C163" s="528"/>
      <c r="D163" s="528"/>
      <c r="E163" s="528"/>
      <c r="F163" s="528"/>
      <c r="G163" s="528"/>
      <c r="H163" s="528"/>
      <c r="I163" s="528"/>
      <c r="J163" s="528"/>
      <c r="K163" s="528"/>
      <c r="L163" s="512"/>
    </row>
    <row r="164" spans="1:12" x14ac:dyDescent="0.35">
      <c r="A164" s="510" t="s">
        <v>541</v>
      </c>
      <c r="B164" s="527">
        <v>-61989</v>
      </c>
      <c r="C164" s="527">
        <v>346457</v>
      </c>
      <c r="D164" s="527">
        <v>-114151</v>
      </c>
      <c r="E164" s="527">
        <v>9044</v>
      </c>
      <c r="F164" s="527">
        <v>-93503</v>
      </c>
      <c r="G164" s="527">
        <v>-43883</v>
      </c>
      <c r="H164" s="527">
        <v>-33739</v>
      </c>
      <c r="I164" s="527">
        <v>178311</v>
      </c>
      <c r="J164" s="527">
        <v>-113840</v>
      </c>
      <c r="K164" s="527">
        <v>-63793</v>
      </c>
      <c r="L164" s="512"/>
    </row>
    <row r="165" spans="1:12" x14ac:dyDescent="0.35">
      <c r="A165" s="510" t="s">
        <v>803</v>
      </c>
      <c r="B165" s="527">
        <v>2008439</v>
      </c>
      <c r="C165" s="527">
        <v>-1078548</v>
      </c>
      <c r="D165" s="527">
        <v>-1147222</v>
      </c>
      <c r="E165" s="527">
        <v>550528</v>
      </c>
      <c r="F165" s="527">
        <v>848364</v>
      </c>
      <c r="G165" s="527">
        <v>484962</v>
      </c>
      <c r="H165" s="527">
        <v>-1678821</v>
      </c>
      <c r="I165" s="527">
        <v>-462201</v>
      </c>
      <c r="J165" s="527">
        <v>-651991</v>
      </c>
      <c r="K165" s="527">
        <v>643838</v>
      </c>
      <c r="L165" s="512"/>
    </row>
    <row r="166" spans="1:12" ht="13.15" x14ac:dyDescent="0.35">
      <c r="A166" s="517" t="s">
        <v>770</v>
      </c>
      <c r="B166" s="528"/>
      <c r="C166" s="528"/>
      <c r="D166" s="528"/>
      <c r="E166" s="528"/>
      <c r="F166" s="528"/>
      <c r="G166" s="528"/>
      <c r="H166" s="528"/>
      <c r="I166" s="528"/>
      <c r="J166" s="528"/>
      <c r="K166" s="528"/>
      <c r="L166" s="512"/>
    </row>
    <row r="167" spans="1:12" x14ac:dyDescent="0.35">
      <c r="A167" s="510" t="s">
        <v>804</v>
      </c>
      <c r="B167" s="527">
        <v>1049678</v>
      </c>
      <c r="C167" s="527">
        <v>896137</v>
      </c>
      <c r="D167" s="527">
        <v>891523</v>
      </c>
      <c r="E167" s="527">
        <v>865924</v>
      </c>
      <c r="F167" s="527">
        <v>1020546</v>
      </c>
      <c r="G167" s="527">
        <v>957546</v>
      </c>
      <c r="H167" s="527">
        <v>898163</v>
      </c>
      <c r="I167" s="527">
        <v>994789</v>
      </c>
      <c r="J167" s="527">
        <v>880820</v>
      </c>
      <c r="K167" s="527">
        <v>746616</v>
      </c>
      <c r="L167" s="512"/>
    </row>
    <row r="168" spans="1:12" x14ac:dyDescent="0.35">
      <c r="A168" s="510" t="s">
        <v>805</v>
      </c>
      <c r="B168" s="527">
        <v>2840468</v>
      </c>
      <c r="C168" s="527">
        <v>1969788</v>
      </c>
      <c r="D168" s="527">
        <v>1529630</v>
      </c>
      <c r="E168" s="527">
        <v>1498975</v>
      </c>
      <c r="F168" s="527">
        <v>1724095</v>
      </c>
      <c r="G168" s="527">
        <v>1221969</v>
      </c>
      <c r="H168" s="527">
        <v>1130848</v>
      </c>
      <c r="I168" s="527">
        <v>1536761</v>
      </c>
      <c r="J168" s="527">
        <v>1527061</v>
      </c>
      <c r="K168" s="527">
        <v>1544029</v>
      </c>
      <c r="L168" s="512"/>
    </row>
    <row r="169" spans="1:12" x14ac:dyDescent="0.35">
      <c r="A169" s="510" t="s">
        <v>806</v>
      </c>
      <c r="B169" s="527">
        <v>3954201</v>
      </c>
      <c r="C169" s="527">
        <v>5685178</v>
      </c>
      <c r="D169" s="527">
        <v>14150215</v>
      </c>
      <c r="E169" s="527">
        <v>-2941568</v>
      </c>
      <c r="F169" s="527">
        <v>5453364</v>
      </c>
      <c r="G169" s="527">
        <v>6259214</v>
      </c>
      <c r="H169" s="527">
        <v>5639116</v>
      </c>
      <c r="I169" s="527">
        <v>5806111</v>
      </c>
      <c r="J169" s="527">
        <v>4096070</v>
      </c>
      <c r="K169" s="527">
        <v>5257615</v>
      </c>
      <c r="L169" s="512"/>
    </row>
    <row r="170" spans="1:12" x14ac:dyDescent="0.35">
      <c r="A170" s="510" t="s">
        <v>807</v>
      </c>
      <c r="B170" s="527">
        <v>4573228</v>
      </c>
      <c r="C170" s="527">
        <v>6221544</v>
      </c>
      <c r="D170" s="527">
        <v>14664610</v>
      </c>
      <c r="E170" s="527">
        <v>-2407431</v>
      </c>
      <c r="F170" s="527">
        <v>6078377</v>
      </c>
      <c r="G170" s="527">
        <v>6852757</v>
      </c>
      <c r="H170" s="527">
        <v>6193197</v>
      </c>
      <c r="I170" s="527">
        <v>6406591</v>
      </c>
      <c r="J170" s="527">
        <v>4606336</v>
      </c>
      <c r="K170" s="527">
        <v>5751569</v>
      </c>
      <c r="L170" s="512"/>
    </row>
    <row r="171" spans="1:12" x14ac:dyDescent="0.35">
      <c r="A171" s="510" t="s">
        <v>808</v>
      </c>
      <c r="B171" s="527">
        <v>-1921655</v>
      </c>
      <c r="C171" s="527">
        <v>-2122817</v>
      </c>
      <c r="D171" s="527">
        <v>-9738261</v>
      </c>
      <c r="E171" s="527">
        <v>8504364</v>
      </c>
      <c r="F171" s="527">
        <v>914500</v>
      </c>
      <c r="G171" s="527">
        <v>-1714807</v>
      </c>
      <c r="H171" s="527">
        <v>-1570622</v>
      </c>
      <c r="I171" s="527">
        <v>-532587</v>
      </c>
      <c r="J171" s="527">
        <v>1742091</v>
      </c>
      <c r="K171" s="527">
        <v>-1114017</v>
      </c>
      <c r="L171" s="512"/>
    </row>
    <row r="172" spans="1:12" x14ac:dyDescent="0.35">
      <c r="A172" s="510" t="s">
        <v>809</v>
      </c>
      <c r="B172" s="527">
        <v>-3357041</v>
      </c>
      <c r="C172" s="527">
        <v>159150</v>
      </c>
      <c r="D172" s="527">
        <v>-1130099</v>
      </c>
      <c r="E172" s="527">
        <v>9183764</v>
      </c>
      <c r="F172" s="527">
        <v>4008066</v>
      </c>
      <c r="G172" s="527">
        <v>-4743849</v>
      </c>
      <c r="H172" s="527">
        <v>-2540918</v>
      </c>
      <c r="I172" s="527">
        <v>-5659033</v>
      </c>
      <c r="J172" s="527">
        <v>-2951781</v>
      </c>
      <c r="K172" s="527">
        <v>-1644444</v>
      </c>
      <c r="L172" s="512"/>
    </row>
    <row r="173" spans="1:12" x14ac:dyDescent="0.35">
      <c r="A173" s="510" t="s">
        <v>881</v>
      </c>
      <c r="B173" s="528" t="s">
        <v>690</v>
      </c>
      <c r="C173" s="528" t="s">
        <v>690</v>
      </c>
      <c r="D173" s="528" t="s">
        <v>690</v>
      </c>
      <c r="E173" s="528" t="s">
        <v>690</v>
      </c>
      <c r="F173" s="528" t="s">
        <v>690</v>
      </c>
      <c r="G173" s="527">
        <v>906912</v>
      </c>
      <c r="H173" s="527">
        <v>-141938</v>
      </c>
      <c r="I173" s="527">
        <v>-4447221</v>
      </c>
      <c r="J173" s="528" t="s">
        <v>690</v>
      </c>
      <c r="K173" s="528" t="s">
        <v>690</v>
      </c>
      <c r="L173" s="512"/>
    </row>
    <row r="174" spans="1:12" x14ac:dyDescent="0.35">
      <c r="A174" s="510" t="s">
        <v>882</v>
      </c>
      <c r="B174" s="528" t="s">
        <v>690</v>
      </c>
      <c r="C174" s="528" t="s">
        <v>690</v>
      </c>
      <c r="D174" s="528" t="s">
        <v>690</v>
      </c>
      <c r="E174" s="528" t="s">
        <v>690</v>
      </c>
      <c r="F174" s="528" t="s">
        <v>690</v>
      </c>
      <c r="G174" s="527">
        <v>-662744</v>
      </c>
      <c r="H174" s="527">
        <v>-538665</v>
      </c>
      <c r="I174" s="527">
        <v>11817807</v>
      </c>
      <c r="J174" s="528" t="s">
        <v>690</v>
      </c>
      <c r="K174" s="528" t="s">
        <v>690</v>
      </c>
      <c r="L174" s="512"/>
    </row>
    <row r="175" spans="1:12" x14ac:dyDescent="0.35">
      <c r="A175" s="510" t="s">
        <v>783</v>
      </c>
      <c r="B175" s="528" t="s">
        <v>810</v>
      </c>
      <c r="C175" s="528" t="s">
        <v>810</v>
      </c>
      <c r="D175" s="528" t="s">
        <v>810</v>
      </c>
      <c r="E175" s="528" t="s">
        <v>810</v>
      </c>
      <c r="F175" s="528" t="s">
        <v>810</v>
      </c>
      <c r="G175" s="528" t="s">
        <v>868</v>
      </c>
      <c r="H175" s="528" t="s">
        <v>868</v>
      </c>
      <c r="I175" s="528" t="s">
        <v>810</v>
      </c>
      <c r="J175" s="528" t="s">
        <v>785</v>
      </c>
      <c r="K175" s="528" t="s">
        <v>869</v>
      </c>
      <c r="L175" s="512"/>
    </row>
    <row r="176" spans="1:12" x14ac:dyDescent="0.35">
      <c r="A176" s="510" t="s">
        <v>786</v>
      </c>
      <c r="B176" s="528" t="s">
        <v>787</v>
      </c>
      <c r="C176" s="528" t="s">
        <v>787</v>
      </c>
      <c r="D176" s="528" t="s">
        <v>787</v>
      </c>
      <c r="E176" s="528" t="s">
        <v>787</v>
      </c>
      <c r="F176" s="528" t="s">
        <v>787</v>
      </c>
      <c r="G176" s="528" t="s">
        <v>787</v>
      </c>
      <c r="H176" s="528" t="s">
        <v>787</v>
      </c>
      <c r="I176" s="528" t="s">
        <v>787</v>
      </c>
      <c r="J176" s="528" t="s">
        <v>787</v>
      </c>
      <c r="K176" s="528" t="s">
        <v>787</v>
      </c>
      <c r="L176" s="512"/>
    </row>
    <row r="179" spans="1:12" x14ac:dyDescent="0.35">
      <c r="A179" s="513"/>
      <c r="B179" s="513"/>
      <c r="C179" s="513"/>
      <c r="D179" s="513"/>
      <c r="E179" s="512"/>
      <c r="F179" s="512"/>
      <c r="G179" s="512"/>
      <c r="H179" s="512"/>
      <c r="I179" s="512"/>
      <c r="J179" s="512"/>
      <c r="K179" s="512"/>
      <c r="L179" s="512"/>
    </row>
    <row r="180" spans="1:12" ht="17.649999999999999" x14ac:dyDescent="0.5">
      <c r="A180" s="521" t="s">
        <v>883</v>
      </c>
      <c r="B180" s="521"/>
      <c r="C180" s="521"/>
      <c r="D180" s="521"/>
      <c r="E180" s="521"/>
      <c r="F180" s="521"/>
      <c r="G180" s="521"/>
      <c r="H180" s="521"/>
      <c r="I180" s="521"/>
      <c r="J180" s="521"/>
      <c r="K180" s="521"/>
      <c r="L180" s="521"/>
    </row>
    <row r="181" spans="1:12" x14ac:dyDescent="0.35">
      <c r="A181" s="510" t="s">
        <v>861</v>
      </c>
      <c r="B181" s="512"/>
      <c r="C181" s="512"/>
      <c r="D181" s="512"/>
      <c r="E181" s="512"/>
      <c r="F181" s="512"/>
      <c r="G181" s="512"/>
      <c r="H181" s="512"/>
      <c r="I181" s="512"/>
      <c r="J181" s="512"/>
      <c r="K181" s="512"/>
      <c r="L181" s="512"/>
    </row>
    <row r="182" spans="1:12" x14ac:dyDescent="0.35">
      <c r="A182" s="512"/>
      <c r="B182" s="512"/>
      <c r="C182" s="512"/>
      <c r="D182" s="512"/>
      <c r="E182" s="512"/>
      <c r="F182" s="512"/>
      <c r="G182" s="512"/>
      <c r="H182" s="512"/>
      <c r="I182" s="512"/>
      <c r="J182" s="512"/>
      <c r="K182" s="512"/>
      <c r="L182" s="512"/>
    </row>
    <row r="183" spans="1:12" x14ac:dyDescent="0.35">
      <c r="A183" s="510" t="s">
        <v>665</v>
      </c>
      <c r="B183" s="523"/>
      <c r="C183" s="512"/>
      <c r="D183" s="512"/>
      <c r="E183" s="512"/>
      <c r="F183" s="512"/>
      <c r="G183" s="512"/>
      <c r="H183" s="512"/>
      <c r="I183" s="512"/>
      <c r="J183" s="512"/>
      <c r="K183" s="512"/>
      <c r="L183" s="512"/>
    </row>
    <row r="184" spans="1:12" x14ac:dyDescent="0.35">
      <c r="A184" s="510" t="s">
        <v>666</v>
      </c>
      <c r="B184" s="523"/>
      <c r="C184" s="512"/>
      <c r="D184" s="512"/>
      <c r="E184" s="512"/>
      <c r="F184" s="512"/>
      <c r="G184" s="512"/>
      <c r="H184" s="512"/>
      <c r="I184" s="512"/>
      <c r="J184" s="512"/>
      <c r="K184" s="512"/>
      <c r="L184" s="512"/>
    </row>
    <row r="185" spans="1:12" x14ac:dyDescent="0.35">
      <c r="A185" s="510" t="s">
        <v>667</v>
      </c>
      <c r="B185" s="523"/>
      <c r="C185" s="512"/>
      <c r="D185" s="512"/>
      <c r="E185" s="512"/>
      <c r="F185" s="512"/>
      <c r="G185" s="512"/>
      <c r="H185" s="512"/>
      <c r="I185" s="512"/>
      <c r="J185" s="512"/>
      <c r="K185" s="512"/>
      <c r="L185" s="512"/>
    </row>
    <row r="186" spans="1:12" x14ac:dyDescent="0.35">
      <c r="A186" s="510" t="s">
        <v>730</v>
      </c>
      <c r="B186" s="523"/>
      <c r="C186" s="512"/>
      <c r="D186" s="512"/>
      <c r="E186" s="512"/>
      <c r="F186" s="512"/>
      <c r="G186" s="512"/>
      <c r="H186" s="512"/>
      <c r="I186" s="512"/>
      <c r="J186" s="512"/>
      <c r="K186" s="512"/>
      <c r="L186" s="512"/>
    </row>
    <row r="187" spans="1:12" x14ac:dyDescent="0.35">
      <c r="A187" s="510" t="s">
        <v>668</v>
      </c>
      <c r="B187" s="523"/>
      <c r="C187" s="512"/>
      <c r="D187" s="512"/>
      <c r="E187" s="512"/>
      <c r="F187" s="512"/>
      <c r="G187" s="512"/>
      <c r="H187" s="512"/>
      <c r="I187" s="512"/>
      <c r="J187" s="512"/>
      <c r="K187" s="512"/>
      <c r="L187" s="512"/>
    </row>
    <row r="188" spans="1:12" x14ac:dyDescent="0.35">
      <c r="A188" s="510" t="s">
        <v>731</v>
      </c>
      <c r="B188" s="523"/>
      <c r="C188" s="512"/>
      <c r="D188" s="512"/>
      <c r="E188" s="512"/>
      <c r="F188" s="512"/>
      <c r="G188" s="512"/>
      <c r="H188" s="512"/>
      <c r="I188" s="512"/>
      <c r="J188" s="512"/>
      <c r="K188" s="512"/>
      <c r="L188" s="512"/>
    </row>
    <row r="189" spans="1:12" x14ac:dyDescent="0.35">
      <c r="A189" s="510" t="s">
        <v>732</v>
      </c>
      <c r="B189" s="523"/>
      <c r="C189" s="512"/>
      <c r="D189" s="512"/>
      <c r="E189" s="512"/>
      <c r="F189" s="512"/>
      <c r="G189" s="512"/>
      <c r="H189" s="512"/>
      <c r="I189" s="512"/>
      <c r="J189" s="512"/>
      <c r="K189" s="512"/>
      <c r="L189" s="512"/>
    </row>
    <row r="190" spans="1:12" x14ac:dyDescent="0.35">
      <c r="A190" s="526"/>
      <c r="B190" s="526"/>
      <c r="C190" s="526"/>
      <c r="D190" s="526"/>
      <c r="E190" s="526"/>
      <c r="F190" s="526"/>
      <c r="G190" s="526"/>
      <c r="H190" s="526"/>
      <c r="I190" s="526"/>
      <c r="J190" s="526"/>
      <c r="K190" s="526"/>
      <c r="L190" s="512"/>
    </row>
    <row r="191" spans="1:12" x14ac:dyDescent="0.35">
      <c r="A191" s="520" t="s">
        <v>670</v>
      </c>
      <c r="B191" s="519" t="s">
        <v>733</v>
      </c>
      <c r="C191" s="519" t="s">
        <v>720</v>
      </c>
      <c r="D191" s="519" t="s">
        <v>671</v>
      </c>
      <c r="E191" s="519" t="s">
        <v>672</v>
      </c>
      <c r="F191" s="519" t="s">
        <v>673</v>
      </c>
      <c r="G191" s="519" t="s">
        <v>674</v>
      </c>
      <c r="H191" s="519" t="s">
        <v>675</v>
      </c>
      <c r="I191" s="519" t="s">
        <v>676</v>
      </c>
      <c r="J191" s="519" t="s">
        <v>677</v>
      </c>
      <c r="K191" s="519" t="s">
        <v>734</v>
      </c>
      <c r="L191" s="512"/>
    </row>
    <row r="192" spans="1:12" ht="25.5" x14ac:dyDescent="0.35">
      <c r="A192" s="510" t="s">
        <v>73</v>
      </c>
      <c r="B192" s="528" t="s">
        <v>735</v>
      </c>
      <c r="C192" s="528" t="s">
        <v>735</v>
      </c>
      <c r="D192" s="528" t="s">
        <v>735</v>
      </c>
      <c r="E192" s="528" t="s">
        <v>735</v>
      </c>
      <c r="F192" s="528" t="s">
        <v>735</v>
      </c>
      <c r="G192" s="528" t="s">
        <v>735</v>
      </c>
      <c r="H192" s="528" t="s">
        <v>735</v>
      </c>
      <c r="I192" s="528" t="s">
        <v>735</v>
      </c>
      <c r="J192" s="528" t="s">
        <v>735</v>
      </c>
      <c r="K192" s="528" t="s">
        <v>735</v>
      </c>
      <c r="L192" s="512"/>
    </row>
    <row r="193" spans="1:12" ht="25.5" x14ac:dyDescent="0.35">
      <c r="A193" s="510" t="s">
        <v>678</v>
      </c>
      <c r="B193" s="528" t="s">
        <v>736</v>
      </c>
      <c r="C193" s="528" t="s">
        <v>737</v>
      </c>
      <c r="D193" s="528" t="s">
        <v>679</v>
      </c>
      <c r="E193" s="528" t="s">
        <v>680</v>
      </c>
      <c r="F193" s="528" t="s">
        <v>681</v>
      </c>
      <c r="G193" s="528" t="s">
        <v>682</v>
      </c>
      <c r="H193" s="528" t="s">
        <v>683</v>
      </c>
      <c r="I193" s="528" t="s">
        <v>684</v>
      </c>
      <c r="J193" s="528" t="s">
        <v>685</v>
      </c>
      <c r="K193" s="528" t="s">
        <v>738</v>
      </c>
      <c r="L193" s="512"/>
    </row>
    <row r="194" spans="1:12" x14ac:dyDescent="0.35">
      <c r="A194" s="510" t="s">
        <v>739</v>
      </c>
      <c r="B194" s="528" t="s">
        <v>862</v>
      </c>
      <c r="C194" s="530">
        <v>43802</v>
      </c>
      <c r="D194" s="530">
        <v>43924</v>
      </c>
      <c r="E194" s="530">
        <v>44442</v>
      </c>
      <c r="F194" s="530">
        <v>44654</v>
      </c>
      <c r="G194" s="530">
        <v>45202</v>
      </c>
      <c r="H194" s="530">
        <v>45294</v>
      </c>
      <c r="I194" s="530">
        <v>45294</v>
      </c>
      <c r="J194" s="530">
        <v>45294</v>
      </c>
      <c r="K194" s="530">
        <v>45779</v>
      </c>
      <c r="L194" s="512"/>
    </row>
    <row r="195" spans="1:12" x14ac:dyDescent="0.35">
      <c r="A195" s="510" t="s">
        <v>745</v>
      </c>
      <c r="B195" s="528">
        <v>1.3569640000000001</v>
      </c>
      <c r="C195" s="528">
        <v>1.1711959999999999</v>
      </c>
      <c r="D195" s="528">
        <v>1.125634</v>
      </c>
      <c r="E195" s="528">
        <v>1.113165</v>
      </c>
      <c r="F195" s="528">
        <v>1.1801870000000001</v>
      </c>
      <c r="G195" s="528">
        <v>1.1161319999999999</v>
      </c>
      <c r="H195" s="528">
        <v>1.1906239999999999</v>
      </c>
      <c r="I195" s="528">
        <v>1.1274169999999999</v>
      </c>
      <c r="J195" s="528">
        <v>1.1523669999999999</v>
      </c>
      <c r="K195" s="528">
        <v>1.2092339999999999</v>
      </c>
      <c r="L195" s="512"/>
    </row>
    <row r="196" spans="1:12" x14ac:dyDescent="0.35">
      <c r="A196" s="510" t="s">
        <v>746</v>
      </c>
      <c r="B196" s="528">
        <v>1.3775299999999999</v>
      </c>
      <c r="C196" s="528">
        <v>1.2242310000000001</v>
      </c>
      <c r="D196" s="528">
        <v>1.1415150000000001</v>
      </c>
      <c r="E196" s="528">
        <v>1.1304479999999999</v>
      </c>
      <c r="F196" s="528">
        <v>1.1402749999999999</v>
      </c>
      <c r="G196" s="528">
        <v>1.1252009999999999</v>
      </c>
      <c r="H196" s="528">
        <v>1.163424</v>
      </c>
      <c r="I196" s="528">
        <v>1.1731</v>
      </c>
      <c r="J196" s="528">
        <v>1.1498949999999999</v>
      </c>
      <c r="K196" s="528">
        <v>1.181354</v>
      </c>
      <c r="L196" s="512"/>
    </row>
    <row r="197" spans="1:12" x14ac:dyDescent="0.35">
      <c r="A197" s="510" t="s">
        <v>812</v>
      </c>
      <c r="B197" s="528" t="s">
        <v>884</v>
      </c>
      <c r="C197" s="528" t="s">
        <v>884</v>
      </c>
      <c r="D197" s="528" t="s">
        <v>884</v>
      </c>
      <c r="E197" s="528" t="s">
        <v>884</v>
      </c>
      <c r="F197" s="528" t="s">
        <v>884</v>
      </c>
      <c r="G197" s="528" t="s">
        <v>884</v>
      </c>
      <c r="H197" s="528" t="s">
        <v>884</v>
      </c>
      <c r="I197" s="528" t="s">
        <v>884</v>
      </c>
      <c r="J197" s="528" t="s">
        <v>884</v>
      </c>
      <c r="K197" s="528" t="s">
        <v>884</v>
      </c>
      <c r="L197" s="512"/>
    </row>
    <row r="198" spans="1:12" x14ac:dyDescent="0.35">
      <c r="A198" s="510" t="s">
        <v>73</v>
      </c>
      <c r="B198" s="528"/>
      <c r="C198" s="528"/>
      <c r="D198" s="528"/>
      <c r="E198" s="528"/>
      <c r="F198" s="528"/>
      <c r="G198" s="528"/>
      <c r="H198" s="528"/>
      <c r="I198" s="528"/>
      <c r="J198" s="528"/>
      <c r="K198" s="528"/>
      <c r="L198" s="512"/>
    </row>
    <row r="199" spans="1:12" ht="13.15" x14ac:dyDescent="0.35">
      <c r="A199" s="517" t="s">
        <v>814</v>
      </c>
      <c r="B199" s="528"/>
      <c r="C199" s="528"/>
      <c r="D199" s="528"/>
      <c r="E199" s="528"/>
      <c r="F199" s="528"/>
      <c r="G199" s="528"/>
      <c r="H199" s="528"/>
      <c r="I199" s="528"/>
      <c r="J199" s="528"/>
      <c r="K199" s="528"/>
      <c r="L199" s="512"/>
    </row>
    <row r="200" spans="1:12" x14ac:dyDescent="0.35">
      <c r="A200" s="510" t="s">
        <v>599</v>
      </c>
      <c r="B200" s="527">
        <v>7911099</v>
      </c>
      <c r="C200" s="527">
        <v>5735345</v>
      </c>
      <c r="D200" s="527">
        <v>4314553</v>
      </c>
      <c r="E200" s="527">
        <v>4312399</v>
      </c>
      <c r="F200" s="527">
        <v>5555139</v>
      </c>
      <c r="G200" s="527">
        <v>7022705</v>
      </c>
      <c r="H200" s="527">
        <v>5088729</v>
      </c>
      <c r="I200" s="527">
        <v>4197375</v>
      </c>
      <c r="J200" s="527">
        <v>3383348</v>
      </c>
      <c r="K200" s="527">
        <v>4679736</v>
      </c>
      <c r="L200" s="512"/>
    </row>
    <row r="201" spans="1:12" x14ac:dyDescent="0.35">
      <c r="A201" s="510" t="s">
        <v>600</v>
      </c>
      <c r="B201" s="527">
        <v>101772</v>
      </c>
      <c r="C201" s="527">
        <v>104236</v>
      </c>
      <c r="D201" s="527">
        <v>87799</v>
      </c>
      <c r="E201" s="527">
        <v>466416</v>
      </c>
      <c r="F201" s="527">
        <v>927627</v>
      </c>
      <c r="G201" s="527">
        <v>535744</v>
      </c>
      <c r="H201" s="527">
        <v>731043</v>
      </c>
      <c r="I201" s="527">
        <v>845563</v>
      </c>
      <c r="J201" s="527">
        <v>518565</v>
      </c>
      <c r="K201" s="527">
        <v>25394</v>
      </c>
      <c r="L201" s="512"/>
    </row>
    <row r="202" spans="1:12" x14ac:dyDescent="0.35">
      <c r="A202" s="510" t="s">
        <v>646</v>
      </c>
      <c r="B202" s="527">
        <v>161479</v>
      </c>
      <c r="C202" s="527">
        <v>155769</v>
      </c>
      <c r="D202" s="527">
        <v>70915</v>
      </c>
      <c r="E202" s="527">
        <v>249349</v>
      </c>
      <c r="F202" s="527">
        <v>416606</v>
      </c>
      <c r="G202" s="527">
        <v>70316</v>
      </c>
      <c r="H202" s="527">
        <v>91678</v>
      </c>
      <c r="I202" s="527">
        <v>4793778</v>
      </c>
      <c r="J202" s="527">
        <v>2652748</v>
      </c>
      <c r="K202" s="528" t="s">
        <v>690</v>
      </c>
      <c r="L202" s="512"/>
    </row>
    <row r="203" spans="1:12" x14ac:dyDescent="0.35">
      <c r="A203" s="510" t="s">
        <v>815</v>
      </c>
      <c r="B203" s="527">
        <v>8174350</v>
      </c>
      <c r="C203" s="527">
        <v>5995351</v>
      </c>
      <c r="D203" s="527">
        <v>4473268</v>
      </c>
      <c r="E203" s="527">
        <v>5028164</v>
      </c>
      <c r="F203" s="527">
        <v>6899372</v>
      </c>
      <c r="G203" s="527">
        <v>7628765</v>
      </c>
      <c r="H203" s="527">
        <v>5911451</v>
      </c>
      <c r="I203" s="527">
        <v>9836716</v>
      </c>
      <c r="J203" s="527">
        <v>6554661</v>
      </c>
      <c r="K203" s="527">
        <v>4705130</v>
      </c>
      <c r="L203" s="512"/>
    </row>
    <row r="204" spans="1:12" x14ac:dyDescent="0.35">
      <c r="A204" s="510" t="s">
        <v>602</v>
      </c>
      <c r="B204" s="527">
        <v>5189030</v>
      </c>
      <c r="C204" s="527">
        <v>5405068</v>
      </c>
      <c r="D204" s="527">
        <v>5258960</v>
      </c>
      <c r="E204" s="527">
        <v>5761739</v>
      </c>
      <c r="F204" s="527">
        <v>6475685</v>
      </c>
      <c r="G204" s="527">
        <v>6193419</v>
      </c>
      <c r="H204" s="527">
        <v>7436641</v>
      </c>
      <c r="I204" s="527">
        <v>6146679</v>
      </c>
      <c r="J204" s="527">
        <v>6804725</v>
      </c>
      <c r="K204" s="527">
        <v>8266325</v>
      </c>
      <c r="L204" s="512"/>
    </row>
    <row r="205" spans="1:12" x14ac:dyDescent="0.35">
      <c r="A205" s="510" t="s">
        <v>603</v>
      </c>
      <c r="B205" s="527">
        <v>2209137</v>
      </c>
      <c r="C205" s="527">
        <v>1504986</v>
      </c>
      <c r="D205" s="527">
        <v>1417173</v>
      </c>
      <c r="E205" s="527">
        <v>841552</v>
      </c>
      <c r="F205" s="527">
        <v>1110556</v>
      </c>
      <c r="G205" s="527">
        <v>1453204</v>
      </c>
      <c r="H205" s="527">
        <v>1445418</v>
      </c>
      <c r="I205" s="527">
        <v>1092467</v>
      </c>
      <c r="J205" s="527">
        <v>1245708</v>
      </c>
      <c r="K205" s="527">
        <v>591316</v>
      </c>
      <c r="L205" s="512"/>
    </row>
    <row r="206" spans="1:12" x14ac:dyDescent="0.35">
      <c r="A206" s="510" t="s">
        <v>604</v>
      </c>
      <c r="B206" s="527">
        <v>48851</v>
      </c>
      <c r="C206" s="527">
        <v>19910</v>
      </c>
      <c r="D206" s="527">
        <v>21387</v>
      </c>
      <c r="E206" s="527">
        <v>15584</v>
      </c>
      <c r="F206" s="527">
        <v>15342</v>
      </c>
      <c r="G206" s="527">
        <v>12277</v>
      </c>
      <c r="H206" s="527">
        <v>21431</v>
      </c>
      <c r="I206" s="527">
        <v>12402</v>
      </c>
      <c r="J206" s="527">
        <v>10371</v>
      </c>
      <c r="K206" s="528" t="s">
        <v>690</v>
      </c>
      <c r="L206" s="512"/>
    </row>
    <row r="207" spans="1:12" x14ac:dyDescent="0.35">
      <c r="A207" s="510" t="s">
        <v>816</v>
      </c>
      <c r="B207" s="527">
        <v>7447018</v>
      </c>
      <c r="C207" s="527">
        <v>6929965</v>
      </c>
      <c r="D207" s="527">
        <v>6697520</v>
      </c>
      <c r="E207" s="527">
        <v>6618876</v>
      </c>
      <c r="F207" s="527">
        <v>7601583</v>
      </c>
      <c r="G207" s="527">
        <v>7658900</v>
      </c>
      <c r="H207" s="527">
        <v>8903490</v>
      </c>
      <c r="I207" s="527">
        <v>7251548</v>
      </c>
      <c r="J207" s="527">
        <v>8060805</v>
      </c>
      <c r="K207" s="527">
        <v>8857640</v>
      </c>
      <c r="L207" s="512"/>
    </row>
    <row r="208" spans="1:12" x14ac:dyDescent="0.35">
      <c r="A208" s="510" t="s">
        <v>605</v>
      </c>
      <c r="B208" s="527">
        <v>6399442</v>
      </c>
      <c r="C208" s="527">
        <v>5975440</v>
      </c>
      <c r="D208" s="527">
        <v>6255146</v>
      </c>
      <c r="E208" s="527">
        <v>6095689</v>
      </c>
      <c r="F208" s="527">
        <v>7018571</v>
      </c>
      <c r="G208" s="527">
        <v>6692330</v>
      </c>
      <c r="H208" s="527">
        <v>6885381</v>
      </c>
      <c r="I208" s="527">
        <v>5801689</v>
      </c>
      <c r="J208" s="527">
        <v>6335712</v>
      </c>
      <c r="K208" s="527">
        <v>6855149</v>
      </c>
      <c r="L208" s="512"/>
    </row>
    <row r="209" spans="1:12" x14ac:dyDescent="0.35">
      <c r="A209" s="510" t="s">
        <v>606</v>
      </c>
      <c r="B209" s="527">
        <v>416588</v>
      </c>
      <c r="C209" s="527">
        <v>392351</v>
      </c>
      <c r="D209" s="527">
        <v>346695</v>
      </c>
      <c r="E209" s="527">
        <v>367344</v>
      </c>
      <c r="F209" s="527">
        <v>372939</v>
      </c>
      <c r="G209" s="527">
        <v>400692</v>
      </c>
      <c r="H209" s="527">
        <v>375047</v>
      </c>
      <c r="I209" s="527">
        <v>386704</v>
      </c>
      <c r="J209" s="527">
        <v>409090</v>
      </c>
      <c r="K209" s="528" t="s">
        <v>690</v>
      </c>
      <c r="L209" s="512"/>
    </row>
    <row r="210" spans="1:12" x14ac:dyDescent="0.35">
      <c r="A210" s="510" t="s">
        <v>284</v>
      </c>
      <c r="B210" s="527">
        <v>70562</v>
      </c>
      <c r="C210" s="527">
        <v>278745</v>
      </c>
      <c r="D210" s="527">
        <v>132825</v>
      </c>
      <c r="E210" s="527">
        <v>732462</v>
      </c>
      <c r="F210" s="527">
        <v>1110556</v>
      </c>
      <c r="G210" s="527">
        <v>217646</v>
      </c>
      <c r="H210" s="527">
        <v>158353</v>
      </c>
      <c r="I210" s="527">
        <v>138672</v>
      </c>
      <c r="J210" s="527">
        <v>124456</v>
      </c>
      <c r="K210" s="527">
        <v>135434</v>
      </c>
      <c r="L210" s="512"/>
    </row>
    <row r="211" spans="1:12" x14ac:dyDescent="0.35">
      <c r="A211" s="510" t="s">
        <v>817</v>
      </c>
      <c r="B211" s="527">
        <v>22507960</v>
      </c>
      <c r="C211" s="527">
        <v>19571851</v>
      </c>
      <c r="D211" s="527">
        <v>17905453</v>
      </c>
      <c r="E211" s="527">
        <v>18842536</v>
      </c>
      <c r="F211" s="527">
        <v>23003020</v>
      </c>
      <c r="G211" s="527">
        <v>22598332</v>
      </c>
      <c r="H211" s="527">
        <v>22233722</v>
      </c>
      <c r="I211" s="527">
        <v>23415330</v>
      </c>
      <c r="J211" s="527">
        <v>21484724</v>
      </c>
      <c r="K211" s="527">
        <v>20553354</v>
      </c>
      <c r="L211" s="512"/>
    </row>
    <row r="212" spans="1:12" x14ac:dyDescent="0.35">
      <c r="A212" s="510" t="s">
        <v>818</v>
      </c>
      <c r="B212" s="527">
        <v>27135207</v>
      </c>
      <c r="C212" s="527">
        <v>25153769</v>
      </c>
      <c r="D212" s="527">
        <v>23813904</v>
      </c>
      <c r="E212" s="527">
        <v>24294815</v>
      </c>
      <c r="F212" s="527">
        <v>25634836</v>
      </c>
      <c r="G212" s="527">
        <v>23947736</v>
      </c>
      <c r="H212" s="527">
        <v>24642355</v>
      </c>
      <c r="I212" s="527">
        <v>21831309</v>
      </c>
      <c r="J212" s="527">
        <v>22576015</v>
      </c>
      <c r="K212" s="528" t="s">
        <v>690</v>
      </c>
      <c r="L212" s="512"/>
    </row>
    <row r="213" spans="1:12" x14ac:dyDescent="0.35">
      <c r="A213" s="510" t="s">
        <v>819</v>
      </c>
      <c r="B213" s="527">
        <v>-14016080</v>
      </c>
      <c r="C213" s="527">
        <v>-12495486</v>
      </c>
      <c r="D213" s="527">
        <v>-11589523</v>
      </c>
      <c r="E213" s="527">
        <v>-11985442</v>
      </c>
      <c r="F213" s="527">
        <v>-12282203</v>
      </c>
      <c r="G213" s="527">
        <v>-11663583</v>
      </c>
      <c r="H213" s="527">
        <v>-11936011</v>
      </c>
      <c r="I213" s="527">
        <v>-10985554</v>
      </c>
      <c r="J213" s="527">
        <v>-11101900</v>
      </c>
      <c r="K213" s="528" t="s">
        <v>690</v>
      </c>
      <c r="L213" s="512"/>
    </row>
    <row r="214" spans="1:12" ht="13.15" x14ac:dyDescent="0.35">
      <c r="A214" s="517" t="s">
        <v>885</v>
      </c>
      <c r="B214" s="529">
        <v>13119127</v>
      </c>
      <c r="C214" s="529">
        <v>12658283</v>
      </c>
      <c r="D214" s="529">
        <v>12224381</v>
      </c>
      <c r="E214" s="529">
        <v>12309373</v>
      </c>
      <c r="F214" s="529">
        <v>13352633</v>
      </c>
      <c r="G214" s="529">
        <v>12284153</v>
      </c>
      <c r="H214" s="529">
        <v>12706345</v>
      </c>
      <c r="I214" s="529">
        <v>10845755</v>
      </c>
      <c r="J214" s="529">
        <v>11474115</v>
      </c>
      <c r="K214" s="529">
        <v>12180616</v>
      </c>
      <c r="L214" s="512"/>
    </row>
    <row r="215" spans="1:12" x14ac:dyDescent="0.35">
      <c r="A215" s="510" t="s">
        <v>595</v>
      </c>
      <c r="B215" s="527">
        <v>1983881</v>
      </c>
      <c r="C215" s="527">
        <v>1461652</v>
      </c>
      <c r="D215" s="527">
        <v>1248328</v>
      </c>
      <c r="E215" s="527">
        <v>1739876</v>
      </c>
      <c r="F215" s="527">
        <v>2686105</v>
      </c>
      <c r="G215" s="527">
        <v>3901999</v>
      </c>
      <c r="H215" s="527">
        <v>2709861</v>
      </c>
      <c r="I215" s="527">
        <v>1775682</v>
      </c>
      <c r="J215" s="527">
        <v>1404735</v>
      </c>
      <c r="K215" s="527">
        <v>1446244</v>
      </c>
      <c r="L215" s="512"/>
    </row>
    <row r="216" spans="1:12" x14ac:dyDescent="0.35">
      <c r="A216" s="510" t="s">
        <v>453</v>
      </c>
      <c r="B216" s="527">
        <v>7004648</v>
      </c>
      <c r="C216" s="527">
        <v>6986182</v>
      </c>
      <c r="D216" s="527">
        <v>6454383</v>
      </c>
      <c r="E216" s="527">
        <v>6444109</v>
      </c>
      <c r="F216" s="527">
        <v>12465132</v>
      </c>
      <c r="G216" s="527">
        <v>11827655</v>
      </c>
      <c r="H216" s="527">
        <v>12563470</v>
      </c>
      <c r="I216" s="527">
        <v>7943782</v>
      </c>
      <c r="J216" s="527">
        <v>7848769</v>
      </c>
      <c r="K216" s="527">
        <v>8442873</v>
      </c>
      <c r="L216" s="512"/>
    </row>
    <row r="217" spans="1:12" x14ac:dyDescent="0.35">
      <c r="A217" s="510" t="s">
        <v>596</v>
      </c>
      <c r="B217" s="527">
        <v>22623302</v>
      </c>
      <c r="C217" s="527">
        <v>21990370</v>
      </c>
      <c r="D217" s="527">
        <v>19768377</v>
      </c>
      <c r="E217" s="527">
        <v>19148656</v>
      </c>
      <c r="F217" s="527">
        <v>36532681</v>
      </c>
      <c r="G217" s="527">
        <v>33287532</v>
      </c>
      <c r="H217" s="527">
        <v>35812794</v>
      </c>
      <c r="I217" s="527">
        <v>16142361</v>
      </c>
      <c r="J217" s="527">
        <v>17018151</v>
      </c>
      <c r="K217" s="527">
        <v>18761269</v>
      </c>
      <c r="L217" s="512"/>
    </row>
    <row r="218" spans="1:12" x14ac:dyDescent="0.35">
      <c r="A218" s="510" t="s">
        <v>597</v>
      </c>
      <c r="B218" s="527">
        <v>3941980</v>
      </c>
      <c r="C218" s="527">
        <v>5122810</v>
      </c>
      <c r="D218" s="527">
        <v>4272905</v>
      </c>
      <c r="E218" s="527">
        <v>4326870</v>
      </c>
      <c r="F218" s="527">
        <v>4834045</v>
      </c>
      <c r="G218" s="527">
        <v>4784860</v>
      </c>
      <c r="H218" s="527">
        <v>6212679</v>
      </c>
      <c r="I218" s="527">
        <v>6378927</v>
      </c>
      <c r="J218" s="527">
        <v>6970666</v>
      </c>
      <c r="K218" s="527">
        <v>8170795</v>
      </c>
      <c r="L218" s="512"/>
    </row>
    <row r="219" spans="1:12" x14ac:dyDescent="0.35">
      <c r="A219" s="510" t="s">
        <v>598</v>
      </c>
      <c r="B219" s="527">
        <v>1343394</v>
      </c>
      <c r="C219" s="527">
        <v>1404264</v>
      </c>
      <c r="D219" s="527">
        <v>1590520</v>
      </c>
      <c r="E219" s="527">
        <v>1825590</v>
      </c>
      <c r="F219" s="527">
        <v>1177826</v>
      </c>
      <c r="G219" s="527">
        <v>1087113</v>
      </c>
      <c r="H219" s="527">
        <v>1943099</v>
      </c>
      <c r="I219" s="527">
        <v>1307804</v>
      </c>
      <c r="J219" s="527">
        <v>1794235</v>
      </c>
      <c r="K219" s="527">
        <v>2349542</v>
      </c>
      <c r="L219" s="512"/>
    </row>
    <row r="220" spans="1:12" x14ac:dyDescent="0.35">
      <c r="A220" s="510" t="s">
        <v>287</v>
      </c>
      <c r="B220" s="527">
        <v>72524292</v>
      </c>
      <c r="C220" s="527">
        <v>69195410</v>
      </c>
      <c r="D220" s="527">
        <v>63464347</v>
      </c>
      <c r="E220" s="527">
        <v>64637010</v>
      </c>
      <c r="F220" s="527">
        <v>94051442</v>
      </c>
      <c r="G220" s="527">
        <v>89771643</v>
      </c>
      <c r="H220" s="527">
        <v>94181969</v>
      </c>
      <c r="I220" s="527">
        <v>67809642</v>
      </c>
      <c r="J220" s="527">
        <v>67995393</v>
      </c>
      <c r="K220" s="527">
        <v>71904693</v>
      </c>
      <c r="L220" s="512"/>
    </row>
    <row r="221" spans="1:12" ht="13.15" x14ac:dyDescent="0.35">
      <c r="A221" s="517" t="s">
        <v>820</v>
      </c>
      <c r="B221" s="528"/>
      <c r="C221" s="528"/>
      <c r="D221" s="528"/>
      <c r="E221" s="528"/>
      <c r="F221" s="528"/>
      <c r="G221" s="528"/>
      <c r="H221" s="528"/>
      <c r="I221" s="528"/>
      <c r="J221" s="528"/>
      <c r="K221" s="528"/>
      <c r="L221" s="512"/>
    </row>
    <row r="222" spans="1:12" x14ac:dyDescent="0.35">
      <c r="A222" s="510" t="s">
        <v>616</v>
      </c>
      <c r="B222" s="527">
        <v>4233727</v>
      </c>
      <c r="C222" s="527">
        <v>4211620</v>
      </c>
      <c r="D222" s="527">
        <v>3971235</v>
      </c>
      <c r="E222" s="527">
        <v>4057485</v>
      </c>
      <c r="F222" s="527">
        <v>4890694</v>
      </c>
      <c r="G222" s="527">
        <v>4862989</v>
      </c>
      <c r="H222" s="527">
        <v>5399482</v>
      </c>
      <c r="I222" s="527">
        <v>4358595</v>
      </c>
      <c r="J222" s="527">
        <v>4283347</v>
      </c>
      <c r="K222" s="527">
        <v>17437157</v>
      </c>
      <c r="L222" s="512"/>
    </row>
    <row r="223" spans="1:12" x14ac:dyDescent="0.35">
      <c r="A223" s="510" t="s">
        <v>617</v>
      </c>
      <c r="B223" s="527">
        <v>6702045</v>
      </c>
      <c r="C223" s="527">
        <v>6891315</v>
      </c>
      <c r="D223" s="527">
        <v>7094868</v>
      </c>
      <c r="E223" s="527">
        <v>8712739</v>
      </c>
      <c r="F223" s="527">
        <v>9681072</v>
      </c>
      <c r="G223" s="527">
        <v>9670171</v>
      </c>
      <c r="H223" s="527">
        <v>5791198</v>
      </c>
      <c r="I223" s="527">
        <v>4464573</v>
      </c>
      <c r="J223" s="527">
        <v>4706265</v>
      </c>
      <c r="K223" s="528" t="s">
        <v>690</v>
      </c>
      <c r="L223" s="512"/>
    </row>
    <row r="224" spans="1:12" x14ac:dyDescent="0.35">
      <c r="A224" s="510" t="s">
        <v>651</v>
      </c>
      <c r="B224" s="527">
        <v>466796</v>
      </c>
      <c r="C224" s="527">
        <v>1623277</v>
      </c>
      <c r="D224" s="527">
        <v>857733</v>
      </c>
      <c r="E224" s="527">
        <v>4900150</v>
      </c>
      <c r="F224" s="527">
        <v>5864348</v>
      </c>
      <c r="G224" s="527">
        <v>1168591</v>
      </c>
      <c r="H224" s="527">
        <v>841772</v>
      </c>
      <c r="I224" s="527">
        <v>1678724</v>
      </c>
      <c r="J224" s="527">
        <v>1029063</v>
      </c>
      <c r="K224" s="527">
        <v>2840491</v>
      </c>
      <c r="L224" s="512"/>
    </row>
    <row r="225" spans="1:12" x14ac:dyDescent="0.35">
      <c r="A225" s="510" t="s">
        <v>652</v>
      </c>
      <c r="B225" s="527">
        <v>1276903</v>
      </c>
      <c r="C225" s="527">
        <v>3185652</v>
      </c>
      <c r="D225" s="527">
        <v>2296292</v>
      </c>
      <c r="E225" s="527">
        <v>1521696</v>
      </c>
      <c r="F225" s="527">
        <v>2018119</v>
      </c>
      <c r="G225" s="527">
        <v>2733408</v>
      </c>
      <c r="H225" s="527">
        <v>3203971</v>
      </c>
      <c r="I225" s="527">
        <v>2588550</v>
      </c>
      <c r="J225" s="527">
        <v>2032775</v>
      </c>
      <c r="K225" s="528" t="s">
        <v>690</v>
      </c>
      <c r="L225" s="512"/>
    </row>
    <row r="226" spans="1:12" x14ac:dyDescent="0.35">
      <c r="A226" s="510" t="s">
        <v>618</v>
      </c>
      <c r="B226" s="527">
        <v>31210</v>
      </c>
      <c r="C226" s="527">
        <v>26938</v>
      </c>
      <c r="D226" s="527">
        <v>25890</v>
      </c>
      <c r="E226" s="527">
        <v>26716</v>
      </c>
      <c r="F226" s="527">
        <v>283245</v>
      </c>
      <c r="G226" s="527">
        <v>256710</v>
      </c>
      <c r="H226" s="527">
        <v>241697</v>
      </c>
      <c r="I226" s="527">
        <v>188279</v>
      </c>
      <c r="J226" s="527">
        <v>179769</v>
      </c>
      <c r="K226" s="528" t="s">
        <v>690</v>
      </c>
      <c r="L226" s="512"/>
    </row>
    <row r="227" spans="1:12" x14ac:dyDescent="0.35">
      <c r="A227" s="510" t="s">
        <v>619</v>
      </c>
      <c r="B227" s="527">
        <v>1928246</v>
      </c>
      <c r="C227" s="527">
        <v>1528410</v>
      </c>
      <c r="D227" s="527">
        <v>1120005</v>
      </c>
      <c r="E227" s="527">
        <v>1074204</v>
      </c>
      <c r="F227" s="527">
        <v>742337</v>
      </c>
      <c r="G227" s="527">
        <v>608292</v>
      </c>
      <c r="H227" s="527">
        <v>582215</v>
      </c>
      <c r="I227" s="527">
        <v>531014</v>
      </c>
      <c r="J227" s="527">
        <v>576183</v>
      </c>
      <c r="K227" s="527">
        <v>850092</v>
      </c>
      <c r="L227" s="512"/>
    </row>
    <row r="228" spans="1:12" x14ac:dyDescent="0.35">
      <c r="A228" s="510" t="s">
        <v>620</v>
      </c>
      <c r="B228" s="527">
        <v>99058</v>
      </c>
      <c r="C228" s="527">
        <v>185049</v>
      </c>
      <c r="D228" s="527">
        <v>270152</v>
      </c>
      <c r="E228" s="527">
        <v>240444</v>
      </c>
      <c r="F228" s="527">
        <v>186470</v>
      </c>
      <c r="G228" s="527">
        <v>402924</v>
      </c>
      <c r="H228" s="527">
        <v>365522</v>
      </c>
      <c r="I228" s="527">
        <v>337098</v>
      </c>
      <c r="J228" s="527">
        <v>255825</v>
      </c>
      <c r="K228" s="528" t="s">
        <v>690</v>
      </c>
      <c r="L228" s="512"/>
    </row>
    <row r="229" spans="1:12" x14ac:dyDescent="0.35">
      <c r="A229" s="510" t="s">
        <v>297</v>
      </c>
      <c r="B229" s="527">
        <v>3468400</v>
      </c>
      <c r="C229" s="527">
        <v>4601628</v>
      </c>
      <c r="D229" s="527">
        <v>14270782</v>
      </c>
      <c r="E229" s="527">
        <v>4502750</v>
      </c>
      <c r="F229" s="527">
        <v>4717206</v>
      </c>
      <c r="G229" s="527">
        <v>5017015</v>
      </c>
      <c r="H229" s="527">
        <v>11756226</v>
      </c>
      <c r="I229" s="527">
        <v>11569556</v>
      </c>
      <c r="J229" s="527">
        <v>11214832</v>
      </c>
      <c r="K229" s="527">
        <v>5109014</v>
      </c>
      <c r="L229" s="512"/>
    </row>
    <row r="230" spans="1:12" x14ac:dyDescent="0.35">
      <c r="A230" s="510" t="s">
        <v>821</v>
      </c>
      <c r="B230" s="527">
        <v>18206385</v>
      </c>
      <c r="C230" s="527">
        <v>22253889</v>
      </c>
      <c r="D230" s="527">
        <v>29906958</v>
      </c>
      <c r="E230" s="527">
        <v>25036183</v>
      </c>
      <c r="F230" s="527">
        <v>28383491</v>
      </c>
      <c r="G230" s="527">
        <v>24720100</v>
      </c>
      <c r="H230" s="527">
        <v>28182082</v>
      </c>
      <c r="I230" s="527">
        <v>25716389</v>
      </c>
      <c r="J230" s="527">
        <v>24278060</v>
      </c>
      <c r="K230" s="527">
        <v>26236754</v>
      </c>
      <c r="L230" s="512"/>
    </row>
    <row r="231" spans="1:12" x14ac:dyDescent="0.35">
      <c r="A231" s="510" t="s">
        <v>612</v>
      </c>
      <c r="B231" s="527">
        <v>20730337</v>
      </c>
      <c r="C231" s="527">
        <v>17122880</v>
      </c>
      <c r="D231" s="527">
        <v>16007635</v>
      </c>
      <c r="E231" s="527">
        <v>22515978</v>
      </c>
      <c r="F231" s="527">
        <v>26648617</v>
      </c>
      <c r="G231" s="527">
        <v>25155392</v>
      </c>
      <c r="H231" s="527">
        <v>23527931</v>
      </c>
      <c r="I231" s="527">
        <v>18257396</v>
      </c>
      <c r="J231" s="527">
        <v>16310597</v>
      </c>
      <c r="K231" s="527">
        <v>17699561</v>
      </c>
      <c r="L231" s="512"/>
    </row>
    <row r="232" spans="1:12" x14ac:dyDescent="0.35">
      <c r="A232" s="510" t="s">
        <v>613</v>
      </c>
      <c r="B232" s="527">
        <v>63777</v>
      </c>
      <c r="C232" s="527">
        <v>48019</v>
      </c>
      <c r="D232" s="527">
        <v>48402</v>
      </c>
      <c r="E232" s="527">
        <v>48979</v>
      </c>
      <c r="F232" s="527">
        <v>1191989</v>
      </c>
      <c r="G232" s="527">
        <v>990009</v>
      </c>
      <c r="H232" s="527">
        <v>966787</v>
      </c>
      <c r="I232" s="527">
        <v>948158</v>
      </c>
      <c r="J232" s="527">
        <v>1211137</v>
      </c>
      <c r="K232" s="528" t="s">
        <v>690</v>
      </c>
      <c r="L232" s="512"/>
    </row>
    <row r="233" spans="1:12" x14ac:dyDescent="0.35">
      <c r="A233" s="510" t="s">
        <v>614</v>
      </c>
      <c r="B233" s="528" t="s">
        <v>690</v>
      </c>
      <c r="C233" s="528" t="s">
        <v>690</v>
      </c>
      <c r="D233" s="527">
        <v>24764</v>
      </c>
      <c r="E233" s="527">
        <v>21150</v>
      </c>
      <c r="F233" s="527">
        <v>28324</v>
      </c>
      <c r="G233" s="527">
        <v>23439</v>
      </c>
      <c r="H233" s="527">
        <v>101203</v>
      </c>
      <c r="I233" s="527">
        <v>93576</v>
      </c>
      <c r="J233" s="527">
        <v>292701</v>
      </c>
      <c r="K233" s="528" t="s">
        <v>690</v>
      </c>
      <c r="L233" s="512"/>
    </row>
    <row r="234" spans="1:12" x14ac:dyDescent="0.35">
      <c r="A234" s="510" t="s">
        <v>649</v>
      </c>
      <c r="B234" s="527">
        <v>4381636</v>
      </c>
      <c r="C234" s="527">
        <v>4790190</v>
      </c>
      <c r="D234" s="527">
        <v>3983617</v>
      </c>
      <c r="E234" s="527">
        <v>3478639</v>
      </c>
      <c r="F234" s="527">
        <v>4079906</v>
      </c>
      <c r="G234" s="527">
        <v>4073883</v>
      </c>
      <c r="H234" s="527">
        <v>3706414</v>
      </c>
      <c r="I234" s="527">
        <v>2907609</v>
      </c>
      <c r="J234" s="527">
        <v>2696538</v>
      </c>
      <c r="K234" s="527">
        <v>2254013</v>
      </c>
      <c r="L234" s="512"/>
    </row>
    <row r="235" spans="1:12" x14ac:dyDescent="0.35">
      <c r="A235" s="510" t="s">
        <v>650</v>
      </c>
      <c r="B235" s="527">
        <v>2065299</v>
      </c>
      <c r="C235" s="527">
        <v>2265092</v>
      </c>
      <c r="D235" s="527">
        <v>1571384</v>
      </c>
      <c r="E235" s="527">
        <v>1286818</v>
      </c>
      <c r="F235" s="527">
        <v>4496511</v>
      </c>
      <c r="G235" s="527">
        <v>4018077</v>
      </c>
      <c r="H235" s="527">
        <v>4233861</v>
      </c>
      <c r="I235" s="527">
        <v>325824</v>
      </c>
      <c r="J235" s="527">
        <v>358386</v>
      </c>
      <c r="K235" s="527">
        <v>461927</v>
      </c>
      <c r="L235" s="512"/>
    </row>
    <row r="236" spans="1:12" x14ac:dyDescent="0.35">
      <c r="A236" s="510" t="s">
        <v>615</v>
      </c>
      <c r="B236" s="527">
        <v>15029732</v>
      </c>
      <c r="C236" s="527">
        <v>16902696</v>
      </c>
      <c r="D236" s="527">
        <v>7994250</v>
      </c>
      <c r="E236" s="527">
        <v>8161722</v>
      </c>
      <c r="F236" s="527">
        <v>7557916</v>
      </c>
      <c r="G236" s="527">
        <v>7566261</v>
      </c>
      <c r="H236" s="527">
        <v>8053384</v>
      </c>
      <c r="I236" s="527">
        <v>8178285</v>
      </c>
      <c r="J236" s="527">
        <v>8103442</v>
      </c>
      <c r="K236" s="527">
        <v>9428399</v>
      </c>
      <c r="L236" s="512"/>
    </row>
    <row r="237" spans="1:12" x14ac:dyDescent="0.35">
      <c r="A237" s="510" t="s">
        <v>822</v>
      </c>
      <c r="B237" s="527">
        <v>60477167</v>
      </c>
      <c r="C237" s="527">
        <v>63382766</v>
      </c>
      <c r="D237" s="527">
        <v>59537011</v>
      </c>
      <c r="E237" s="527">
        <v>60549470</v>
      </c>
      <c r="F237" s="527">
        <v>72386754</v>
      </c>
      <c r="G237" s="527">
        <v>66547161</v>
      </c>
      <c r="H237" s="527">
        <v>68771661</v>
      </c>
      <c r="I237" s="527">
        <v>56427237</v>
      </c>
      <c r="J237" s="527">
        <v>53250862</v>
      </c>
      <c r="K237" s="527">
        <v>56080654</v>
      </c>
      <c r="L237" s="512"/>
    </row>
    <row r="238" spans="1:12" ht="13.15" x14ac:dyDescent="0.35">
      <c r="A238" s="517" t="s">
        <v>823</v>
      </c>
      <c r="B238" s="528"/>
      <c r="C238" s="528"/>
      <c r="D238" s="528"/>
      <c r="E238" s="528"/>
      <c r="F238" s="528"/>
      <c r="G238" s="528"/>
      <c r="H238" s="528"/>
      <c r="I238" s="528"/>
      <c r="J238" s="528"/>
      <c r="K238" s="528"/>
      <c r="L238" s="512"/>
    </row>
    <row r="239" spans="1:12" x14ac:dyDescent="0.35">
      <c r="A239" s="510" t="s">
        <v>608</v>
      </c>
      <c r="B239" s="527">
        <v>1818332</v>
      </c>
      <c r="C239" s="527">
        <v>1571745</v>
      </c>
      <c r="D239" s="527">
        <v>1511726</v>
      </c>
      <c r="E239" s="527">
        <v>1497206</v>
      </c>
      <c r="F239" s="527">
        <v>1588531</v>
      </c>
      <c r="G239" s="527">
        <v>1502314</v>
      </c>
      <c r="H239" s="527">
        <v>1603771</v>
      </c>
      <c r="I239" s="527">
        <v>1518631</v>
      </c>
      <c r="J239" s="527">
        <v>1553390</v>
      </c>
      <c r="K239" s="527">
        <v>1630048</v>
      </c>
      <c r="L239" s="512"/>
    </row>
    <row r="240" spans="1:12" x14ac:dyDescent="0.35">
      <c r="A240" s="510" t="s">
        <v>609</v>
      </c>
      <c r="B240" s="527">
        <v>3841565</v>
      </c>
      <c r="C240" s="527">
        <v>3459712</v>
      </c>
      <c r="D240" s="527">
        <v>3398288</v>
      </c>
      <c r="E240" s="527">
        <v>3440791</v>
      </c>
      <c r="F240" s="527">
        <v>3745913</v>
      </c>
      <c r="G240" s="527">
        <v>3662030</v>
      </c>
      <c r="H240" s="527">
        <v>3930251</v>
      </c>
      <c r="I240" s="527">
        <v>3878316</v>
      </c>
      <c r="J240" s="527">
        <v>3976817</v>
      </c>
      <c r="K240" s="527">
        <v>4199670</v>
      </c>
      <c r="L240" s="512"/>
    </row>
    <row r="241" spans="1:12" x14ac:dyDescent="0.35">
      <c r="A241" s="510" t="s">
        <v>610</v>
      </c>
      <c r="B241" s="527">
        <v>-863029</v>
      </c>
      <c r="C241" s="527">
        <v>-6165174</v>
      </c>
      <c r="D241" s="527">
        <v>-7789384</v>
      </c>
      <c r="E241" s="527">
        <v>-3006657</v>
      </c>
      <c r="F241" s="527">
        <v>5964664</v>
      </c>
      <c r="G241" s="527">
        <v>8141070</v>
      </c>
      <c r="H241" s="527">
        <v>10414392</v>
      </c>
      <c r="I241" s="527">
        <v>5402584</v>
      </c>
      <c r="J241" s="527">
        <v>8922775</v>
      </c>
      <c r="K241" s="527">
        <v>9427190</v>
      </c>
      <c r="L241" s="512"/>
    </row>
    <row r="242" spans="1:12" x14ac:dyDescent="0.35">
      <c r="A242" s="510" t="s">
        <v>611</v>
      </c>
      <c r="B242" s="527">
        <v>2142646</v>
      </c>
      <c r="C242" s="527">
        <v>2450141</v>
      </c>
      <c r="D242" s="527">
        <v>2802828</v>
      </c>
      <c r="E242" s="527">
        <v>2277535</v>
      </c>
      <c r="F242" s="527">
        <v>2160922</v>
      </c>
      <c r="G242" s="527">
        <v>2975609</v>
      </c>
      <c r="H242" s="527">
        <v>1976437</v>
      </c>
      <c r="I242" s="527">
        <v>1148838</v>
      </c>
      <c r="J242" s="527">
        <v>927655</v>
      </c>
      <c r="K242" s="527">
        <v>1274533</v>
      </c>
      <c r="L242" s="512"/>
    </row>
    <row r="243" spans="1:12" x14ac:dyDescent="0.35">
      <c r="A243" s="510" t="s">
        <v>824</v>
      </c>
      <c r="B243" s="527">
        <v>6939513</v>
      </c>
      <c r="C243" s="527">
        <v>1316424</v>
      </c>
      <c r="D243" s="527">
        <v>-76543</v>
      </c>
      <c r="E243" s="527">
        <v>4208875</v>
      </c>
      <c r="F243" s="527">
        <v>13460030</v>
      </c>
      <c r="G243" s="527">
        <v>16281023</v>
      </c>
      <c r="H243" s="527">
        <v>17924852</v>
      </c>
      <c r="I243" s="527">
        <v>11948369</v>
      </c>
      <c r="J243" s="527">
        <v>15380638</v>
      </c>
      <c r="K243" s="527">
        <v>16531441</v>
      </c>
      <c r="L243" s="512"/>
    </row>
    <row r="244" spans="1:12" x14ac:dyDescent="0.35">
      <c r="A244" s="510" t="s">
        <v>648</v>
      </c>
      <c r="B244" s="527">
        <v>5107612</v>
      </c>
      <c r="C244" s="527">
        <v>4496220</v>
      </c>
      <c r="D244" s="527">
        <v>4003879</v>
      </c>
      <c r="E244" s="527">
        <v>-121335</v>
      </c>
      <c r="F244" s="527">
        <v>8204658</v>
      </c>
      <c r="G244" s="527">
        <v>6943460</v>
      </c>
      <c r="H244" s="527">
        <v>7485456</v>
      </c>
      <c r="I244" s="527">
        <v>-565963</v>
      </c>
      <c r="J244" s="527">
        <v>-636106</v>
      </c>
      <c r="K244" s="527">
        <v>-707402</v>
      </c>
      <c r="L244" s="512"/>
    </row>
    <row r="245" spans="1:12" x14ac:dyDescent="0.35">
      <c r="A245" s="510" t="s">
        <v>825</v>
      </c>
      <c r="B245" s="527">
        <v>12047125</v>
      </c>
      <c r="C245" s="527">
        <v>5812644</v>
      </c>
      <c r="D245" s="527">
        <v>3927336</v>
      </c>
      <c r="E245" s="527">
        <v>4087540</v>
      </c>
      <c r="F245" s="527">
        <v>21664688</v>
      </c>
      <c r="G245" s="527">
        <v>23224483</v>
      </c>
      <c r="H245" s="527">
        <v>25410308</v>
      </c>
      <c r="I245" s="527">
        <v>11382405</v>
      </c>
      <c r="J245" s="527">
        <v>14744531</v>
      </c>
      <c r="K245" s="527">
        <v>15824039</v>
      </c>
      <c r="L245" s="512"/>
    </row>
    <row r="246" spans="1:12" x14ac:dyDescent="0.35">
      <c r="A246" s="510" t="s">
        <v>826</v>
      </c>
      <c r="B246" s="527">
        <v>72524292</v>
      </c>
      <c r="C246" s="527">
        <v>69195410</v>
      </c>
      <c r="D246" s="527">
        <v>63464347</v>
      </c>
      <c r="E246" s="527">
        <v>64637010</v>
      </c>
      <c r="F246" s="527">
        <v>94051442</v>
      </c>
      <c r="G246" s="527">
        <v>89771643</v>
      </c>
      <c r="H246" s="527">
        <v>94181969</v>
      </c>
      <c r="I246" s="527">
        <v>67809642</v>
      </c>
      <c r="J246" s="527">
        <v>67995393</v>
      </c>
      <c r="K246" s="527">
        <v>71904693</v>
      </c>
      <c r="L246" s="512"/>
    </row>
    <row r="247" spans="1:12" ht="13.15" x14ac:dyDescent="0.35">
      <c r="A247" s="517" t="s">
        <v>827</v>
      </c>
      <c r="B247" s="528"/>
      <c r="C247" s="528"/>
      <c r="D247" s="528"/>
      <c r="E247" s="528"/>
      <c r="F247" s="528"/>
      <c r="G247" s="528"/>
      <c r="H247" s="528"/>
      <c r="I247" s="528"/>
      <c r="J247" s="528"/>
      <c r="K247" s="528"/>
      <c r="L247" s="512"/>
    </row>
    <row r="248" spans="1:12" x14ac:dyDescent="0.35">
      <c r="A248" s="510" t="s">
        <v>828</v>
      </c>
      <c r="B248" s="527">
        <v>3871846118</v>
      </c>
      <c r="C248" s="527">
        <v>3893692850</v>
      </c>
      <c r="D248" s="527">
        <v>3913003056</v>
      </c>
      <c r="E248" s="527">
        <v>3938344612</v>
      </c>
      <c r="F248" s="527">
        <v>3962584989</v>
      </c>
      <c r="G248" s="527">
        <v>3984806690</v>
      </c>
      <c r="H248" s="527">
        <v>4006883056</v>
      </c>
      <c r="I248" s="527">
        <v>4034339846</v>
      </c>
      <c r="J248" s="527">
        <v>4056260617</v>
      </c>
      <c r="K248" s="527">
        <v>4081000000</v>
      </c>
      <c r="L248" s="512"/>
    </row>
    <row r="249" spans="1:12" x14ac:dyDescent="0.35">
      <c r="A249" s="510" t="s">
        <v>829</v>
      </c>
      <c r="B249" s="527">
        <v>3871846118</v>
      </c>
      <c r="C249" s="527">
        <v>3893692850</v>
      </c>
      <c r="D249" s="527">
        <v>3913003056</v>
      </c>
      <c r="E249" s="527">
        <v>3938344612</v>
      </c>
      <c r="F249" s="527">
        <v>3962584989</v>
      </c>
      <c r="G249" s="527">
        <v>3984806690</v>
      </c>
      <c r="H249" s="527">
        <v>4006883056</v>
      </c>
      <c r="I249" s="527">
        <v>4034339846</v>
      </c>
      <c r="J249" s="527">
        <v>4056260617</v>
      </c>
      <c r="K249" s="527">
        <v>4081000000</v>
      </c>
      <c r="L249" s="512"/>
    </row>
    <row r="250" spans="1:12" x14ac:dyDescent="0.35">
      <c r="A250" s="510" t="s">
        <v>830</v>
      </c>
      <c r="B250" s="528">
        <v>1.79</v>
      </c>
      <c r="C250" s="528">
        <v>0.34</v>
      </c>
      <c r="D250" s="528">
        <v>-0.02</v>
      </c>
      <c r="E250" s="528">
        <v>1.07</v>
      </c>
      <c r="F250" s="528">
        <v>3.4</v>
      </c>
      <c r="G250" s="528">
        <v>4.09</v>
      </c>
      <c r="H250" s="528">
        <v>4.47</v>
      </c>
      <c r="I250" s="528">
        <v>2.96</v>
      </c>
      <c r="J250" s="528">
        <v>3.79</v>
      </c>
      <c r="K250" s="528">
        <v>4.05</v>
      </c>
      <c r="L250" s="512"/>
    </row>
    <row r="251" spans="1:12" x14ac:dyDescent="0.35">
      <c r="A251" s="510" t="s">
        <v>831</v>
      </c>
      <c r="B251" s="527">
        <v>-22688436</v>
      </c>
      <c r="C251" s="527">
        <v>-27660128</v>
      </c>
      <c r="D251" s="527">
        <v>-26299303</v>
      </c>
      <c r="E251" s="527">
        <v>-21383890</v>
      </c>
      <c r="F251" s="527">
        <v>-35537783</v>
      </c>
      <c r="G251" s="527">
        <v>-28834164</v>
      </c>
      <c r="H251" s="527">
        <v>-30451412</v>
      </c>
      <c r="I251" s="527">
        <v>-12137775</v>
      </c>
      <c r="J251" s="527">
        <v>-9486282</v>
      </c>
      <c r="K251" s="527">
        <v>-10672701</v>
      </c>
      <c r="L251" s="512"/>
    </row>
    <row r="252" spans="1:12" x14ac:dyDescent="0.35">
      <c r="A252" s="510" t="s">
        <v>832</v>
      </c>
      <c r="B252" s="528">
        <v>-5.86</v>
      </c>
      <c r="C252" s="528">
        <v>-7.1</v>
      </c>
      <c r="D252" s="528">
        <v>-6.72</v>
      </c>
      <c r="E252" s="528">
        <v>-5.43</v>
      </c>
      <c r="F252" s="528">
        <v>-8.9700000000000006</v>
      </c>
      <c r="G252" s="528">
        <v>-7.24</v>
      </c>
      <c r="H252" s="528">
        <v>-7.6</v>
      </c>
      <c r="I252" s="528">
        <v>-3.01</v>
      </c>
      <c r="J252" s="528">
        <v>-2.34</v>
      </c>
      <c r="K252" s="528">
        <v>-2.62</v>
      </c>
      <c r="L252" s="512"/>
    </row>
    <row r="253" spans="1:12" x14ac:dyDescent="0.35">
      <c r="A253" s="510" t="s">
        <v>833</v>
      </c>
      <c r="B253" s="527">
        <v>22569023</v>
      </c>
      <c r="C253" s="527">
        <v>22006766</v>
      </c>
      <c r="D253" s="527">
        <v>19235952</v>
      </c>
      <c r="E253" s="527">
        <v>29013520</v>
      </c>
      <c r="F253" s="527">
        <v>36006317</v>
      </c>
      <c r="G253" s="527">
        <v>30304110</v>
      </c>
      <c r="H253" s="527">
        <v>28782156</v>
      </c>
      <c r="I253" s="527">
        <v>23661107</v>
      </c>
      <c r="J253" s="527">
        <v>20763342</v>
      </c>
      <c r="K253" s="527">
        <v>20540052</v>
      </c>
      <c r="L253" s="512"/>
    </row>
    <row r="254" spans="1:12" x14ac:dyDescent="0.35">
      <c r="A254" s="510" t="s">
        <v>44</v>
      </c>
      <c r="B254" s="527">
        <v>14394673</v>
      </c>
      <c r="C254" s="527">
        <v>16011416</v>
      </c>
      <c r="D254" s="527">
        <v>14762684</v>
      </c>
      <c r="E254" s="527">
        <v>23985356</v>
      </c>
      <c r="F254" s="527">
        <v>29106946</v>
      </c>
      <c r="G254" s="527">
        <v>22675345</v>
      </c>
      <c r="H254" s="527">
        <v>22870706</v>
      </c>
      <c r="I254" s="527">
        <v>13824391</v>
      </c>
      <c r="J254" s="527">
        <v>14208681</v>
      </c>
      <c r="K254" s="527">
        <v>15834922</v>
      </c>
      <c r="L254" s="512"/>
    </row>
    <row r="255" spans="1:12" x14ac:dyDescent="0.35">
      <c r="A255" s="510" t="s">
        <v>834</v>
      </c>
      <c r="B255" s="527">
        <v>2149431</v>
      </c>
      <c r="C255" s="527">
        <v>2440772</v>
      </c>
      <c r="D255" s="527">
        <v>1694079</v>
      </c>
      <c r="E255" s="527">
        <v>1107599</v>
      </c>
      <c r="F255" s="527">
        <v>2267139</v>
      </c>
      <c r="G255" s="527">
        <v>2348343</v>
      </c>
      <c r="H255" s="527">
        <v>1344215</v>
      </c>
      <c r="I255" s="527">
        <v>1528778</v>
      </c>
      <c r="J255" s="527">
        <v>879256</v>
      </c>
      <c r="K255" s="528" t="s">
        <v>690</v>
      </c>
      <c r="L255" s="512"/>
    </row>
    <row r="256" spans="1:12" x14ac:dyDescent="0.35">
      <c r="A256" s="510" t="s">
        <v>835</v>
      </c>
      <c r="B256" s="527">
        <v>1278348</v>
      </c>
      <c r="C256" s="527">
        <v>969591</v>
      </c>
      <c r="D256" s="527">
        <v>1086722</v>
      </c>
      <c r="E256" s="527">
        <v>1853936</v>
      </c>
      <c r="F256" s="527">
        <v>264544</v>
      </c>
      <c r="G256" s="527">
        <v>243043</v>
      </c>
      <c r="H256" s="527">
        <v>186148</v>
      </c>
      <c r="I256" s="527">
        <v>159542</v>
      </c>
      <c r="J256" s="527">
        <v>248377</v>
      </c>
      <c r="K256" s="528" t="s">
        <v>690</v>
      </c>
      <c r="L256" s="512"/>
    </row>
    <row r="257" spans="1:12" x14ac:dyDescent="0.35">
      <c r="A257" s="510" t="s">
        <v>648</v>
      </c>
      <c r="B257" s="527">
        <v>5107612</v>
      </c>
      <c r="C257" s="527">
        <v>4496220</v>
      </c>
      <c r="D257" s="527">
        <v>4003879</v>
      </c>
      <c r="E257" s="527">
        <v>-121335</v>
      </c>
      <c r="F257" s="527">
        <v>8204658</v>
      </c>
      <c r="G257" s="527">
        <v>6943460</v>
      </c>
      <c r="H257" s="527">
        <v>7485456</v>
      </c>
      <c r="I257" s="527">
        <v>-565963</v>
      </c>
      <c r="J257" s="527">
        <v>-636106</v>
      </c>
      <c r="K257" s="527">
        <v>-707402</v>
      </c>
      <c r="L257" s="512"/>
    </row>
    <row r="258" spans="1:12" x14ac:dyDescent="0.35">
      <c r="A258" s="510" t="s">
        <v>836</v>
      </c>
      <c r="B258" s="527">
        <v>280892</v>
      </c>
      <c r="C258" s="527">
        <v>308024</v>
      </c>
      <c r="D258" s="527">
        <v>205991</v>
      </c>
      <c r="E258" s="527">
        <v>262707</v>
      </c>
      <c r="F258" s="527">
        <v>370579</v>
      </c>
      <c r="G258" s="527">
        <v>406272</v>
      </c>
      <c r="H258" s="527">
        <v>104775</v>
      </c>
      <c r="I258" s="527">
        <v>83429</v>
      </c>
      <c r="J258" s="527">
        <v>63380</v>
      </c>
      <c r="K258" s="527">
        <v>116086</v>
      </c>
      <c r="L258" s="512"/>
    </row>
    <row r="259" spans="1:12" x14ac:dyDescent="0.35">
      <c r="A259" s="510" t="s">
        <v>837</v>
      </c>
      <c r="B259" s="527">
        <v>2120935</v>
      </c>
      <c r="C259" s="527">
        <v>1250837</v>
      </c>
      <c r="D259" s="527">
        <v>1342881</v>
      </c>
      <c r="E259" s="527">
        <v>1248971</v>
      </c>
      <c r="F259" s="527">
        <v>1410323</v>
      </c>
      <c r="G259" s="527">
        <v>1305875</v>
      </c>
      <c r="H259" s="527">
        <v>2109787</v>
      </c>
      <c r="I259" s="527">
        <v>1776810</v>
      </c>
      <c r="J259" s="527">
        <v>1836872</v>
      </c>
      <c r="K259" s="528" t="s">
        <v>690</v>
      </c>
      <c r="L259" s="512"/>
    </row>
    <row r="260" spans="1:12" x14ac:dyDescent="0.35">
      <c r="A260" s="510" t="s">
        <v>838</v>
      </c>
      <c r="B260" s="527">
        <v>1971669</v>
      </c>
      <c r="C260" s="527">
        <v>2692579</v>
      </c>
      <c r="D260" s="527">
        <v>2680134</v>
      </c>
      <c r="E260" s="527">
        <v>2544694</v>
      </c>
      <c r="F260" s="527">
        <v>2956368</v>
      </c>
      <c r="G260" s="527">
        <v>2673137</v>
      </c>
      <c r="H260" s="527">
        <v>2249090</v>
      </c>
      <c r="I260" s="527">
        <v>2577276</v>
      </c>
      <c r="J260" s="527">
        <v>2822146</v>
      </c>
      <c r="K260" s="528" t="s">
        <v>690</v>
      </c>
      <c r="L260" s="512"/>
    </row>
    <row r="261" spans="1:12" x14ac:dyDescent="0.35">
      <c r="A261" s="510" t="s">
        <v>839</v>
      </c>
      <c r="B261" s="527">
        <v>2306839</v>
      </c>
      <c r="C261" s="527">
        <v>2032024</v>
      </c>
      <c r="D261" s="527">
        <v>2232131</v>
      </c>
      <c r="E261" s="527">
        <v>2302024</v>
      </c>
      <c r="F261" s="527">
        <v>2651880</v>
      </c>
      <c r="G261" s="527">
        <v>2713318</v>
      </c>
      <c r="H261" s="527">
        <v>2526505</v>
      </c>
      <c r="I261" s="527">
        <v>1447604</v>
      </c>
      <c r="J261" s="527">
        <v>1676693</v>
      </c>
      <c r="K261" s="528" t="s">
        <v>690</v>
      </c>
      <c r="L261" s="512"/>
    </row>
    <row r="262" spans="1:12" x14ac:dyDescent="0.35">
      <c r="A262" s="510" t="s">
        <v>840</v>
      </c>
      <c r="B262" s="527">
        <v>8514948</v>
      </c>
      <c r="C262" s="527">
        <v>8073052</v>
      </c>
      <c r="D262" s="527">
        <v>8223879</v>
      </c>
      <c r="E262" s="527">
        <v>8501237</v>
      </c>
      <c r="F262" s="527">
        <v>8559894</v>
      </c>
      <c r="G262" s="527">
        <v>8045082</v>
      </c>
      <c r="H262" s="527">
        <v>8272459</v>
      </c>
      <c r="I262" s="527">
        <v>7201942</v>
      </c>
      <c r="J262" s="527">
        <v>7165416</v>
      </c>
      <c r="K262" s="528" t="s">
        <v>690</v>
      </c>
      <c r="L262" s="512"/>
    </row>
    <row r="263" spans="1:12" x14ac:dyDescent="0.35">
      <c r="A263" s="510" t="s">
        <v>841</v>
      </c>
      <c r="B263" s="527">
        <v>14073073</v>
      </c>
      <c r="C263" s="527">
        <v>12703959</v>
      </c>
      <c r="D263" s="527">
        <v>12823218</v>
      </c>
      <c r="E263" s="527">
        <v>13487101</v>
      </c>
      <c r="F263" s="527">
        <v>13709049</v>
      </c>
      <c r="G263" s="527">
        <v>12895794</v>
      </c>
      <c r="H263" s="527">
        <v>13456438</v>
      </c>
      <c r="I263" s="527">
        <v>11816461</v>
      </c>
      <c r="J263" s="527">
        <v>11920081</v>
      </c>
      <c r="K263" s="528" t="s">
        <v>690</v>
      </c>
      <c r="L263" s="512"/>
    </row>
    <row r="264" spans="1:12" x14ac:dyDescent="0.35">
      <c r="A264" s="510" t="s">
        <v>842</v>
      </c>
      <c r="B264" s="527">
        <v>3479255</v>
      </c>
      <c r="C264" s="527">
        <v>3635391</v>
      </c>
      <c r="D264" s="527">
        <v>2766807</v>
      </c>
      <c r="E264" s="527">
        <v>2306477</v>
      </c>
      <c r="F264" s="527">
        <v>2225832</v>
      </c>
      <c r="G264" s="527">
        <v>2080471</v>
      </c>
      <c r="H264" s="527">
        <v>2032396</v>
      </c>
      <c r="I264" s="527">
        <v>2038371</v>
      </c>
      <c r="J264" s="527">
        <v>2410751</v>
      </c>
      <c r="K264" s="528" t="s">
        <v>690</v>
      </c>
      <c r="L264" s="512"/>
    </row>
    <row r="265" spans="1:12" x14ac:dyDescent="0.35">
      <c r="A265" s="510" t="s">
        <v>843</v>
      </c>
      <c r="B265" s="527">
        <v>101255</v>
      </c>
      <c r="C265" s="527">
        <v>99300</v>
      </c>
      <c r="D265" s="527">
        <v>98462</v>
      </c>
      <c r="E265" s="527">
        <v>95490</v>
      </c>
      <c r="F265" s="527">
        <v>99437</v>
      </c>
      <c r="G265" s="527">
        <v>94066</v>
      </c>
      <c r="H265" s="527">
        <v>90096</v>
      </c>
      <c r="I265" s="527">
        <v>69400</v>
      </c>
      <c r="J265" s="527">
        <v>70212</v>
      </c>
      <c r="K265" s="528" t="s">
        <v>690</v>
      </c>
      <c r="L265" s="512"/>
    </row>
    <row r="266" spans="1:12" x14ac:dyDescent="0.35">
      <c r="A266" s="510" t="s">
        <v>886</v>
      </c>
      <c r="B266" s="527">
        <v>1067931</v>
      </c>
      <c r="C266" s="527">
        <v>741367</v>
      </c>
      <c r="D266" s="528" t="s">
        <v>690</v>
      </c>
      <c r="E266" s="528" t="s">
        <v>690</v>
      </c>
      <c r="F266" s="528" t="s">
        <v>690</v>
      </c>
      <c r="G266" s="528" t="s">
        <v>690</v>
      </c>
      <c r="H266" s="528" t="s">
        <v>690</v>
      </c>
      <c r="I266" s="528" t="s">
        <v>690</v>
      </c>
      <c r="J266" s="528" t="s">
        <v>690</v>
      </c>
      <c r="K266" s="528" t="s">
        <v>690</v>
      </c>
      <c r="L266" s="512"/>
    </row>
    <row r="267" spans="1:12" x14ac:dyDescent="0.35">
      <c r="A267" s="510" t="s">
        <v>887</v>
      </c>
      <c r="B267" s="527">
        <v>-352811</v>
      </c>
      <c r="C267" s="527">
        <v>-313880</v>
      </c>
      <c r="D267" s="528" t="s">
        <v>690</v>
      </c>
      <c r="E267" s="528" t="s">
        <v>690</v>
      </c>
      <c r="F267" s="528" t="s">
        <v>690</v>
      </c>
      <c r="G267" s="528" t="s">
        <v>690</v>
      </c>
      <c r="H267" s="528" t="s">
        <v>690</v>
      </c>
      <c r="I267" s="528" t="s">
        <v>690</v>
      </c>
      <c r="J267" s="528" t="s">
        <v>690</v>
      </c>
      <c r="K267" s="528" t="s">
        <v>690</v>
      </c>
      <c r="L267" s="512"/>
    </row>
    <row r="268" spans="1:12" x14ac:dyDescent="0.35">
      <c r="A268" s="510" t="s">
        <v>844</v>
      </c>
      <c r="B268" s="527">
        <v>226613</v>
      </c>
      <c r="C268" s="527">
        <v>242438</v>
      </c>
      <c r="D268" s="527">
        <v>157589</v>
      </c>
      <c r="E268" s="527">
        <v>142485</v>
      </c>
      <c r="F268" s="527">
        <v>153424</v>
      </c>
      <c r="G268" s="527">
        <v>168536</v>
      </c>
      <c r="H268" s="527">
        <v>178594</v>
      </c>
      <c r="I268" s="527">
        <v>102595</v>
      </c>
      <c r="J268" s="527">
        <v>97951</v>
      </c>
      <c r="K268" s="528" t="s">
        <v>690</v>
      </c>
      <c r="L268" s="512"/>
    </row>
    <row r="269" spans="1:12" x14ac:dyDescent="0.35">
      <c r="A269" s="510" t="s">
        <v>783</v>
      </c>
      <c r="B269" s="528" t="s">
        <v>810</v>
      </c>
      <c r="C269" s="528" t="s">
        <v>810</v>
      </c>
      <c r="D269" s="528" t="s">
        <v>810</v>
      </c>
      <c r="E269" s="528" t="s">
        <v>845</v>
      </c>
      <c r="F269" s="528" t="s">
        <v>810</v>
      </c>
      <c r="G269" s="528" t="s">
        <v>810</v>
      </c>
      <c r="H269" s="528" t="s">
        <v>810</v>
      </c>
      <c r="I269" s="528" t="s">
        <v>810</v>
      </c>
      <c r="J269" s="528" t="s">
        <v>785</v>
      </c>
      <c r="K269" s="528" t="s">
        <v>869</v>
      </c>
      <c r="L269" s="512"/>
    </row>
    <row r="270" spans="1:12" x14ac:dyDescent="0.35">
      <c r="A270" s="510" t="s">
        <v>786</v>
      </c>
      <c r="B270" s="528" t="s">
        <v>888</v>
      </c>
      <c r="C270" s="528" t="s">
        <v>888</v>
      </c>
      <c r="D270" s="528" t="s">
        <v>888</v>
      </c>
      <c r="E270" s="528" t="s">
        <v>888</v>
      </c>
      <c r="F270" s="528" t="s">
        <v>888</v>
      </c>
      <c r="G270" s="528" t="s">
        <v>888</v>
      </c>
      <c r="H270" s="528" t="s">
        <v>888</v>
      </c>
      <c r="I270" s="528" t="s">
        <v>787</v>
      </c>
      <c r="J270" s="528" t="s">
        <v>787</v>
      </c>
      <c r="K270" s="528" t="s">
        <v>787</v>
      </c>
      <c r="L270" s="512"/>
    </row>
    <row r="271" spans="1:12" ht="13.15" x14ac:dyDescent="0.35">
      <c r="A271" s="517" t="s">
        <v>846</v>
      </c>
      <c r="B271" s="528"/>
      <c r="C271" s="528"/>
      <c r="D271" s="528"/>
      <c r="E271" s="528"/>
      <c r="F271" s="528"/>
      <c r="G271" s="528"/>
      <c r="H271" s="528"/>
      <c r="I271" s="528"/>
      <c r="J271" s="528"/>
      <c r="K271" s="528"/>
      <c r="L271" s="512"/>
    </row>
    <row r="272" spans="1:12" x14ac:dyDescent="0.35">
      <c r="A272" s="510" t="s">
        <v>847</v>
      </c>
      <c r="B272" s="527">
        <v>1606200</v>
      </c>
      <c r="C272" s="527">
        <v>1993049</v>
      </c>
      <c r="D272" s="527">
        <v>1910895</v>
      </c>
      <c r="E272" s="527">
        <v>1848283</v>
      </c>
      <c r="F272" s="527">
        <v>1589543</v>
      </c>
      <c r="G272" s="527">
        <v>1548277</v>
      </c>
      <c r="H272" s="527">
        <v>1696272</v>
      </c>
      <c r="I272" s="527">
        <v>1186004</v>
      </c>
      <c r="J272" s="527">
        <v>2503322</v>
      </c>
      <c r="K272" s="528" t="s">
        <v>690</v>
      </c>
      <c r="L272" s="512"/>
    </row>
    <row r="273" spans="1:12" x14ac:dyDescent="0.35">
      <c r="A273" s="510" t="s">
        <v>848</v>
      </c>
      <c r="B273" s="527">
        <v>79897</v>
      </c>
      <c r="C273" s="527">
        <v>116302</v>
      </c>
      <c r="D273" s="527">
        <v>98170</v>
      </c>
      <c r="E273" s="527">
        <v>100610</v>
      </c>
      <c r="F273" s="527">
        <v>181304</v>
      </c>
      <c r="G273" s="527">
        <v>298178</v>
      </c>
      <c r="H273" s="527">
        <v>232685</v>
      </c>
      <c r="I273" s="527">
        <v>225235</v>
      </c>
      <c r="J273" s="527">
        <v>262176</v>
      </c>
      <c r="K273" s="528" t="s">
        <v>690</v>
      </c>
      <c r="L273" s="512"/>
    </row>
    <row r="274" spans="1:12" x14ac:dyDescent="0.35">
      <c r="A274" s="510" t="s">
        <v>849</v>
      </c>
      <c r="B274" s="527">
        <v>1686097</v>
      </c>
      <c r="C274" s="527">
        <v>2109351</v>
      </c>
      <c r="D274" s="527">
        <v>2009066</v>
      </c>
      <c r="E274" s="527">
        <v>1948893</v>
      </c>
      <c r="F274" s="527">
        <v>1770847</v>
      </c>
      <c r="G274" s="527">
        <v>1846455</v>
      </c>
      <c r="H274" s="527">
        <v>1928957</v>
      </c>
      <c r="I274" s="527">
        <v>1411239</v>
      </c>
      <c r="J274" s="527">
        <v>2765498</v>
      </c>
      <c r="K274" s="528" t="s">
        <v>690</v>
      </c>
      <c r="L274" s="512"/>
    </row>
    <row r="275" spans="1:12" x14ac:dyDescent="0.35">
      <c r="A275" s="510" t="s">
        <v>889</v>
      </c>
      <c r="B275" s="527">
        <v>3817136</v>
      </c>
      <c r="C275" s="527">
        <v>2840217</v>
      </c>
      <c r="D275" s="527">
        <v>2196274</v>
      </c>
      <c r="E275" s="528" t="s">
        <v>690</v>
      </c>
      <c r="F275" s="528" t="s">
        <v>690</v>
      </c>
      <c r="G275" s="528" t="s">
        <v>690</v>
      </c>
      <c r="H275" s="528" t="s">
        <v>690</v>
      </c>
      <c r="I275" s="528" t="s">
        <v>690</v>
      </c>
      <c r="J275" s="528" t="s">
        <v>690</v>
      </c>
      <c r="K275" s="528" t="s">
        <v>690</v>
      </c>
      <c r="L275" s="512"/>
    </row>
    <row r="276" spans="1:12" x14ac:dyDescent="0.35">
      <c r="A276" s="510" t="s">
        <v>890</v>
      </c>
      <c r="B276" s="528" t="s">
        <v>690</v>
      </c>
      <c r="C276" s="528" t="s">
        <v>690</v>
      </c>
      <c r="D276" s="528" t="s">
        <v>690</v>
      </c>
      <c r="E276" s="527">
        <v>2308376</v>
      </c>
      <c r="F276" s="527">
        <v>2449310</v>
      </c>
      <c r="G276" s="527">
        <v>2573335</v>
      </c>
      <c r="H276" s="527">
        <v>2741027</v>
      </c>
      <c r="I276" s="527">
        <v>2728630</v>
      </c>
      <c r="J276" s="527">
        <v>2599913</v>
      </c>
      <c r="K276" s="528" t="s">
        <v>690</v>
      </c>
      <c r="L276" s="512"/>
    </row>
    <row r="277" spans="1:12" x14ac:dyDescent="0.35">
      <c r="A277" s="510" t="s">
        <v>891</v>
      </c>
      <c r="B277" s="527">
        <v>3817136</v>
      </c>
      <c r="C277" s="527">
        <v>2840217</v>
      </c>
      <c r="D277" s="527">
        <v>2196274</v>
      </c>
      <c r="E277" s="527">
        <v>2308376</v>
      </c>
      <c r="F277" s="527">
        <v>2449310</v>
      </c>
      <c r="G277" s="527">
        <v>2573335</v>
      </c>
      <c r="H277" s="527">
        <v>2741027</v>
      </c>
      <c r="I277" s="527">
        <v>2728630</v>
      </c>
      <c r="J277" s="527">
        <v>2599913</v>
      </c>
      <c r="K277" s="528" t="s">
        <v>690</v>
      </c>
      <c r="L277" s="512"/>
    </row>
    <row r="278" spans="1:12" ht="13.15" x14ac:dyDescent="0.35">
      <c r="A278" s="517" t="s">
        <v>850</v>
      </c>
      <c r="B278" s="528"/>
      <c r="C278" s="528"/>
      <c r="D278" s="528"/>
      <c r="E278" s="528"/>
      <c r="F278" s="528"/>
      <c r="G278" s="528"/>
      <c r="H278" s="528"/>
      <c r="I278" s="528"/>
      <c r="J278" s="528"/>
      <c r="K278" s="528"/>
      <c r="L278" s="512"/>
    </row>
    <row r="279" spans="1:12" x14ac:dyDescent="0.35">
      <c r="A279" s="510" t="s">
        <v>851</v>
      </c>
      <c r="B279" s="527">
        <v>1435668</v>
      </c>
      <c r="C279" s="527">
        <v>777674</v>
      </c>
      <c r="D279" s="527">
        <v>688888</v>
      </c>
      <c r="E279" s="527">
        <v>2979941</v>
      </c>
      <c r="F279" s="527">
        <v>3859211</v>
      </c>
      <c r="G279" s="527">
        <v>6220206</v>
      </c>
      <c r="H279" s="527">
        <v>3792139</v>
      </c>
      <c r="I279" s="527">
        <v>8240293</v>
      </c>
      <c r="J279" s="527">
        <v>4539172</v>
      </c>
      <c r="K279" s="528" t="s">
        <v>690</v>
      </c>
      <c r="L279" s="512"/>
    </row>
    <row r="280" spans="1:12" x14ac:dyDescent="0.35">
      <c r="A280" s="510" t="s">
        <v>852</v>
      </c>
      <c r="B280" s="527">
        <v>545499</v>
      </c>
      <c r="C280" s="527">
        <v>604337</v>
      </c>
      <c r="D280" s="527">
        <v>506535</v>
      </c>
      <c r="E280" s="527">
        <v>2996639</v>
      </c>
      <c r="F280" s="527">
        <v>2630636</v>
      </c>
      <c r="G280" s="527">
        <v>2388523</v>
      </c>
      <c r="H280" s="527">
        <v>2621755</v>
      </c>
      <c r="I280" s="527">
        <v>2894080</v>
      </c>
      <c r="J280" s="527">
        <v>3104476</v>
      </c>
      <c r="K280" s="528" t="s">
        <v>690</v>
      </c>
      <c r="L280" s="512"/>
    </row>
    <row r="281" spans="1:12" x14ac:dyDescent="0.35">
      <c r="A281" s="510" t="s">
        <v>853</v>
      </c>
      <c r="B281" s="527">
        <v>371808</v>
      </c>
      <c r="C281" s="527">
        <v>481361</v>
      </c>
      <c r="D281" s="527">
        <v>580827</v>
      </c>
      <c r="E281" s="527">
        <v>839326</v>
      </c>
      <c r="F281" s="527">
        <v>893401</v>
      </c>
      <c r="G281" s="527">
        <v>908532</v>
      </c>
      <c r="H281" s="527">
        <v>498872</v>
      </c>
      <c r="I281" s="527">
        <v>740713</v>
      </c>
      <c r="J281" s="527">
        <v>477080</v>
      </c>
      <c r="K281" s="528" t="s">
        <v>690</v>
      </c>
      <c r="L281" s="512"/>
    </row>
    <row r="282" spans="1:12" x14ac:dyDescent="0.35">
      <c r="A282" s="510" t="s">
        <v>854</v>
      </c>
      <c r="B282" s="527">
        <v>2352975</v>
      </c>
      <c r="C282" s="527">
        <v>1863372</v>
      </c>
      <c r="D282" s="527">
        <v>1776250</v>
      </c>
      <c r="E282" s="527">
        <v>6815906</v>
      </c>
      <c r="F282" s="527">
        <v>7383248</v>
      </c>
      <c r="G282" s="527">
        <v>9517261</v>
      </c>
      <c r="H282" s="527">
        <v>6912766</v>
      </c>
      <c r="I282" s="527">
        <v>11875087</v>
      </c>
      <c r="J282" s="527">
        <v>8120728</v>
      </c>
      <c r="K282" s="528" t="s">
        <v>690</v>
      </c>
      <c r="L282" s="512"/>
    </row>
    <row r="283" spans="1:12" x14ac:dyDescent="0.35">
      <c r="A283" s="510" t="s">
        <v>856</v>
      </c>
      <c r="B283" s="527">
        <v>206259</v>
      </c>
      <c r="C283" s="527">
        <v>226041</v>
      </c>
      <c r="D283" s="527">
        <v>82171</v>
      </c>
      <c r="E283" s="527">
        <v>142485</v>
      </c>
      <c r="F283" s="527">
        <v>223055</v>
      </c>
      <c r="G283" s="527">
        <v>247781</v>
      </c>
      <c r="H283" s="527">
        <v>271462</v>
      </c>
      <c r="I283" s="527">
        <v>206317</v>
      </c>
      <c r="J283" s="527">
        <v>131370</v>
      </c>
      <c r="K283" s="528" t="s">
        <v>690</v>
      </c>
      <c r="L283" s="512"/>
    </row>
    <row r="284" spans="1:12" x14ac:dyDescent="0.35">
      <c r="A284" s="510" t="s">
        <v>857</v>
      </c>
      <c r="B284" s="527">
        <v>5232453</v>
      </c>
      <c r="C284" s="527">
        <v>6906541</v>
      </c>
      <c r="D284" s="527">
        <v>6948536</v>
      </c>
      <c r="E284" s="527">
        <v>6997352</v>
      </c>
      <c r="F284" s="527">
        <v>6466243</v>
      </c>
      <c r="G284" s="527">
        <v>6560626</v>
      </c>
      <c r="H284" s="527">
        <v>7234234</v>
      </c>
      <c r="I284" s="527">
        <v>7968586</v>
      </c>
      <c r="J284" s="527">
        <v>7677067</v>
      </c>
      <c r="K284" s="528" t="s">
        <v>690</v>
      </c>
      <c r="L284" s="512"/>
    </row>
    <row r="285" spans="1:12" x14ac:dyDescent="0.35">
      <c r="A285" s="510" t="s">
        <v>858</v>
      </c>
      <c r="B285" s="527">
        <v>5438711</v>
      </c>
      <c r="C285" s="527">
        <v>7132582</v>
      </c>
      <c r="D285" s="527">
        <v>7030707</v>
      </c>
      <c r="E285" s="527">
        <v>7139837</v>
      </c>
      <c r="F285" s="527">
        <v>6689298</v>
      </c>
      <c r="G285" s="527">
        <v>6808408</v>
      </c>
      <c r="H285" s="527">
        <v>7505697</v>
      </c>
      <c r="I285" s="527">
        <v>8174903</v>
      </c>
      <c r="J285" s="527">
        <v>7808436</v>
      </c>
      <c r="K285" s="528" t="s">
        <v>690</v>
      </c>
      <c r="L285" s="512"/>
    </row>
    <row r="286" spans="1:12" x14ac:dyDescent="0.35">
      <c r="A286" s="510" t="s">
        <v>859</v>
      </c>
      <c r="B286" s="528" t="s">
        <v>690</v>
      </c>
      <c r="C286" s="527">
        <v>3673</v>
      </c>
      <c r="D286" s="528" t="s">
        <v>690</v>
      </c>
      <c r="E286" s="528" t="s">
        <v>690</v>
      </c>
      <c r="F286" s="527">
        <v>-21665</v>
      </c>
      <c r="G286" s="528" t="s">
        <v>690</v>
      </c>
      <c r="H286" s="528" t="s">
        <v>690</v>
      </c>
      <c r="I286" s="527">
        <v>-1908633</v>
      </c>
      <c r="J286" s="527">
        <v>-992360</v>
      </c>
      <c r="K286" s="528" t="s">
        <v>690</v>
      </c>
      <c r="L286" s="512"/>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3883F-A8F2-426A-BA87-7830D1090B7E}">
  <dimension ref="A1:L281"/>
  <sheetViews>
    <sheetView workbookViewId="0"/>
  </sheetViews>
  <sheetFormatPr defaultColWidth="10.6640625" defaultRowHeight="12.75" x14ac:dyDescent="0.35"/>
  <cols>
    <col min="1" max="1" width="39.1328125" customWidth="1"/>
  </cols>
  <sheetData>
    <row r="1" spans="1:12" x14ac:dyDescent="0.35">
      <c r="A1" s="535"/>
      <c r="B1" s="535"/>
      <c r="C1" s="535"/>
      <c r="D1" s="535"/>
    </row>
    <row r="2" spans="1:12" ht="12.75" customHeight="1" x14ac:dyDescent="0.5">
      <c r="A2" s="521" t="s">
        <v>892</v>
      </c>
      <c r="B2" s="521"/>
      <c r="C2" s="521"/>
      <c r="D2" s="521"/>
      <c r="E2" s="521"/>
      <c r="F2" s="521"/>
      <c r="G2" s="521"/>
      <c r="H2" s="521"/>
      <c r="I2" s="521"/>
      <c r="J2" s="521"/>
      <c r="K2" s="521"/>
      <c r="L2" s="521"/>
    </row>
    <row r="3" spans="1:12" x14ac:dyDescent="0.35">
      <c r="A3" s="509" t="s">
        <v>893</v>
      </c>
    </row>
    <row r="5" spans="1:12" x14ac:dyDescent="0.35">
      <c r="A5" s="509" t="s">
        <v>665</v>
      </c>
      <c r="B5" s="514"/>
    </row>
    <row r="6" spans="1:12" x14ac:dyDescent="0.35">
      <c r="A6" s="509" t="s">
        <v>666</v>
      </c>
      <c r="B6" s="514"/>
    </row>
    <row r="7" spans="1:12" x14ac:dyDescent="0.35">
      <c r="A7" s="509" t="s">
        <v>667</v>
      </c>
      <c r="B7" s="514"/>
    </row>
    <row r="8" spans="1:12" x14ac:dyDescent="0.35">
      <c r="A8" s="509" t="s">
        <v>730</v>
      </c>
      <c r="B8" s="514"/>
    </row>
    <row r="9" spans="1:12" x14ac:dyDescent="0.35">
      <c r="A9" s="509" t="s">
        <v>668</v>
      </c>
      <c r="B9" s="514"/>
    </row>
    <row r="10" spans="1:12" x14ac:dyDescent="0.35">
      <c r="A10" s="509" t="s">
        <v>731</v>
      </c>
      <c r="B10" s="514"/>
    </row>
    <row r="11" spans="1:12" x14ac:dyDescent="0.35">
      <c r="A11" s="509" t="s">
        <v>732</v>
      </c>
      <c r="B11" s="514"/>
    </row>
    <row r="12" spans="1:12" x14ac:dyDescent="0.35">
      <c r="A12" s="534"/>
      <c r="B12" s="534"/>
      <c r="C12" s="534"/>
      <c r="D12" s="534"/>
      <c r="E12" s="534"/>
      <c r="F12" s="534"/>
      <c r="G12" s="534"/>
      <c r="H12" s="534"/>
      <c r="I12" s="534"/>
      <c r="J12" s="534"/>
    </row>
    <row r="13" spans="1:12" x14ac:dyDescent="0.35">
      <c r="A13" s="520" t="s">
        <v>670</v>
      </c>
      <c r="B13" s="519" t="s">
        <v>720</v>
      </c>
      <c r="C13" s="519" t="s">
        <v>671</v>
      </c>
      <c r="D13" s="519" t="s">
        <v>672</v>
      </c>
      <c r="E13" s="519" t="s">
        <v>673</v>
      </c>
      <c r="F13" s="519" t="s">
        <v>674</v>
      </c>
      <c r="G13" s="519" t="s">
        <v>675</v>
      </c>
      <c r="H13" s="519" t="s">
        <v>676</v>
      </c>
      <c r="I13" s="519" t="s">
        <v>677</v>
      </c>
      <c r="J13" s="519" t="s">
        <v>734</v>
      </c>
    </row>
    <row r="14" spans="1:12" ht="25.5" x14ac:dyDescent="0.35">
      <c r="A14" s="509" t="s">
        <v>73</v>
      </c>
      <c r="B14" s="533" t="s">
        <v>735</v>
      </c>
      <c r="C14" s="533" t="s">
        <v>735</v>
      </c>
      <c r="D14" s="533" t="s">
        <v>735</v>
      </c>
      <c r="E14" s="533" t="s">
        <v>735</v>
      </c>
      <c r="F14" s="533" t="s">
        <v>735</v>
      </c>
      <c r="G14" s="533" t="s">
        <v>735</v>
      </c>
      <c r="H14" s="533" t="s">
        <v>735</v>
      </c>
      <c r="I14" s="533" t="s">
        <v>735</v>
      </c>
      <c r="J14" s="533" t="s">
        <v>735</v>
      </c>
    </row>
    <row r="15" spans="1:12" x14ac:dyDescent="0.35">
      <c r="A15" s="509" t="s">
        <v>678</v>
      </c>
      <c r="B15" s="533" t="s">
        <v>737</v>
      </c>
      <c r="C15" s="533" t="s">
        <v>679</v>
      </c>
      <c r="D15" s="533" t="s">
        <v>680</v>
      </c>
      <c r="E15" s="533" t="s">
        <v>681</v>
      </c>
      <c r="F15" s="533" t="s">
        <v>682</v>
      </c>
      <c r="G15" s="533" t="s">
        <v>683</v>
      </c>
      <c r="H15" s="533" t="s">
        <v>684</v>
      </c>
      <c r="I15" s="533" t="s">
        <v>685</v>
      </c>
      <c r="J15" s="533" t="s">
        <v>738</v>
      </c>
    </row>
    <row r="16" spans="1:12" x14ac:dyDescent="0.35">
      <c r="A16" s="509" t="s">
        <v>739</v>
      </c>
      <c r="B16" s="533" t="s">
        <v>894</v>
      </c>
      <c r="C16" s="533" t="s">
        <v>895</v>
      </c>
      <c r="D16" s="533" t="s">
        <v>896</v>
      </c>
      <c r="E16" s="533" t="s">
        <v>897</v>
      </c>
      <c r="F16" s="533" t="s">
        <v>898</v>
      </c>
      <c r="G16" s="533" t="s">
        <v>899</v>
      </c>
      <c r="H16" s="533" t="s">
        <v>900</v>
      </c>
      <c r="I16" s="533" t="s">
        <v>900</v>
      </c>
      <c r="J16" s="533" t="s">
        <v>900</v>
      </c>
    </row>
    <row r="17" spans="1:10" x14ac:dyDescent="0.35">
      <c r="A17" s="509" t="s">
        <v>745</v>
      </c>
      <c r="B17" s="533">
        <v>0.94820000000000004</v>
      </c>
      <c r="C17" s="533">
        <v>0.83279999999999998</v>
      </c>
      <c r="D17" s="533">
        <v>0.87339999999999995</v>
      </c>
      <c r="E17" s="533">
        <v>0.8911</v>
      </c>
      <c r="F17" s="533">
        <v>0.8175</v>
      </c>
      <c r="G17" s="533">
        <v>0.87929999999999997</v>
      </c>
      <c r="H17" s="533">
        <v>0.93569999999999998</v>
      </c>
      <c r="I17" s="533">
        <v>0.90469999999999995</v>
      </c>
      <c r="J17" s="533">
        <v>0.96589999999999998</v>
      </c>
    </row>
    <row r="18" spans="1:10" x14ac:dyDescent="0.35">
      <c r="A18" s="509" t="s">
        <v>746</v>
      </c>
      <c r="B18" s="533">
        <v>0.90425999999999995</v>
      </c>
      <c r="C18" s="533">
        <v>0.88688500000000003</v>
      </c>
      <c r="D18" s="533">
        <v>0.84757199999999999</v>
      </c>
      <c r="E18" s="533">
        <v>0.89333399999999996</v>
      </c>
      <c r="F18" s="533">
        <v>0.87713099999999999</v>
      </c>
      <c r="G18" s="533">
        <v>0.84595600000000004</v>
      </c>
      <c r="H18" s="533">
        <v>0.95131500000000002</v>
      </c>
      <c r="I18" s="533">
        <v>0.92486299999999999</v>
      </c>
      <c r="J18" s="533">
        <v>0.92458499999999999</v>
      </c>
    </row>
    <row r="19" spans="1:10" x14ac:dyDescent="0.35">
      <c r="A19" s="509" t="s">
        <v>73</v>
      </c>
      <c r="B19" s="533"/>
      <c r="C19" s="533"/>
      <c r="D19" s="533"/>
      <c r="E19" s="533"/>
      <c r="F19" s="533"/>
      <c r="G19" s="533"/>
      <c r="H19" s="533"/>
      <c r="I19" s="533"/>
      <c r="J19" s="533"/>
    </row>
    <row r="20" spans="1:10" ht="13.15" x14ac:dyDescent="0.35">
      <c r="A20" s="531">
        <v>0</v>
      </c>
      <c r="B20" s="533"/>
      <c r="C20" s="533"/>
      <c r="D20" s="533"/>
      <c r="E20" s="533"/>
      <c r="F20" s="533"/>
      <c r="G20" s="533"/>
      <c r="H20" s="533"/>
      <c r="I20" s="533"/>
      <c r="J20" s="533"/>
    </row>
    <row r="21" spans="1:10" x14ac:dyDescent="0.35">
      <c r="A21" s="509" t="s">
        <v>96</v>
      </c>
      <c r="B21" s="511">
        <v>98018</v>
      </c>
      <c r="C21" s="511">
        <v>182543</v>
      </c>
      <c r="D21" s="511">
        <v>114480</v>
      </c>
      <c r="E21" s="511">
        <v>53600</v>
      </c>
      <c r="F21" s="511">
        <v>704336</v>
      </c>
      <c r="G21" s="511">
        <v>14952264</v>
      </c>
      <c r="H21" s="511">
        <v>17537485</v>
      </c>
      <c r="I21" s="511">
        <v>6169764</v>
      </c>
      <c r="J21" s="511">
        <v>2874535</v>
      </c>
    </row>
    <row r="22" spans="1:10" x14ac:dyDescent="0.35">
      <c r="A22" s="509" t="s">
        <v>585</v>
      </c>
      <c r="B22" s="533" t="s">
        <v>690</v>
      </c>
      <c r="C22" s="533" t="s">
        <v>690</v>
      </c>
      <c r="D22" s="533" t="s">
        <v>690</v>
      </c>
      <c r="E22" s="533" t="s">
        <v>690</v>
      </c>
      <c r="F22" s="533" t="s">
        <v>690</v>
      </c>
      <c r="G22" s="511">
        <v>673381</v>
      </c>
      <c r="H22" s="511">
        <v>787689</v>
      </c>
      <c r="I22" s="511">
        <v>163701</v>
      </c>
      <c r="J22" s="511">
        <v>117422</v>
      </c>
    </row>
    <row r="23" spans="1:10" x14ac:dyDescent="0.35">
      <c r="A23" s="509" t="s">
        <v>863</v>
      </c>
      <c r="B23" s="511">
        <v>98018</v>
      </c>
      <c r="C23" s="511">
        <v>182543</v>
      </c>
      <c r="D23" s="511">
        <v>114480</v>
      </c>
      <c r="E23" s="511">
        <v>53600</v>
      </c>
      <c r="F23" s="511">
        <v>704336</v>
      </c>
      <c r="G23" s="511">
        <v>15625645</v>
      </c>
      <c r="H23" s="511">
        <v>18325173</v>
      </c>
      <c r="I23" s="511">
        <v>6333465</v>
      </c>
      <c r="J23" s="511">
        <v>2991957</v>
      </c>
    </row>
    <row r="24" spans="1:10" x14ac:dyDescent="0.35">
      <c r="A24" s="509" t="s">
        <v>656</v>
      </c>
      <c r="B24" s="511">
        <v>248416</v>
      </c>
      <c r="C24" s="511">
        <v>364030</v>
      </c>
      <c r="D24" s="511">
        <v>384867</v>
      </c>
      <c r="E24" s="511">
        <v>443094</v>
      </c>
      <c r="F24" s="511">
        <v>1208686</v>
      </c>
      <c r="G24" s="511">
        <v>3898163</v>
      </c>
      <c r="H24" s="511">
        <v>8286902</v>
      </c>
      <c r="I24" s="511">
        <v>8821348</v>
      </c>
      <c r="J24" s="511">
        <v>5553983</v>
      </c>
    </row>
    <row r="25" spans="1:10" x14ac:dyDescent="0.35">
      <c r="A25" s="509" t="s">
        <v>747</v>
      </c>
      <c r="B25" s="511">
        <v>-150397</v>
      </c>
      <c r="C25" s="511">
        <v>-181487</v>
      </c>
      <c r="D25" s="511">
        <v>-270387</v>
      </c>
      <c r="E25" s="511">
        <v>-389494</v>
      </c>
      <c r="F25" s="511">
        <v>-504350</v>
      </c>
      <c r="G25" s="511">
        <v>11727482</v>
      </c>
      <c r="H25" s="511">
        <v>10038272</v>
      </c>
      <c r="I25" s="511">
        <v>-2487883</v>
      </c>
      <c r="J25" s="511">
        <v>-2562025</v>
      </c>
    </row>
    <row r="26" spans="1:10" x14ac:dyDescent="0.35">
      <c r="A26" s="509" t="s">
        <v>73</v>
      </c>
      <c r="B26" s="533"/>
      <c r="C26" s="533"/>
      <c r="D26" s="533"/>
      <c r="E26" s="533"/>
      <c r="F26" s="533"/>
      <c r="G26" s="533"/>
      <c r="H26" s="533"/>
      <c r="I26" s="533"/>
      <c r="J26" s="533"/>
    </row>
    <row r="27" spans="1:10" x14ac:dyDescent="0.35">
      <c r="A27" s="509" t="s">
        <v>586</v>
      </c>
      <c r="B27" s="511">
        <v>51950</v>
      </c>
      <c r="C27" s="511">
        <v>57401</v>
      </c>
      <c r="D27" s="511">
        <v>79885</v>
      </c>
      <c r="E27" s="511">
        <v>98267</v>
      </c>
      <c r="F27" s="511">
        <v>164901</v>
      </c>
      <c r="G27" s="511">
        <v>479657</v>
      </c>
      <c r="H27" s="511">
        <v>1076888</v>
      </c>
      <c r="I27" s="511">
        <v>1432614</v>
      </c>
      <c r="J27" s="511">
        <v>1085463</v>
      </c>
    </row>
    <row r="28" spans="1:10" x14ac:dyDescent="0.35">
      <c r="A28" s="509" t="s">
        <v>748</v>
      </c>
      <c r="B28" s="511">
        <v>51950</v>
      </c>
      <c r="C28" s="511">
        <v>57401</v>
      </c>
      <c r="D28" s="511">
        <v>79885</v>
      </c>
      <c r="E28" s="511">
        <v>98267</v>
      </c>
      <c r="F28" s="511">
        <v>164901</v>
      </c>
      <c r="G28" s="511">
        <v>479657</v>
      </c>
      <c r="H28" s="511">
        <v>1076888</v>
      </c>
      <c r="I28" s="511">
        <v>1432614</v>
      </c>
      <c r="J28" s="511">
        <v>1085463</v>
      </c>
    </row>
    <row r="29" spans="1:10" x14ac:dyDescent="0.35">
      <c r="A29" s="509" t="s">
        <v>864</v>
      </c>
      <c r="B29" s="511">
        <v>-202347</v>
      </c>
      <c r="C29" s="511">
        <v>-238888</v>
      </c>
      <c r="D29" s="511">
        <v>-350273</v>
      </c>
      <c r="E29" s="511">
        <v>-487760</v>
      </c>
      <c r="F29" s="511">
        <v>-669251</v>
      </c>
      <c r="G29" s="511">
        <v>11247825</v>
      </c>
      <c r="H29" s="511">
        <v>8961384</v>
      </c>
      <c r="I29" s="511">
        <v>-3920496</v>
      </c>
      <c r="J29" s="511">
        <v>-3647488</v>
      </c>
    </row>
    <row r="30" spans="1:10" x14ac:dyDescent="0.35">
      <c r="A30" s="509" t="s">
        <v>73</v>
      </c>
      <c r="B30" s="533"/>
      <c r="C30" s="533"/>
      <c r="D30" s="533"/>
      <c r="E30" s="533"/>
      <c r="F30" s="533"/>
      <c r="G30" s="533"/>
      <c r="H30" s="533"/>
      <c r="I30" s="533"/>
      <c r="J30" s="533"/>
    </row>
    <row r="31" spans="1:10" x14ac:dyDescent="0.35">
      <c r="A31" s="509" t="s">
        <v>408</v>
      </c>
      <c r="B31" s="533">
        <v>-126</v>
      </c>
      <c r="C31" s="533">
        <v>-117</v>
      </c>
      <c r="D31" s="511">
        <v>-2624</v>
      </c>
      <c r="E31" s="533" t="s">
        <v>690</v>
      </c>
      <c r="F31" s="511">
        <v>-8771</v>
      </c>
      <c r="G31" s="511">
        <v>-14381</v>
      </c>
      <c r="H31" s="511">
        <v>-27588</v>
      </c>
      <c r="I31" s="511">
        <v>-35145</v>
      </c>
      <c r="J31" s="511">
        <v>-22190</v>
      </c>
    </row>
    <row r="32" spans="1:10" x14ac:dyDescent="0.35">
      <c r="A32" s="509" t="s">
        <v>558</v>
      </c>
      <c r="B32" s="511">
        <v>10229</v>
      </c>
      <c r="C32" s="511">
        <v>13512</v>
      </c>
      <c r="D32" s="511">
        <v>22904</v>
      </c>
      <c r="E32" s="511">
        <v>34840</v>
      </c>
      <c r="F32" s="511">
        <v>21928</v>
      </c>
      <c r="G32" s="511">
        <v>15227</v>
      </c>
      <c r="H32" s="511">
        <v>190263</v>
      </c>
      <c r="I32" s="511">
        <v>389368</v>
      </c>
      <c r="J32" s="511">
        <v>392949</v>
      </c>
    </row>
    <row r="33" spans="1:10" x14ac:dyDescent="0.35">
      <c r="A33" s="509" t="s">
        <v>750</v>
      </c>
      <c r="B33" s="511">
        <v>10103</v>
      </c>
      <c r="C33" s="511">
        <v>13395</v>
      </c>
      <c r="D33" s="511">
        <v>20280</v>
      </c>
      <c r="E33" s="511">
        <v>34840</v>
      </c>
      <c r="F33" s="511">
        <v>13157</v>
      </c>
      <c r="G33" s="533">
        <v>846</v>
      </c>
      <c r="H33" s="511">
        <v>162675</v>
      </c>
      <c r="I33" s="511">
        <v>354223</v>
      </c>
      <c r="J33" s="511">
        <v>370759</v>
      </c>
    </row>
    <row r="34" spans="1:10" x14ac:dyDescent="0.35">
      <c r="A34" s="509" t="s">
        <v>634</v>
      </c>
      <c r="B34" s="533">
        <v>-155</v>
      </c>
      <c r="C34" s="533">
        <v>-584</v>
      </c>
      <c r="D34" s="511">
        <v>-1025</v>
      </c>
      <c r="E34" s="511">
        <v>-7147</v>
      </c>
      <c r="F34" s="511">
        <v>3509</v>
      </c>
      <c r="G34" s="511">
        <v>-10151</v>
      </c>
      <c r="H34" s="511">
        <v>-15221</v>
      </c>
      <c r="I34" s="511">
        <v>-12948</v>
      </c>
      <c r="J34" s="511">
        <v>-6472</v>
      </c>
    </row>
    <row r="35" spans="1:10" x14ac:dyDescent="0.35">
      <c r="A35" s="509" t="s">
        <v>865</v>
      </c>
      <c r="B35" s="511">
        <v>-192399</v>
      </c>
      <c r="C35" s="511">
        <v>-226077</v>
      </c>
      <c r="D35" s="511">
        <v>-331018</v>
      </c>
      <c r="E35" s="511">
        <v>-460067</v>
      </c>
      <c r="F35" s="511">
        <v>-652585</v>
      </c>
      <c r="G35" s="511">
        <v>11238520</v>
      </c>
      <c r="H35" s="511">
        <v>9108837</v>
      </c>
      <c r="I35" s="511">
        <v>-3579222</v>
      </c>
      <c r="J35" s="511">
        <v>-3283202</v>
      </c>
    </row>
    <row r="36" spans="1:10" x14ac:dyDescent="0.35">
      <c r="A36" s="509" t="s">
        <v>637</v>
      </c>
      <c r="B36" s="511">
        <v>-2169</v>
      </c>
      <c r="C36" s="533">
        <v>-962</v>
      </c>
      <c r="D36" s="533">
        <v>26</v>
      </c>
      <c r="E36" s="533" t="s">
        <v>690</v>
      </c>
      <c r="F36" s="533" t="s">
        <v>690</v>
      </c>
      <c r="G36" s="533" t="s">
        <v>690</v>
      </c>
      <c r="H36" s="533" t="s">
        <v>690</v>
      </c>
      <c r="I36" s="511">
        <v>-66590</v>
      </c>
      <c r="J36" s="511">
        <v>-51777</v>
      </c>
    </row>
    <row r="37" spans="1:10" x14ac:dyDescent="0.35">
      <c r="A37" s="509" t="s">
        <v>638</v>
      </c>
      <c r="B37" s="533" t="s">
        <v>690</v>
      </c>
      <c r="C37" s="533" t="s">
        <v>690</v>
      </c>
      <c r="D37" s="533">
        <v>-755</v>
      </c>
      <c r="E37" s="533" t="s">
        <v>690</v>
      </c>
      <c r="F37" s="533" t="s">
        <v>690</v>
      </c>
      <c r="G37" s="533" t="s">
        <v>690</v>
      </c>
      <c r="H37" s="533" t="s">
        <v>690</v>
      </c>
      <c r="I37" s="533" t="s">
        <v>690</v>
      </c>
      <c r="J37" s="533" t="s">
        <v>690</v>
      </c>
    </row>
    <row r="38" spans="1:10" x14ac:dyDescent="0.35">
      <c r="A38" s="509" t="s">
        <v>641</v>
      </c>
      <c r="B38" s="533" t="s">
        <v>690</v>
      </c>
      <c r="C38" s="533" t="s">
        <v>690</v>
      </c>
      <c r="D38" s="511">
        <v>5933</v>
      </c>
      <c r="E38" s="533" t="s">
        <v>690</v>
      </c>
      <c r="F38" s="533" t="s">
        <v>690</v>
      </c>
      <c r="G38" s="533" t="s">
        <v>690</v>
      </c>
      <c r="H38" s="533" t="s">
        <v>690</v>
      </c>
      <c r="I38" s="533" t="s">
        <v>690</v>
      </c>
      <c r="J38" s="533" t="s">
        <v>690</v>
      </c>
    </row>
    <row r="39" spans="1:10" x14ac:dyDescent="0.35">
      <c r="A39" s="509" t="s">
        <v>866</v>
      </c>
      <c r="B39" s="511">
        <v>-194568</v>
      </c>
      <c r="C39" s="511">
        <v>-227039</v>
      </c>
      <c r="D39" s="511">
        <v>-325814</v>
      </c>
      <c r="E39" s="511">
        <v>-460067</v>
      </c>
      <c r="F39" s="511">
        <v>-652585</v>
      </c>
      <c r="G39" s="511">
        <v>11238520</v>
      </c>
      <c r="H39" s="511">
        <v>9108837</v>
      </c>
      <c r="I39" s="511">
        <v>-3645812</v>
      </c>
      <c r="J39" s="511">
        <v>-3334979</v>
      </c>
    </row>
    <row r="40" spans="1:10" s="522" customFormat="1" ht="13.15" x14ac:dyDescent="0.4">
      <c r="A40" s="517" t="s">
        <v>866</v>
      </c>
      <c r="B40" s="529">
        <f t="shared" ref="B40:J40" si="0">SUM(B29,B33,B34,B36:B38)</f>
        <v>-194568</v>
      </c>
      <c r="C40" s="529">
        <f t="shared" si="0"/>
        <v>-227039</v>
      </c>
      <c r="D40" s="529">
        <f t="shared" si="0"/>
        <v>-325814</v>
      </c>
      <c r="E40" s="529">
        <f t="shared" si="0"/>
        <v>-460067</v>
      </c>
      <c r="F40" s="529">
        <f t="shared" si="0"/>
        <v>-652585</v>
      </c>
      <c r="G40" s="529">
        <f t="shared" si="0"/>
        <v>11238520</v>
      </c>
      <c r="H40" s="529">
        <f t="shared" si="0"/>
        <v>9108838</v>
      </c>
      <c r="I40" s="529">
        <f t="shared" si="0"/>
        <v>-3645811</v>
      </c>
      <c r="J40" s="529">
        <f t="shared" si="0"/>
        <v>-3334978</v>
      </c>
    </row>
    <row r="41" spans="1:10" x14ac:dyDescent="0.35">
      <c r="A41" s="509"/>
      <c r="B41" s="511"/>
      <c r="C41" s="511"/>
      <c r="D41" s="511"/>
      <c r="E41" s="511"/>
      <c r="F41" s="511"/>
      <c r="G41" s="511"/>
      <c r="H41" s="511"/>
      <c r="I41" s="511"/>
      <c r="J41" s="511"/>
    </row>
    <row r="42" spans="1:10" x14ac:dyDescent="0.35">
      <c r="A42" s="509" t="s">
        <v>73</v>
      </c>
      <c r="B42" s="533"/>
      <c r="C42" s="533"/>
      <c r="D42" s="533"/>
      <c r="E42" s="533"/>
      <c r="F42" s="533"/>
      <c r="G42" s="533"/>
      <c r="H42" s="533"/>
      <c r="I42" s="533"/>
      <c r="J42" s="533"/>
    </row>
    <row r="43" spans="1:10" x14ac:dyDescent="0.35">
      <c r="A43" s="509" t="s">
        <v>559</v>
      </c>
      <c r="B43" s="533">
        <v>943</v>
      </c>
      <c r="C43" s="533">
        <v>-71</v>
      </c>
      <c r="D43" s="533">
        <v>276</v>
      </c>
      <c r="E43" s="533">
        <v>-893</v>
      </c>
      <c r="F43" s="511">
        <v>2631</v>
      </c>
      <c r="G43" s="511">
        <v>916170</v>
      </c>
      <c r="H43" s="511">
        <v>1153945</v>
      </c>
      <c r="I43" s="511">
        <v>713995</v>
      </c>
      <c r="J43" s="511">
        <v>-42531</v>
      </c>
    </row>
    <row r="44" spans="1:10" x14ac:dyDescent="0.35">
      <c r="A44" s="509" t="s">
        <v>753</v>
      </c>
      <c r="B44" s="511">
        <v>-195511</v>
      </c>
      <c r="C44" s="511">
        <v>-226968</v>
      </c>
      <c r="D44" s="511">
        <v>-326090</v>
      </c>
      <c r="E44" s="511">
        <v>-459174</v>
      </c>
      <c r="F44" s="511">
        <v>-655217</v>
      </c>
      <c r="G44" s="511">
        <v>10322350</v>
      </c>
      <c r="H44" s="511">
        <v>7954893</v>
      </c>
      <c r="I44" s="511">
        <v>-4359806</v>
      </c>
      <c r="J44" s="511">
        <v>-3292448</v>
      </c>
    </row>
    <row r="45" spans="1:10" s="522" customFormat="1" ht="13.15" x14ac:dyDescent="0.4">
      <c r="A45" s="517" t="s">
        <v>754</v>
      </c>
      <c r="B45" s="529">
        <v>-195511</v>
      </c>
      <c r="C45" s="529">
        <v>-226968</v>
      </c>
      <c r="D45" s="529">
        <v>-326090</v>
      </c>
      <c r="E45" s="529">
        <v>-459174</v>
      </c>
      <c r="F45" s="536">
        <v>-655217</v>
      </c>
      <c r="G45" s="529">
        <v>10322350</v>
      </c>
      <c r="H45" s="529">
        <v>7954893</v>
      </c>
      <c r="I45" s="529">
        <v>-4359806</v>
      </c>
      <c r="J45" s="529">
        <v>-3292448</v>
      </c>
    </row>
    <row r="46" spans="1:10" x14ac:dyDescent="0.35">
      <c r="A46" s="509" t="s">
        <v>867</v>
      </c>
      <c r="B46" s="511">
        <v>-195511</v>
      </c>
      <c r="C46" s="511">
        <v>-226968</v>
      </c>
      <c r="D46" s="511">
        <v>-326090</v>
      </c>
      <c r="E46" s="511">
        <v>-459174</v>
      </c>
      <c r="F46" s="511">
        <v>-655217</v>
      </c>
      <c r="G46" s="511">
        <v>10322350</v>
      </c>
      <c r="H46" s="511">
        <v>7954893</v>
      </c>
      <c r="I46" s="511">
        <v>-4359806</v>
      </c>
      <c r="J46" s="511">
        <v>-3292448</v>
      </c>
    </row>
    <row r="47" spans="1:10" x14ac:dyDescent="0.35">
      <c r="A47" s="509" t="s">
        <v>901</v>
      </c>
      <c r="B47" s="511">
        <v>12753</v>
      </c>
      <c r="C47" s="511">
        <v>12350</v>
      </c>
      <c r="D47" s="511">
        <v>14513</v>
      </c>
      <c r="E47" s="533" t="s">
        <v>690</v>
      </c>
      <c r="F47" s="533" t="s">
        <v>690</v>
      </c>
      <c r="G47" s="533" t="s">
        <v>690</v>
      </c>
      <c r="H47" s="533" t="s">
        <v>690</v>
      </c>
      <c r="I47" s="533" t="s">
        <v>690</v>
      </c>
      <c r="J47" s="533" t="s">
        <v>690</v>
      </c>
    </row>
    <row r="48" spans="1:10" x14ac:dyDescent="0.35">
      <c r="A48" s="509" t="s">
        <v>755</v>
      </c>
      <c r="B48" s="511">
        <v>-208264</v>
      </c>
      <c r="C48" s="511">
        <v>-239318</v>
      </c>
      <c r="D48" s="511">
        <v>-340603</v>
      </c>
      <c r="E48" s="511">
        <v>-459174</v>
      </c>
      <c r="F48" s="511">
        <v>-655217</v>
      </c>
      <c r="G48" s="511">
        <v>10322350</v>
      </c>
      <c r="H48" s="511">
        <v>7954893</v>
      </c>
      <c r="I48" s="511">
        <v>-4359806</v>
      </c>
      <c r="J48" s="511">
        <v>-3292448</v>
      </c>
    </row>
    <row r="49" spans="1:10" x14ac:dyDescent="0.35">
      <c r="A49" s="509" t="s">
        <v>756</v>
      </c>
      <c r="B49" s="511">
        <v>-208264</v>
      </c>
      <c r="C49" s="511">
        <v>-239318</v>
      </c>
      <c r="D49" s="511">
        <v>-340603</v>
      </c>
      <c r="E49" s="511">
        <v>-459174</v>
      </c>
      <c r="F49" s="511">
        <v>-655217</v>
      </c>
      <c r="G49" s="511">
        <v>10322350</v>
      </c>
      <c r="H49" s="511">
        <v>7954893</v>
      </c>
      <c r="I49" s="511">
        <v>-4359806</v>
      </c>
      <c r="J49" s="511">
        <v>-3292448</v>
      </c>
    </row>
    <row r="50" spans="1:10" ht="13.15" x14ac:dyDescent="0.35">
      <c r="A50" s="517" t="s">
        <v>757</v>
      </c>
      <c r="B50" s="533"/>
      <c r="C50" s="533"/>
      <c r="D50" s="533"/>
      <c r="E50" s="533"/>
      <c r="F50" s="533"/>
      <c r="G50" s="533"/>
      <c r="H50" s="533"/>
      <c r="I50" s="533"/>
      <c r="J50" s="533"/>
    </row>
    <row r="51" spans="1:10" x14ac:dyDescent="0.35">
      <c r="A51" s="509" t="s">
        <v>758</v>
      </c>
      <c r="B51" s="533">
        <v>-3.43</v>
      </c>
      <c r="C51" s="533">
        <v>-3.71</v>
      </c>
      <c r="D51" s="533">
        <v>-4.2</v>
      </c>
      <c r="E51" s="533">
        <v>-1.39</v>
      </c>
      <c r="F51" s="533">
        <v>-1.72</v>
      </c>
      <c r="G51" s="533">
        <v>25.61</v>
      </c>
      <c r="H51" s="533">
        <v>20.190000000000001</v>
      </c>
      <c r="I51" s="533">
        <v>-11.41</v>
      </c>
      <c r="J51" s="533">
        <v>-8.57</v>
      </c>
    </row>
    <row r="52" spans="1:10" x14ac:dyDescent="0.35">
      <c r="A52" s="509" t="s">
        <v>759</v>
      </c>
      <c r="B52" s="533">
        <v>-3.43</v>
      </c>
      <c r="C52" s="533">
        <v>-3.71</v>
      </c>
      <c r="D52" s="533">
        <v>-4.2</v>
      </c>
      <c r="E52" s="533">
        <v>-1.39</v>
      </c>
      <c r="F52" s="533">
        <v>-1.72</v>
      </c>
      <c r="G52" s="533">
        <v>25.61</v>
      </c>
      <c r="H52" s="533">
        <v>20.190000000000001</v>
      </c>
      <c r="I52" s="533">
        <v>-11.41</v>
      </c>
      <c r="J52" s="533">
        <v>-8.57</v>
      </c>
    </row>
    <row r="53" spans="1:10" x14ac:dyDescent="0.35">
      <c r="A53" s="509" t="s">
        <v>760</v>
      </c>
      <c r="B53" s="511">
        <v>60747426</v>
      </c>
      <c r="C53" s="511">
        <v>64497544</v>
      </c>
      <c r="D53" s="511">
        <v>81114183</v>
      </c>
      <c r="E53" s="511">
        <v>331000000</v>
      </c>
      <c r="F53" s="511">
        <v>381000000</v>
      </c>
      <c r="G53" s="511">
        <v>403000000</v>
      </c>
      <c r="H53" s="511">
        <v>394000000</v>
      </c>
      <c r="I53" s="511">
        <v>382000000</v>
      </c>
      <c r="J53" s="511">
        <v>384000000</v>
      </c>
    </row>
    <row r="54" spans="1:10" x14ac:dyDescent="0.35">
      <c r="A54" s="509" t="s">
        <v>761</v>
      </c>
      <c r="B54" s="533">
        <v>-3.43</v>
      </c>
      <c r="C54" s="533">
        <v>-3.71</v>
      </c>
      <c r="D54" s="533">
        <v>-4.2</v>
      </c>
      <c r="E54" s="533">
        <v>-1.39</v>
      </c>
      <c r="F54" s="533">
        <v>-1.72</v>
      </c>
      <c r="G54" s="533">
        <v>23.93</v>
      </c>
      <c r="H54" s="533">
        <v>19.14</v>
      </c>
      <c r="I54" s="533">
        <v>-11.41</v>
      </c>
      <c r="J54" s="533">
        <v>-8.58</v>
      </c>
    </row>
    <row r="55" spans="1:10" x14ac:dyDescent="0.35">
      <c r="A55" s="509" t="s">
        <v>762</v>
      </c>
      <c r="B55" s="533">
        <v>-3.43</v>
      </c>
      <c r="C55" s="533">
        <v>-3.71</v>
      </c>
      <c r="D55" s="533">
        <v>-4.2</v>
      </c>
      <c r="E55" s="533">
        <v>-1.39</v>
      </c>
      <c r="F55" s="533">
        <v>-1.72</v>
      </c>
      <c r="G55" s="533">
        <v>23.93</v>
      </c>
      <c r="H55" s="533">
        <v>19.14</v>
      </c>
      <c r="I55" s="533">
        <v>-11.41</v>
      </c>
      <c r="J55" s="533">
        <v>-8.58</v>
      </c>
    </row>
    <row r="56" spans="1:10" x14ac:dyDescent="0.35">
      <c r="A56" s="509" t="s">
        <v>763</v>
      </c>
      <c r="B56" s="511">
        <v>60747426</v>
      </c>
      <c r="C56" s="511">
        <v>64497544</v>
      </c>
      <c r="D56" s="511">
        <v>81114183</v>
      </c>
      <c r="E56" s="511">
        <v>331000000</v>
      </c>
      <c r="F56" s="511">
        <v>381000000</v>
      </c>
      <c r="G56" s="511">
        <v>431000000</v>
      </c>
      <c r="H56" s="511">
        <v>416000000</v>
      </c>
      <c r="I56" s="511">
        <v>382000000</v>
      </c>
      <c r="J56" s="511">
        <v>384000000</v>
      </c>
    </row>
    <row r="57" spans="1:10" x14ac:dyDescent="0.35">
      <c r="A57" s="509" t="s">
        <v>764</v>
      </c>
      <c r="B57" s="533">
        <v>-1.98</v>
      </c>
      <c r="C57" s="533">
        <v>-2.19</v>
      </c>
      <c r="D57" s="533">
        <v>-2.5499999999999998</v>
      </c>
      <c r="E57" s="533">
        <v>-0.87</v>
      </c>
      <c r="F57" s="533">
        <v>-1.07</v>
      </c>
      <c r="G57" s="533">
        <v>17.43</v>
      </c>
      <c r="H57" s="533">
        <v>14.45</v>
      </c>
      <c r="I57" s="533">
        <v>-5.86</v>
      </c>
      <c r="J57" s="533">
        <v>-5.34</v>
      </c>
    </row>
    <row r="58" spans="1:10" x14ac:dyDescent="0.35">
      <c r="A58" s="509" t="s">
        <v>765</v>
      </c>
      <c r="B58" s="533">
        <v>-1.98</v>
      </c>
      <c r="C58" s="533">
        <v>-2.19</v>
      </c>
      <c r="D58" s="533">
        <v>-2.5499999999999998</v>
      </c>
      <c r="E58" s="533">
        <v>-0.87</v>
      </c>
      <c r="F58" s="533">
        <v>-1.07</v>
      </c>
      <c r="G58" s="533">
        <v>16.3</v>
      </c>
      <c r="H58" s="533">
        <v>13.69</v>
      </c>
      <c r="I58" s="533">
        <v>-5.86</v>
      </c>
      <c r="J58" s="533">
        <v>-5.34</v>
      </c>
    </row>
    <row r="59" spans="1:10" x14ac:dyDescent="0.35">
      <c r="A59" s="509" t="s">
        <v>767</v>
      </c>
      <c r="B59" s="533" t="s">
        <v>768</v>
      </c>
      <c r="C59" s="533" t="s">
        <v>768</v>
      </c>
      <c r="D59" s="533" t="s">
        <v>690</v>
      </c>
      <c r="E59" s="533" t="s">
        <v>690</v>
      </c>
      <c r="F59" s="533" t="s">
        <v>690</v>
      </c>
      <c r="G59" s="533" t="s">
        <v>690</v>
      </c>
      <c r="H59" s="533" t="s">
        <v>690</v>
      </c>
      <c r="I59" s="533" t="s">
        <v>690</v>
      </c>
      <c r="J59" s="533" t="s">
        <v>690</v>
      </c>
    </row>
    <row r="60" spans="1:10" x14ac:dyDescent="0.35">
      <c r="A60" s="509" t="s">
        <v>769</v>
      </c>
      <c r="B60" s="533">
        <v>0</v>
      </c>
      <c r="C60" s="533">
        <v>0</v>
      </c>
      <c r="D60" s="533">
        <v>0</v>
      </c>
      <c r="E60" s="533">
        <v>0</v>
      </c>
      <c r="F60" s="533">
        <v>0</v>
      </c>
      <c r="G60" s="533">
        <v>0</v>
      </c>
      <c r="H60" s="533">
        <v>0</v>
      </c>
      <c r="I60" s="533">
        <v>0</v>
      </c>
      <c r="J60" s="533">
        <v>0</v>
      </c>
    </row>
    <row r="61" spans="1:10" ht="13.15" x14ac:dyDescent="0.35">
      <c r="A61" s="517" t="s">
        <v>770</v>
      </c>
      <c r="B61" s="533"/>
      <c r="C61" s="533"/>
      <c r="D61" s="533"/>
      <c r="E61" s="533"/>
      <c r="F61" s="533"/>
      <c r="G61" s="533"/>
      <c r="H61" s="533"/>
      <c r="I61" s="533"/>
      <c r="J61" s="533"/>
    </row>
    <row r="62" spans="1:10" x14ac:dyDescent="0.35">
      <c r="A62" s="509" t="s">
        <v>771</v>
      </c>
      <c r="B62" s="511">
        <v>-188680</v>
      </c>
      <c r="C62" s="511">
        <v>-220674</v>
      </c>
      <c r="D62" s="511">
        <v>-329201</v>
      </c>
      <c r="E62" s="511">
        <v>-460067</v>
      </c>
      <c r="F62" s="511">
        <v>-642060</v>
      </c>
      <c r="G62" s="511">
        <v>11444087</v>
      </c>
      <c r="H62" s="511">
        <v>9292441</v>
      </c>
      <c r="I62" s="511">
        <v>-3346156</v>
      </c>
      <c r="J62" s="511">
        <v>-3472742</v>
      </c>
    </row>
    <row r="63" spans="1:10" x14ac:dyDescent="0.35">
      <c r="A63" s="509" t="s">
        <v>772</v>
      </c>
      <c r="B63" s="511">
        <v>-202347</v>
      </c>
      <c r="C63" s="511">
        <v>-238888</v>
      </c>
      <c r="D63" s="511">
        <v>-350273</v>
      </c>
      <c r="E63" s="511">
        <v>-487760</v>
      </c>
      <c r="F63" s="511">
        <v>-669251</v>
      </c>
      <c r="G63" s="511">
        <v>11247825</v>
      </c>
      <c r="H63" s="511">
        <v>8961384</v>
      </c>
      <c r="I63" s="511">
        <v>-3920496</v>
      </c>
      <c r="J63" s="511">
        <v>-3647488</v>
      </c>
    </row>
    <row r="64" spans="1:10" x14ac:dyDescent="0.35">
      <c r="A64" s="509" t="s">
        <v>58</v>
      </c>
      <c r="B64" s="511">
        <v>-202347</v>
      </c>
      <c r="C64" s="511">
        <v>-238888</v>
      </c>
      <c r="D64" s="511">
        <v>-350273</v>
      </c>
      <c r="E64" s="511">
        <v>-487760</v>
      </c>
      <c r="F64" s="511">
        <v>-669251</v>
      </c>
      <c r="G64" s="511">
        <v>11247825</v>
      </c>
      <c r="H64" s="511">
        <v>8961384</v>
      </c>
      <c r="I64" s="511">
        <v>-3920496</v>
      </c>
      <c r="J64" s="511">
        <v>-3647488</v>
      </c>
    </row>
    <row r="65" spans="1:10" x14ac:dyDescent="0.35">
      <c r="A65" s="509" t="s">
        <v>773</v>
      </c>
      <c r="B65" s="511">
        <v>-176292</v>
      </c>
      <c r="C65" s="511">
        <v>-204178</v>
      </c>
      <c r="D65" s="511">
        <v>-313012</v>
      </c>
      <c r="E65" s="533" t="s">
        <v>690</v>
      </c>
      <c r="F65" s="511">
        <v>-611360</v>
      </c>
      <c r="G65" s="511">
        <v>11590437</v>
      </c>
      <c r="H65" s="511">
        <v>9495071</v>
      </c>
      <c r="I65" s="511">
        <v>-3158409</v>
      </c>
      <c r="J65" s="511">
        <v>-3326657</v>
      </c>
    </row>
    <row r="66" spans="1:10" x14ac:dyDescent="0.35">
      <c r="A66" s="509" t="s">
        <v>774</v>
      </c>
      <c r="B66" s="511">
        <v>98018</v>
      </c>
      <c r="C66" s="511">
        <v>182543</v>
      </c>
      <c r="D66" s="511">
        <v>114480</v>
      </c>
      <c r="E66" s="511">
        <v>53600</v>
      </c>
      <c r="F66" s="511">
        <v>704336</v>
      </c>
      <c r="G66" s="511">
        <v>15625645</v>
      </c>
      <c r="H66" s="511">
        <v>18325173</v>
      </c>
      <c r="I66" s="511">
        <v>6333465</v>
      </c>
      <c r="J66" s="511">
        <v>2991957</v>
      </c>
    </row>
    <row r="67" spans="1:10" x14ac:dyDescent="0.35">
      <c r="A67" s="509" t="s">
        <v>775</v>
      </c>
      <c r="B67" s="533" t="s">
        <v>768</v>
      </c>
      <c r="C67" s="533">
        <v>0.03</v>
      </c>
      <c r="D67" s="533" t="s">
        <v>768</v>
      </c>
      <c r="E67" s="533">
        <v>0.19</v>
      </c>
      <c r="F67" s="533" t="s">
        <v>768</v>
      </c>
      <c r="G67" s="533">
        <v>8.15</v>
      </c>
      <c r="H67" s="533">
        <v>12.67</v>
      </c>
      <c r="I67" s="533" t="s">
        <v>768</v>
      </c>
      <c r="J67" s="533">
        <v>1.28</v>
      </c>
    </row>
    <row r="68" spans="1:10" x14ac:dyDescent="0.35">
      <c r="A68" s="509" t="s">
        <v>902</v>
      </c>
      <c r="B68" s="533">
        <v>683</v>
      </c>
      <c r="C68" s="533">
        <v>-71</v>
      </c>
      <c r="D68" s="533">
        <v>276</v>
      </c>
      <c r="E68" s="533" t="s">
        <v>690</v>
      </c>
      <c r="F68" s="533" t="s">
        <v>690</v>
      </c>
      <c r="G68" s="511">
        <v>1132734</v>
      </c>
      <c r="H68" s="511">
        <v>1649580</v>
      </c>
      <c r="I68" s="511">
        <v>-141504</v>
      </c>
      <c r="J68" s="511">
        <v>-53626</v>
      </c>
    </row>
    <row r="69" spans="1:10" x14ac:dyDescent="0.35">
      <c r="A69" s="509" t="s">
        <v>903</v>
      </c>
      <c r="B69" s="533" t="s">
        <v>690</v>
      </c>
      <c r="C69" s="533" t="s">
        <v>690</v>
      </c>
      <c r="D69" s="533" t="s">
        <v>690</v>
      </c>
      <c r="E69" s="533" t="s">
        <v>690</v>
      </c>
      <c r="F69" s="511">
        <v>2631</v>
      </c>
      <c r="G69" s="511">
        <v>33838</v>
      </c>
      <c r="H69" s="511">
        <v>54225</v>
      </c>
      <c r="I69" s="511">
        <v>22197</v>
      </c>
      <c r="J69" s="511">
        <v>12020</v>
      </c>
    </row>
    <row r="70" spans="1:10" x14ac:dyDescent="0.35">
      <c r="A70" s="509" t="s">
        <v>776</v>
      </c>
      <c r="B70" s="533">
        <v>683</v>
      </c>
      <c r="C70" s="533">
        <v>-71</v>
      </c>
      <c r="D70" s="533">
        <v>276</v>
      </c>
      <c r="E70" s="533" t="s">
        <v>690</v>
      </c>
      <c r="F70" s="511">
        <v>2631</v>
      </c>
      <c r="G70" s="511">
        <v>1166573</v>
      </c>
      <c r="H70" s="511">
        <v>1703804</v>
      </c>
      <c r="I70" s="511">
        <v>-119307</v>
      </c>
      <c r="J70" s="511">
        <v>-41606</v>
      </c>
    </row>
    <row r="71" spans="1:10" x14ac:dyDescent="0.35">
      <c r="A71" s="509" t="s">
        <v>904</v>
      </c>
      <c r="B71" s="533">
        <v>260</v>
      </c>
      <c r="C71" s="533" t="s">
        <v>690</v>
      </c>
      <c r="D71" s="533" t="s">
        <v>690</v>
      </c>
      <c r="E71" s="533">
        <v>-893</v>
      </c>
      <c r="F71" s="533" t="s">
        <v>690</v>
      </c>
      <c r="G71" s="511">
        <v>-248711</v>
      </c>
      <c r="H71" s="511">
        <v>-547957</v>
      </c>
      <c r="I71" s="511">
        <v>828678</v>
      </c>
      <c r="J71" s="533" t="s">
        <v>690</v>
      </c>
    </row>
    <row r="72" spans="1:10" x14ac:dyDescent="0.35">
      <c r="A72" s="509" t="s">
        <v>905</v>
      </c>
      <c r="B72" s="533" t="s">
        <v>690</v>
      </c>
      <c r="C72" s="533" t="s">
        <v>690</v>
      </c>
      <c r="D72" s="533" t="s">
        <v>690</v>
      </c>
      <c r="E72" s="533" t="s">
        <v>690</v>
      </c>
      <c r="F72" s="533" t="s">
        <v>690</v>
      </c>
      <c r="G72" s="511">
        <v>-1692</v>
      </c>
      <c r="H72" s="511">
        <v>-1903</v>
      </c>
      <c r="I72" s="511">
        <v>4624</v>
      </c>
      <c r="J72" s="533">
        <v>-925</v>
      </c>
    </row>
    <row r="73" spans="1:10" x14ac:dyDescent="0.35">
      <c r="A73" s="509" t="s">
        <v>777</v>
      </c>
      <c r="B73" s="533">
        <v>260</v>
      </c>
      <c r="C73" s="533" t="s">
        <v>690</v>
      </c>
      <c r="D73" s="533" t="s">
        <v>690</v>
      </c>
      <c r="E73" s="533">
        <v>-893</v>
      </c>
      <c r="F73" s="533" t="s">
        <v>690</v>
      </c>
      <c r="G73" s="511">
        <v>-250403</v>
      </c>
      <c r="H73" s="511">
        <v>-549860</v>
      </c>
      <c r="I73" s="511">
        <v>833302</v>
      </c>
      <c r="J73" s="533">
        <v>-925</v>
      </c>
    </row>
    <row r="74" spans="1:10" x14ac:dyDescent="0.35">
      <c r="A74" s="509" t="s">
        <v>778</v>
      </c>
      <c r="B74" s="511">
        <v>-120249</v>
      </c>
      <c r="C74" s="511">
        <v>-141298</v>
      </c>
      <c r="D74" s="511">
        <v>-206886</v>
      </c>
      <c r="E74" s="511">
        <v>-287542</v>
      </c>
      <c r="F74" s="511">
        <v>-407866</v>
      </c>
      <c r="G74" s="511">
        <v>7024075</v>
      </c>
      <c r="H74" s="511">
        <v>5693023</v>
      </c>
      <c r="I74" s="511">
        <v>-2237013</v>
      </c>
      <c r="J74" s="511">
        <v>-2052001</v>
      </c>
    </row>
    <row r="75" spans="1:10" x14ac:dyDescent="0.35">
      <c r="A75" s="509" t="s">
        <v>779</v>
      </c>
      <c r="B75" s="533" t="s">
        <v>690</v>
      </c>
      <c r="C75" s="533" t="s">
        <v>690</v>
      </c>
      <c r="D75" s="533" t="s">
        <v>690</v>
      </c>
      <c r="E75" s="533" t="s">
        <v>690</v>
      </c>
      <c r="F75" s="511">
        <v>8771</v>
      </c>
      <c r="G75" s="511">
        <v>14381</v>
      </c>
      <c r="H75" s="511">
        <v>27588</v>
      </c>
      <c r="I75" s="511">
        <v>35145</v>
      </c>
      <c r="J75" s="511">
        <v>22190</v>
      </c>
    </row>
    <row r="76" spans="1:10" ht="13.15" x14ac:dyDescent="0.35">
      <c r="A76" s="517" t="s">
        <v>781</v>
      </c>
      <c r="B76" s="533"/>
      <c r="C76" s="533"/>
      <c r="D76" s="533"/>
      <c r="E76" s="533"/>
      <c r="F76" s="533"/>
      <c r="G76" s="533"/>
      <c r="H76" s="533"/>
      <c r="I76" s="533"/>
      <c r="J76" s="533"/>
    </row>
    <row r="77" spans="1:10" x14ac:dyDescent="0.35">
      <c r="A77" s="509" t="s">
        <v>589</v>
      </c>
      <c r="B77" s="533" t="s">
        <v>690</v>
      </c>
      <c r="C77" s="533" t="s">
        <v>690</v>
      </c>
      <c r="D77" s="533" t="s">
        <v>690</v>
      </c>
      <c r="E77" s="533" t="s">
        <v>690</v>
      </c>
      <c r="F77" s="533" t="s">
        <v>690</v>
      </c>
      <c r="G77" s="533" t="s">
        <v>690</v>
      </c>
      <c r="H77" s="511">
        <v>115109</v>
      </c>
      <c r="I77" s="511">
        <v>188672</v>
      </c>
      <c r="J77" s="511">
        <v>134989</v>
      </c>
    </row>
    <row r="78" spans="1:10" x14ac:dyDescent="0.35">
      <c r="A78" s="509" t="s">
        <v>549</v>
      </c>
      <c r="B78" s="533" t="s">
        <v>690</v>
      </c>
      <c r="C78" s="533" t="s">
        <v>690</v>
      </c>
      <c r="D78" s="533" t="s">
        <v>690</v>
      </c>
      <c r="E78" s="533" t="s">
        <v>690</v>
      </c>
      <c r="F78" s="533" t="s">
        <v>690</v>
      </c>
      <c r="G78" s="533" t="s">
        <v>690</v>
      </c>
      <c r="H78" s="511">
        <v>115109</v>
      </c>
      <c r="I78" s="511">
        <v>188672</v>
      </c>
      <c r="J78" s="511">
        <v>134989</v>
      </c>
    </row>
    <row r="79" spans="1:10" x14ac:dyDescent="0.35">
      <c r="A79" s="509" t="s">
        <v>590</v>
      </c>
      <c r="B79" s="511">
        <v>51950</v>
      </c>
      <c r="C79" s="511">
        <v>57401</v>
      </c>
      <c r="D79" s="533" t="s">
        <v>690</v>
      </c>
      <c r="E79" s="533" t="s">
        <v>690</v>
      </c>
      <c r="F79" s="533" t="s">
        <v>690</v>
      </c>
      <c r="G79" s="533" t="s">
        <v>690</v>
      </c>
      <c r="H79" s="533" t="s">
        <v>690</v>
      </c>
      <c r="I79" s="533" t="s">
        <v>690</v>
      </c>
      <c r="J79" s="533" t="s">
        <v>690</v>
      </c>
    </row>
    <row r="80" spans="1:10" x14ac:dyDescent="0.35">
      <c r="A80" s="509" t="s">
        <v>550</v>
      </c>
      <c r="B80" s="511">
        <v>248416</v>
      </c>
      <c r="C80" s="511">
        <v>364030</v>
      </c>
      <c r="D80" s="511">
        <v>384867</v>
      </c>
      <c r="E80" s="511">
        <v>443094</v>
      </c>
      <c r="F80" s="511">
        <v>1201669</v>
      </c>
      <c r="G80" s="511">
        <v>1684298</v>
      </c>
      <c r="H80" s="511">
        <v>3134582</v>
      </c>
      <c r="I80" s="511">
        <v>4480963</v>
      </c>
      <c r="J80" s="511">
        <v>4200390</v>
      </c>
    </row>
    <row r="81" spans="1:10" x14ac:dyDescent="0.35">
      <c r="A81" s="509" t="s">
        <v>551</v>
      </c>
      <c r="B81" s="511">
        <v>12388</v>
      </c>
      <c r="C81" s="511">
        <v>16496</v>
      </c>
      <c r="D81" s="511">
        <v>16189</v>
      </c>
      <c r="E81" s="533" t="s">
        <v>690</v>
      </c>
      <c r="F81" s="511">
        <v>30700</v>
      </c>
      <c r="G81" s="511">
        <v>146350</v>
      </c>
      <c r="H81" s="511">
        <v>202630</v>
      </c>
      <c r="I81" s="511">
        <v>187747</v>
      </c>
      <c r="J81" s="511">
        <v>146084</v>
      </c>
    </row>
    <row r="82" spans="1:10" x14ac:dyDescent="0.35">
      <c r="A82" s="509" t="s">
        <v>552</v>
      </c>
      <c r="B82" s="533" t="s">
        <v>690</v>
      </c>
      <c r="C82" s="511">
        <v>1236</v>
      </c>
      <c r="D82" s="511">
        <v>16307</v>
      </c>
      <c r="E82" s="533" t="s">
        <v>690</v>
      </c>
      <c r="F82" s="511">
        <v>13170</v>
      </c>
      <c r="G82" s="511">
        <v>34525</v>
      </c>
      <c r="H82" s="511">
        <v>44433</v>
      </c>
      <c r="I82" s="511">
        <v>46725</v>
      </c>
      <c r="J82" s="511">
        <v>28188</v>
      </c>
    </row>
    <row r="83" spans="1:10" x14ac:dyDescent="0.35">
      <c r="A83" s="509" t="s">
        <v>553</v>
      </c>
      <c r="B83" s="533" t="s">
        <v>690</v>
      </c>
      <c r="C83" s="511">
        <v>15260</v>
      </c>
      <c r="D83" s="533">
        <v>-119</v>
      </c>
      <c r="E83" s="533" t="s">
        <v>690</v>
      </c>
      <c r="F83" s="511">
        <v>17529</v>
      </c>
      <c r="G83" s="511">
        <v>111826</v>
      </c>
      <c r="H83" s="511">
        <v>158197</v>
      </c>
      <c r="I83" s="511">
        <v>141022</v>
      </c>
      <c r="J83" s="511">
        <v>117896</v>
      </c>
    </row>
    <row r="84" spans="1:10" x14ac:dyDescent="0.35">
      <c r="A84" s="509" t="s">
        <v>591</v>
      </c>
      <c r="B84" s="511">
        <v>18706</v>
      </c>
      <c r="C84" s="511">
        <v>19227</v>
      </c>
      <c r="D84" s="511">
        <v>31919</v>
      </c>
      <c r="E84" s="511">
        <v>42880</v>
      </c>
      <c r="F84" s="511">
        <v>49119</v>
      </c>
      <c r="G84" s="511">
        <v>76136</v>
      </c>
      <c r="H84" s="511">
        <v>131281</v>
      </c>
      <c r="I84" s="511">
        <v>179424</v>
      </c>
      <c r="J84" s="511">
        <v>267205</v>
      </c>
    </row>
    <row r="85" spans="1:10" x14ac:dyDescent="0.35">
      <c r="A85" s="509" t="s">
        <v>592</v>
      </c>
      <c r="B85" s="511">
        <v>16885</v>
      </c>
      <c r="C85" s="511">
        <v>16297</v>
      </c>
      <c r="D85" s="533" t="s">
        <v>690</v>
      </c>
      <c r="E85" s="533" t="s">
        <v>690</v>
      </c>
      <c r="F85" s="533" t="s">
        <v>690</v>
      </c>
      <c r="G85" s="533" t="s">
        <v>690</v>
      </c>
      <c r="H85" s="533" t="s">
        <v>690</v>
      </c>
      <c r="I85" s="533" t="s">
        <v>690</v>
      </c>
      <c r="J85" s="533" t="s">
        <v>690</v>
      </c>
    </row>
    <row r="86" spans="1:10" x14ac:dyDescent="0.35">
      <c r="A86" s="509" t="s">
        <v>593</v>
      </c>
      <c r="B86" s="533" t="s">
        <v>690</v>
      </c>
      <c r="C86" s="533" t="s">
        <v>690</v>
      </c>
      <c r="D86" s="511">
        <v>29585</v>
      </c>
      <c r="E86" s="511">
        <v>29480</v>
      </c>
      <c r="F86" s="511">
        <v>32454</v>
      </c>
      <c r="G86" s="511">
        <v>43990</v>
      </c>
      <c r="H86" s="511">
        <v>83716</v>
      </c>
      <c r="I86" s="511">
        <v>102660</v>
      </c>
      <c r="J86" s="511">
        <v>129442</v>
      </c>
    </row>
    <row r="87" spans="1:10" ht="13.15" x14ac:dyDescent="0.35">
      <c r="A87" s="517" t="s">
        <v>782</v>
      </c>
      <c r="B87" s="529">
        <v>35592</v>
      </c>
      <c r="C87" s="529">
        <v>35524</v>
      </c>
      <c r="D87" s="529">
        <v>61504</v>
      </c>
      <c r="E87" s="529">
        <v>72360</v>
      </c>
      <c r="F87" s="529">
        <v>81573</v>
      </c>
      <c r="G87" s="529">
        <v>120126</v>
      </c>
      <c r="H87" s="529">
        <v>214997</v>
      </c>
      <c r="I87" s="529">
        <v>282083</v>
      </c>
      <c r="J87" s="529">
        <v>396647</v>
      </c>
    </row>
    <row r="88" spans="1:10" x14ac:dyDescent="0.35">
      <c r="A88" s="509" t="s">
        <v>783</v>
      </c>
      <c r="B88" s="533" t="s">
        <v>810</v>
      </c>
      <c r="C88" s="533" t="s">
        <v>810</v>
      </c>
      <c r="D88" s="533" t="s">
        <v>810</v>
      </c>
      <c r="E88" s="533" t="s">
        <v>845</v>
      </c>
      <c r="F88" s="533" t="s">
        <v>845</v>
      </c>
      <c r="G88" s="533" t="s">
        <v>810</v>
      </c>
      <c r="H88" s="533" t="s">
        <v>810</v>
      </c>
      <c r="I88" s="533" t="s">
        <v>810</v>
      </c>
      <c r="J88" s="533" t="s">
        <v>785</v>
      </c>
    </row>
    <row r="89" spans="1:10" x14ac:dyDescent="0.35">
      <c r="A89" s="509" t="s">
        <v>786</v>
      </c>
      <c r="B89" s="533" t="s">
        <v>787</v>
      </c>
      <c r="C89" s="533" t="s">
        <v>787</v>
      </c>
      <c r="D89" s="533" t="s">
        <v>787</v>
      </c>
      <c r="E89" s="533" t="s">
        <v>787</v>
      </c>
      <c r="F89" s="533" t="s">
        <v>787</v>
      </c>
      <c r="G89" s="533" t="s">
        <v>787</v>
      </c>
      <c r="H89" s="533" t="s">
        <v>787</v>
      </c>
      <c r="I89" s="533" t="s">
        <v>787</v>
      </c>
      <c r="J89" s="533" t="s">
        <v>787</v>
      </c>
    </row>
    <row r="90" spans="1:10" ht="13.15" x14ac:dyDescent="0.35">
      <c r="A90" s="517" t="s">
        <v>870</v>
      </c>
      <c r="B90" s="533"/>
      <c r="C90" s="533"/>
      <c r="D90" s="533"/>
      <c r="E90" s="533"/>
      <c r="F90" s="533"/>
      <c r="G90" s="533"/>
      <c r="H90" s="533"/>
      <c r="I90" s="533"/>
      <c r="J90" s="533"/>
    </row>
    <row r="91" spans="1:10" x14ac:dyDescent="0.35">
      <c r="A91" s="509" t="s">
        <v>906</v>
      </c>
      <c r="B91" s="533" t="s">
        <v>690</v>
      </c>
      <c r="C91" s="533" t="s">
        <v>690</v>
      </c>
      <c r="D91" s="533" t="s">
        <v>690</v>
      </c>
      <c r="E91" s="533" t="s">
        <v>690</v>
      </c>
      <c r="F91" s="533" t="s">
        <v>690</v>
      </c>
      <c r="G91" s="533" t="s">
        <v>690</v>
      </c>
      <c r="H91" s="533" t="s">
        <v>690</v>
      </c>
      <c r="I91" s="533" t="s">
        <v>690</v>
      </c>
      <c r="J91" s="511">
        <v>25500000</v>
      </c>
    </row>
    <row r="92" spans="1:10" x14ac:dyDescent="0.35">
      <c r="A92" s="509" t="s">
        <v>871</v>
      </c>
      <c r="B92" s="533" t="s">
        <v>690</v>
      </c>
      <c r="C92" s="533" t="s">
        <v>690</v>
      </c>
      <c r="D92" s="533" t="s">
        <v>690</v>
      </c>
      <c r="E92" s="533" t="s">
        <v>690</v>
      </c>
      <c r="F92" s="533" t="s">
        <v>690</v>
      </c>
      <c r="G92" s="533" t="s">
        <v>690</v>
      </c>
      <c r="H92" s="533" t="s">
        <v>690</v>
      </c>
      <c r="I92" s="533" t="s">
        <v>690</v>
      </c>
      <c r="J92" s="511">
        <v>3340000</v>
      </c>
    </row>
    <row r="93" spans="1:10" x14ac:dyDescent="0.35">
      <c r="A93" s="509" t="s">
        <v>907</v>
      </c>
      <c r="B93" s="533" t="s">
        <v>690</v>
      </c>
      <c r="C93" s="533" t="s">
        <v>690</v>
      </c>
      <c r="D93" s="533" t="s">
        <v>690</v>
      </c>
      <c r="E93" s="533" t="s">
        <v>690</v>
      </c>
      <c r="F93" s="533" t="s">
        <v>690</v>
      </c>
      <c r="G93" s="533" t="s">
        <v>690</v>
      </c>
      <c r="H93" s="533" t="s">
        <v>690</v>
      </c>
      <c r="I93" s="533" t="s">
        <v>690</v>
      </c>
      <c r="J93" s="511">
        <v>1550000</v>
      </c>
    </row>
    <row r="94" spans="1:10" x14ac:dyDescent="0.35">
      <c r="A94" s="509" t="s">
        <v>908</v>
      </c>
      <c r="B94" s="533" t="s">
        <v>690</v>
      </c>
      <c r="C94" s="533" t="s">
        <v>690</v>
      </c>
      <c r="D94" s="533" t="s">
        <v>690</v>
      </c>
      <c r="E94" s="533" t="s">
        <v>690</v>
      </c>
      <c r="F94" s="533" t="s">
        <v>690</v>
      </c>
      <c r="G94" s="533" t="s">
        <v>690</v>
      </c>
      <c r="H94" s="533" t="s">
        <v>690</v>
      </c>
      <c r="I94" s="533" t="s">
        <v>690</v>
      </c>
      <c r="J94" s="511">
        <v>1090000</v>
      </c>
    </row>
    <row r="95" spans="1:10" x14ac:dyDescent="0.35">
      <c r="A95" s="509" t="s">
        <v>872</v>
      </c>
      <c r="B95" s="533" t="s">
        <v>690</v>
      </c>
      <c r="C95" s="533" t="s">
        <v>690</v>
      </c>
      <c r="D95" s="533" t="s">
        <v>690</v>
      </c>
      <c r="E95" s="533" t="s">
        <v>690</v>
      </c>
      <c r="F95" s="533" t="s">
        <v>690</v>
      </c>
      <c r="G95" s="533" t="s">
        <v>690</v>
      </c>
      <c r="H95" s="533" t="s">
        <v>690</v>
      </c>
      <c r="I95" s="533" t="s">
        <v>690</v>
      </c>
      <c r="J95" s="511">
        <v>26200000</v>
      </c>
    </row>
    <row r="96" spans="1:10" x14ac:dyDescent="0.35">
      <c r="A96" s="509" t="s">
        <v>873</v>
      </c>
      <c r="B96" s="533" t="s">
        <v>690</v>
      </c>
      <c r="C96" s="533" t="s">
        <v>690</v>
      </c>
      <c r="D96" s="533" t="s">
        <v>690</v>
      </c>
      <c r="E96" s="533" t="s">
        <v>690</v>
      </c>
      <c r="F96" s="533" t="s">
        <v>690</v>
      </c>
      <c r="G96" s="533" t="s">
        <v>690</v>
      </c>
      <c r="H96" s="533" t="s">
        <v>690</v>
      </c>
      <c r="I96" s="533" t="s">
        <v>690</v>
      </c>
      <c r="J96" s="533">
        <v>55.14</v>
      </c>
    </row>
    <row r="97" spans="1:12" x14ac:dyDescent="0.35">
      <c r="A97" s="509" t="s">
        <v>909</v>
      </c>
      <c r="B97" s="533" t="s">
        <v>690</v>
      </c>
      <c r="C97" s="533" t="s">
        <v>690</v>
      </c>
      <c r="D97" s="533" t="s">
        <v>690</v>
      </c>
      <c r="E97" s="533" t="s">
        <v>690</v>
      </c>
      <c r="F97" s="533" t="s">
        <v>690</v>
      </c>
      <c r="G97" s="533" t="s">
        <v>690</v>
      </c>
      <c r="H97" s="533" t="s">
        <v>690</v>
      </c>
      <c r="I97" s="533" t="s">
        <v>690</v>
      </c>
      <c r="J97" s="533">
        <v>87.3</v>
      </c>
    </row>
    <row r="98" spans="1:12" ht="13.15" x14ac:dyDescent="0.35">
      <c r="A98" s="517" t="s">
        <v>874</v>
      </c>
      <c r="B98" s="533"/>
      <c r="C98" s="533"/>
      <c r="D98" s="533"/>
      <c r="E98" s="533"/>
      <c r="F98" s="533"/>
      <c r="G98" s="533"/>
      <c r="H98" s="533"/>
      <c r="I98" s="533"/>
      <c r="J98" s="533"/>
    </row>
    <row r="99" spans="1:12" x14ac:dyDescent="0.35">
      <c r="A99" s="509" t="s">
        <v>910</v>
      </c>
      <c r="B99" s="533" t="s">
        <v>690</v>
      </c>
      <c r="C99" s="533" t="s">
        <v>690</v>
      </c>
      <c r="D99" s="533" t="s">
        <v>690</v>
      </c>
      <c r="E99" s="533" t="s">
        <v>690</v>
      </c>
      <c r="F99" s="533" t="s">
        <v>690</v>
      </c>
      <c r="G99" s="533" t="s">
        <v>690</v>
      </c>
      <c r="H99" s="533" t="s">
        <v>690</v>
      </c>
      <c r="I99" s="533" t="s">
        <v>690</v>
      </c>
      <c r="J99" s="511">
        <v>25500000</v>
      </c>
    </row>
    <row r="100" spans="1:12" x14ac:dyDescent="0.35">
      <c r="A100" s="509" t="s">
        <v>875</v>
      </c>
      <c r="B100" s="533" t="s">
        <v>690</v>
      </c>
      <c r="C100" s="533" t="s">
        <v>690</v>
      </c>
      <c r="D100" s="533" t="s">
        <v>690</v>
      </c>
      <c r="E100" s="533" t="s">
        <v>690</v>
      </c>
      <c r="F100" s="533" t="s">
        <v>690</v>
      </c>
      <c r="G100" s="533" t="s">
        <v>690</v>
      </c>
      <c r="H100" s="533" t="s">
        <v>690</v>
      </c>
      <c r="I100" s="533" t="s">
        <v>690</v>
      </c>
      <c r="J100" s="511">
        <v>3340000</v>
      </c>
    </row>
    <row r="101" spans="1:12" x14ac:dyDescent="0.35">
      <c r="A101" s="509" t="s">
        <v>911</v>
      </c>
      <c r="B101" s="533" t="s">
        <v>690</v>
      </c>
      <c r="C101" s="533" t="s">
        <v>690</v>
      </c>
      <c r="D101" s="533" t="s">
        <v>690</v>
      </c>
      <c r="E101" s="533" t="s">
        <v>690</v>
      </c>
      <c r="F101" s="533" t="s">
        <v>690</v>
      </c>
      <c r="G101" s="533" t="s">
        <v>690</v>
      </c>
      <c r="H101" s="533" t="s">
        <v>690</v>
      </c>
      <c r="I101" s="533" t="s">
        <v>690</v>
      </c>
      <c r="J101" s="511">
        <v>1550000</v>
      </c>
    </row>
    <row r="102" spans="1:12" x14ac:dyDescent="0.35">
      <c r="A102" s="509" t="s">
        <v>912</v>
      </c>
      <c r="B102" s="533" t="s">
        <v>690</v>
      </c>
      <c r="C102" s="533" t="s">
        <v>690</v>
      </c>
      <c r="D102" s="533" t="s">
        <v>690</v>
      </c>
      <c r="E102" s="533" t="s">
        <v>690</v>
      </c>
      <c r="F102" s="533" t="s">
        <v>690</v>
      </c>
      <c r="G102" s="533" t="s">
        <v>690</v>
      </c>
      <c r="H102" s="533" t="s">
        <v>690</v>
      </c>
      <c r="I102" s="533" t="s">
        <v>690</v>
      </c>
      <c r="J102" s="511">
        <v>1090000</v>
      </c>
    </row>
    <row r="103" spans="1:12" x14ac:dyDescent="0.35">
      <c r="A103" s="509" t="s">
        <v>876</v>
      </c>
      <c r="B103" s="533" t="s">
        <v>690</v>
      </c>
      <c r="C103" s="533" t="s">
        <v>690</v>
      </c>
      <c r="D103" s="533" t="s">
        <v>690</v>
      </c>
      <c r="E103" s="533" t="s">
        <v>690</v>
      </c>
      <c r="F103" s="533" t="s">
        <v>690</v>
      </c>
      <c r="G103" s="533" t="s">
        <v>690</v>
      </c>
      <c r="H103" s="533" t="s">
        <v>690</v>
      </c>
      <c r="I103" s="533" t="s">
        <v>690</v>
      </c>
      <c r="J103" s="511">
        <v>26200000</v>
      </c>
    </row>
    <row r="104" spans="1:12" ht="13.15" x14ac:dyDescent="0.35">
      <c r="A104" s="517" t="s">
        <v>788</v>
      </c>
      <c r="B104" s="533"/>
      <c r="C104" s="533"/>
      <c r="D104" s="533"/>
      <c r="E104" s="533"/>
      <c r="F104" s="533"/>
      <c r="G104" s="533"/>
      <c r="H104" s="533"/>
      <c r="I104" s="533"/>
      <c r="J104" s="533"/>
    </row>
    <row r="105" spans="1:12" x14ac:dyDescent="0.35">
      <c r="A105" s="509" t="s">
        <v>913</v>
      </c>
      <c r="B105" s="511">
        <v>10281</v>
      </c>
      <c r="C105" s="511">
        <v>7389</v>
      </c>
      <c r="D105" s="511">
        <v>7863</v>
      </c>
      <c r="E105" s="533" t="s">
        <v>690</v>
      </c>
      <c r="F105" s="533" t="s">
        <v>690</v>
      </c>
      <c r="G105" s="533" t="s">
        <v>690</v>
      </c>
      <c r="H105" s="511">
        <v>75154</v>
      </c>
      <c r="I105" s="511">
        <v>133180</v>
      </c>
      <c r="J105" s="511">
        <v>234845</v>
      </c>
    </row>
    <row r="106" spans="1:12" x14ac:dyDescent="0.35">
      <c r="A106" s="509" t="s">
        <v>877</v>
      </c>
      <c r="B106" s="511">
        <v>21347</v>
      </c>
      <c r="C106" s="511">
        <v>28136</v>
      </c>
      <c r="D106" s="511">
        <v>53641</v>
      </c>
      <c r="E106" s="511">
        <v>67000</v>
      </c>
      <c r="F106" s="511">
        <v>68416</v>
      </c>
      <c r="G106" s="511">
        <v>81212</v>
      </c>
      <c r="H106" s="511">
        <v>117012</v>
      </c>
      <c r="I106" s="511">
        <v>125781</v>
      </c>
      <c r="J106" s="511">
        <v>150707</v>
      </c>
    </row>
    <row r="107" spans="1:12" x14ac:dyDescent="0.35">
      <c r="A107" s="509" t="s">
        <v>789</v>
      </c>
      <c r="B107" s="511">
        <v>35592</v>
      </c>
      <c r="C107" s="511">
        <v>35524</v>
      </c>
      <c r="D107" s="511">
        <v>61504</v>
      </c>
      <c r="E107" s="511">
        <v>72360</v>
      </c>
      <c r="F107" s="511">
        <v>81573</v>
      </c>
      <c r="G107" s="511">
        <v>120126</v>
      </c>
      <c r="H107" s="511">
        <v>214997</v>
      </c>
      <c r="I107" s="511">
        <v>282083</v>
      </c>
      <c r="J107" s="511">
        <v>396647</v>
      </c>
    </row>
    <row r="108" spans="1:12" x14ac:dyDescent="0.35">
      <c r="A108" s="514"/>
    </row>
    <row r="109" spans="1:12" x14ac:dyDescent="0.35">
      <c r="A109" s="535"/>
      <c r="B109" s="535"/>
      <c r="C109" s="535"/>
      <c r="D109" s="535"/>
    </row>
    <row r="110" spans="1:12" ht="12.75" customHeight="1" x14ac:dyDescent="0.5">
      <c r="A110" s="521" t="s">
        <v>914</v>
      </c>
      <c r="B110" s="521"/>
      <c r="C110" s="521"/>
      <c r="D110" s="521"/>
      <c r="E110" s="521"/>
      <c r="F110" s="521"/>
      <c r="G110" s="521"/>
      <c r="H110" s="521"/>
      <c r="I110" s="521"/>
      <c r="J110" s="521"/>
      <c r="K110" s="521"/>
      <c r="L110" s="521"/>
    </row>
    <row r="111" spans="1:12" x14ac:dyDescent="0.35">
      <c r="A111" s="509" t="s">
        <v>893</v>
      </c>
    </row>
    <row r="113" spans="1:10" x14ac:dyDescent="0.35">
      <c r="A113" s="509" t="s">
        <v>665</v>
      </c>
      <c r="B113" s="514"/>
    </row>
    <row r="114" spans="1:10" x14ac:dyDescent="0.35">
      <c r="A114" s="509" t="s">
        <v>666</v>
      </c>
      <c r="B114" s="514"/>
    </row>
    <row r="115" spans="1:10" x14ac:dyDescent="0.35">
      <c r="A115" s="509" t="s">
        <v>667</v>
      </c>
      <c r="B115" s="514"/>
    </row>
    <row r="116" spans="1:10" x14ac:dyDescent="0.35">
      <c r="A116" s="509" t="s">
        <v>730</v>
      </c>
      <c r="B116" s="514"/>
    </row>
    <row r="117" spans="1:10" x14ac:dyDescent="0.35">
      <c r="A117" s="509" t="s">
        <v>668</v>
      </c>
      <c r="B117" s="514"/>
    </row>
    <row r="118" spans="1:10" x14ac:dyDescent="0.35">
      <c r="A118" s="509" t="s">
        <v>731</v>
      </c>
      <c r="B118" s="514"/>
    </row>
    <row r="119" spans="1:10" x14ac:dyDescent="0.35">
      <c r="A119" s="509" t="s">
        <v>732</v>
      </c>
      <c r="B119" s="514"/>
    </row>
    <row r="120" spans="1:10" x14ac:dyDescent="0.35">
      <c r="A120" s="534"/>
      <c r="B120" s="534"/>
      <c r="C120" s="534"/>
      <c r="D120" s="534"/>
      <c r="E120" s="534"/>
      <c r="F120" s="534"/>
      <c r="G120" s="534"/>
      <c r="H120" s="534"/>
      <c r="I120" s="534"/>
      <c r="J120" s="534"/>
    </row>
    <row r="121" spans="1:10" x14ac:dyDescent="0.35">
      <c r="A121" s="520" t="s">
        <v>670</v>
      </c>
      <c r="B121" s="519" t="s">
        <v>720</v>
      </c>
      <c r="C121" s="519" t="s">
        <v>671</v>
      </c>
      <c r="D121" s="519" t="s">
        <v>672</v>
      </c>
      <c r="E121" s="519" t="s">
        <v>673</v>
      </c>
      <c r="F121" s="519" t="s">
        <v>674</v>
      </c>
      <c r="G121" s="519" t="s">
        <v>675</v>
      </c>
      <c r="H121" s="519" t="s">
        <v>676</v>
      </c>
      <c r="I121" s="519" t="s">
        <v>677</v>
      </c>
      <c r="J121" s="519" t="s">
        <v>734</v>
      </c>
    </row>
    <row r="122" spans="1:10" ht="25.5" x14ac:dyDescent="0.35">
      <c r="A122" s="509" t="s">
        <v>73</v>
      </c>
      <c r="B122" s="533" t="s">
        <v>735</v>
      </c>
      <c r="C122" s="533" t="s">
        <v>735</v>
      </c>
      <c r="D122" s="533" t="s">
        <v>735</v>
      </c>
      <c r="E122" s="533" t="s">
        <v>735</v>
      </c>
      <c r="F122" s="533" t="s">
        <v>735</v>
      </c>
      <c r="G122" s="533" t="s">
        <v>735</v>
      </c>
      <c r="H122" s="533" t="s">
        <v>735</v>
      </c>
      <c r="I122" s="533" t="s">
        <v>735</v>
      </c>
      <c r="J122" s="533" t="s">
        <v>735</v>
      </c>
    </row>
    <row r="123" spans="1:10" x14ac:dyDescent="0.35">
      <c r="A123" s="509" t="s">
        <v>678</v>
      </c>
      <c r="B123" s="533" t="s">
        <v>737</v>
      </c>
      <c r="C123" s="533" t="s">
        <v>679</v>
      </c>
      <c r="D123" s="533" t="s">
        <v>680</v>
      </c>
      <c r="E123" s="533" t="s">
        <v>681</v>
      </c>
      <c r="F123" s="533" t="s">
        <v>682</v>
      </c>
      <c r="G123" s="533" t="s">
        <v>683</v>
      </c>
      <c r="H123" s="533" t="s">
        <v>684</v>
      </c>
      <c r="I123" s="533" t="s">
        <v>685</v>
      </c>
      <c r="J123" s="533" t="s">
        <v>738</v>
      </c>
    </row>
    <row r="124" spans="1:10" x14ac:dyDescent="0.35">
      <c r="A124" s="509" t="s">
        <v>739</v>
      </c>
      <c r="B124" s="533" t="s">
        <v>894</v>
      </c>
      <c r="C124" s="533" t="s">
        <v>895</v>
      </c>
      <c r="D124" s="533" t="s">
        <v>896</v>
      </c>
      <c r="E124" s="533" t="s">
        <v>897</v>
      </c>
      <c r="F124" s="533" t="s">
        <v>898</v>
      </c>
      <c r="G124" s="533" t="s">
        <v>899</v>
      </c>
      <c r="H124" s="533" t="s">
        <v>900</v>
      </c>
      <c r="I124" s="533" t="s">
        <v>900</v>
      </c>
      <c r="J124" s="533" t="s">
        <v>900</v>
      </c>
    </row>
    <row r="125" spans="1:10" x14ac:dyDescent="0.35">
      <c r="A125" s="509" t="s">
        <v>745</v>
      </c>
      <c r="B125" s="533">
        <v>0.94820000000000004</v>
      </c>
      <c r="C125" s="533">
        <v>0.83279999999999998</v>
      </c>
      <c r="D125" s="533">
        <v>0.87339999999999995</v>
      </c>
      <c r="E125" s="533">
        <v>0.8911</v>
      </c>
      <c r="F125" s="533">
        <v>0.8175</v>
      </c>
      <c r="G125" s="533">
        <v>0.87929999999999997</v>
      </c>
      <c r="H125" s="533">
        <v>0.93569999999999998</v>
      </c>
      <c r="I125" s="533">
        <v>0.90469999999999995</v>
      </c>
      <c r="J125" s="533">
        <v>0.96589999999999998</v>
      </c>
    </row>
    <row r="126" spans="1:10" x14ac:dyDescent="0.35">
      <c r="A126" s="509" t="s">
        <v>746</v>
      </c>
      <c r="B126" s="533">
        <v>0.90425999999999995</v>
      </c>
      <c r="C126" s="533">
        <v>0.88688500000000003</v>
      </c>
      <c r="D126" s="533">
        <v>0.84757199999999999</v>
      </c>
      <c r="E126" s="533">
        <v>0.89333399999999996</v>
      </c>
      <c r="F126" s="533">
        <v>0.87713099999999999</v>
      </c>
      <c r="G126" s="533">
        <v>0.84595600000000004</v>
      </c>
      <c r="H126" s="533">
        <v>0.95131500000000002</v>
      </c>
      <c r="I126" s="533">
        <v>0.92486299999999999</v>
      </c>
      <c r="J126" s="533">
        <v>0.92458499999999999</v>
      </c>
    </row>
    <row r="127" spans="1:10" x14ac:dyDescent="0.35">
      <c r="A127" s="509" t="s">
        <v>73</v>
      </c>
      <c r="B127" s="533"/>
      <c r="C127" s="533"/>
      <c r="D127" s="533"/>
      <c r="E127" s="533"/>
      <c r="F127" s="533"/>
      <c r="G127" s="533"/>
      <c r="H127" s="533"/>
      <c r="I127" s="533"/>
      <c r="J127" s="533"/>
    </row>
    <row r="128" spans="1:10" ht="13.15" x14ac:dyDescent="0.35">
      <c r="A128" s="517" t="s">
        <v>791</v>
      </c>
      <c r="B128" s="533"/>
      <c r="C128" s="533"/>
      <c r="D128" s="533"/>
      <c r="E128" s="533"/>
      <c r="F128" s="533"/>
      <c r="G128" s="533"/>
      <c r="H128" s="533"/>
      <c r="I128" s="533"/>
      <c r="J128" s="533"/>
    </row>
    <row r="129" spans="1:10" x14ac:dyDescent="0.35">
      <c r="A129" s="509" t="s">
        <v>792</v>
      </c>
      <c r="B129" s="511">
        <v>-195511</v>
      </c>
      <c r="C129" s="511">
        <v>-226968</v>
      </c>
      <c r="D129" s="511">
        <v>-326090</v>
      </c>
      <c r="E129" s="511">
        <v>-459174</v>
      </c>
      <c r="F129" s="511">
        <v>-655217</v>
      </c>
      <c r="G129" s="511">
        <v>10322350</v>
      </c>
      <c r="H129" s="511">
        <v>7954893</v>
      </c>
      <c r="I129" s="511">
        <v>-4359806</v>
      </c>
      <c r="J129" s="511">
        <v>-3292448</v>
      </c>
    </row>
    <row r="130" spans="1:10" x14ac:dyDescent="0.35">
      <c r="A130" s="510" t="s">
        <v>556</v>
      </c>
      <c r="B130" s="511">
        <v>13667</v>
      </c>
      <c r="C130" s="511">
        <v>18214</v>
      </c>
      <c r="D130" s="511">
        <v>21072</v>
      </c>
      <c r="E130" s="511">
        <v>27693</v>
      </c>
      <c r="F130" s="511">
        <v>81573</v>
      </c>
      <c r="G130" s="511">
        <v>196262</v>
      </c>
      <c r="H130" s="511">
        <v>331057</v>
      </c>
      <c r="I130" s="511">
        <v>574340</v>
      </c>
      <c r="J130" s="511">
        <v>174747</v>
      </c>
    </row>
    <row r="131" spans="1:10" x14ac:dyDescent="0.35">
      <c r="A131" s="509" t="s">
        <v>793</v>
      </c>
      <c r="B131" s="511">
        <v>13667</v>
      </c>
      <c r="C131" s="511">
        <v>18214</v>
      </c>
      <c r="D131" s="511">
        <v>21072</v>
      </c>
      <c r="E131" s="511">
        <v>27693</v>
      </c>
      <c r="F131" s="511">
        <v>81573</v>
      </c>
      <c r="G131" s="511">
        <v>196262</v>
      </c>
      <c r="H131" s="511">
        <v>331057</v>
      </c>
      <c r="I131" s="511">
        <v>574340</v>
      </c>
      <c r="J131" s="511">
        <v>174747</v>
      </c>
    </row>
    <row r="132" spans="1:10" x14ac:dyDescent="0.35">
      <c r="A132" s="509" t="s">
        <v>562</v>
      </c>
      <c r="B132" s="533" t="s">
        <v>690</v>
      </c>
      <c r="C132" s="533" t="s">
        <v>690</v>
      </c>
      <c r="D132" s="533">
        <v>755</v>
      </c>
      <c r="E132" s="533" t="s">
        <v>690</v>
      </c>
      <c r="F132" s="533" t="s">
        <v>690</v>
      </c>
      <c r="G132" s="533" t="s">
        <v>690</v>
      </c>
      <c r="H132" s="533" t="s">
        <v>690</v>
      </c>
      <c r="I132" s="533" t="s">
        <v>690</v>
      </c>
      <c r="J132" s="533" t="s">
        <v>690</v>
      </c>
    </row>
    <row r="133" spans="1:10" x14ac:dyDescent="0.35">
      <c r="A133" s="509" t="s">
        <v>563</v>
      </c>
      <c r="B133" s="511">
        <v>2241</v>
      </c>
      <c r="C133" s="533">
        <v>963</v>
      </c>
      <c r="D133" s="511">
        <v>-1582</v>
      </c>
      <c r="E133" s="511">
        <v>-3573</v>
      </c>
      <c r="F133" s="511">
        <v>8771</v>
      </c>
      <c r="G133" s="511">
        <v>45682</v>
      </c>
      <c r="H133" s="511">
        <v>29491</v>
      </c>
      <c r="I133" s="511">
        <v>-24046</v>
      </c>
      <c r="J133" s="511">
        <v>-39757</v>
      </c>
    </row>
    <row r="134" spans="1:10" x14ac:dyDescent="0.35">
      <c r="A134" s="509" t="s">
        <v>566</v>
      </c>
      <c r="B134" s="511">
        <v>35592</v>
      </c>
      <c r="C134" s="511">
        <v>35524</v>
      </c>
      <c r="D134" s="511">
        <v>61504</v>
      </c>
      <c r="E134" s="511">
        <v>72360</v>
      </c>
      <c r="F134" s="511">
        <v>81573</v>
      </c>
      <c r="G134" s="511">
        <v>120126</v>
      </c>
      <c r="H134" s="511">
        <v>214997</v>
      </c>
      <c r="I134" s="511">
        <v>282083</v>
      </c>
      <c r="J134" s="511">
        <v>396647</v>
      </c>
    </row>
    <row r="135" spans="1:10" x14ac:dyDescent="0.35">
      <c r="A135" s="509" t="s">
        <v>567</v>
      </c>
      <c r="B135" s="533" t="s">
        <v>690</v>
      </c>
      <c r="C135" s="533" t="s">
        <v>690</v>
      </c>
      <c r="D135" s="533" t="s">
        <v>690</v>
      </c>
      <c r="E135" s="533" t="s">
        <v>690</v>
      </c>
      <c r="F135" s="533" t="s">
        <v>690</v>
      </c>
      <c r="G135" s="511">
        <v>-269014</v>
      </c>
      <c r="H135" s="511">
        <v>26637</v>
      </c>
      <c r="I135" s="511">
        <v>6474</v>
      </c>
      <c r="J135" s="511">
        <v>55475</v>
      </c>
    </row>
    <row r="136" spans="1:10" x14ac:dyDescent="0.35">
      <c r="A136" s="509" t="s">
        <v>568</v>
      </c>
      <c r="B136" s="511">
        <v>47326</v>
      </c>
      <c r="C136" s="533">
        <v>94</v>
      </c>
      <c r="D136" s="533">
        <v>705</v>
      </c>
      <c r="E136" s="511">
        <v>6253</v>
      </c>
      <c r="F136" s="511">
        <v>-1214826</v>
      </c>
      <c r="G136" s="511">
        <v>-1509185</v>
      </c>
      <c r="H136" s="511">
        <v>1702853</v>
      </c>
      <c r="I136" s="511">
        <v>455958</v>
      </c>
      <c r="J136" s="511">
        <v>493728</v>
      </c>
    </row>
    <row r="137" spans="1:10" x14ac:dyDescent="0.35">
      <c r="A137" s="509" t="s">
        <v>569</v>
      </c>
      <c r="B137" s="533" t="s">
        <v>690</v>
      </c>
      <c r="C137" s="533" t="s">
        <v>690</v>
      </c>
      <c r="D137" s="533" t="s">
        <v>690</v>
      </c>
      <c r="E137" s="533" t="s">
        <v>690</v>
      </c>
      <c r="F137" s="511">
        <v>-41225</v>
      </c>
      <c r="G137" s="511">
        <v>-1179262</v>
      </c>
      <c r="H137" s="511">
        <v>468047</v>
      </c>
      <c r="I137" s="511">
        <v>690873</v>
      </c>
      <c r="J137" s="511">
        <v>76741</v>
      </c>
    </row>
    <row r="138" spans="1:10" x14ac:dyDescent="0.35">
      <c r="A138" s="509" t="s">
        <v>570</v>
      </c>
      <c r="B138" s="511">
        <v>5419</v>
      </c>
      <c r="C138" s="511">
        <v>-11322</v>
      </c>
      <c r="D138" s="511">
        <v>12728</v>
      </c>
      <c r="E138" s="511">
        <v>-21440</v>
      </c>
      <c r="F138" s="511">
        <v>10526</v>
      </c>
      <c r="G138" s="511">
        <v>172575</v>
      </c>
      <c r="H138" s="511">
        <v>228316</v>
      </c>
      <c r="I138" s="511">
        <v>12023</v>
      </c>
      <c r="J138" s="511">
        <v>-63796</v>
      </c>
    </row>
    <row r="139" spans="1:10" x14ac:dyDescent="0.35">
      <c r="A139" s="509" t="s">
        <v>623</v>
      </c>
      <c r="B139" s="511">
        <v>148415</v>
      </c>
      <c r="C139" s="511">
        <v>-143960</v>
      </c>
      <c r="D139" s="511">
        <v>-55313</v>
      </c>
      <c r="E139" s="511">
        <v>-39307</v>
      </c>
      <c r="F139" s="511">
        <v>3369936</v>
      </c>
      <c r="G139" s="511">
        <v>2388978</v>
      </c>
      <c r="H139" s="511">
        <v>-3954615</v>
      </c>
      <c r="I139" s="511">
        <v>-1905219</v>
      </c>
      <c r="J139" s="511">
        <v>-405893</v>
      </c>
    </row>
    <row r="140" spans="1:10" x14ac:dyDescent="0.35">
      <c r="A140" s="509" t="s">
        <v>624</v>
      </c>
      <c r="B140" s="533" t="s">
        <v>690</v>
      </c>
      <c r="C140" s="533" t="s">
        <v>690</v>
      </c>
      <c r="D140" s="533" t="s">
        <v>690</v>
      </c>
      <c r="E140" s="533" t="s">
        <v>690</v>
      </c>
      <c r="F140" s="533" t="s">
        <v>690</v>
      </c>
      <c r="G140" s="511">
        <v>741057</v>
      </c>
      <c r="H140" s="533" t="s">
        <v>690</v>
      </c>
      <c r="I140" s="533" t="s">
        <v>690</v>
      </c>
      <c r="J140" s="533" t="s">
        <v>690</v>
      </c>
    </row>
    <row r="141" spans="1:10" x14ac:dyDescent="0.35">
      <c r="A141" s="509" t="s">
        <v>625</v>
      </c>
      <c r="B141" s="533">
        <v>260</v>
      </c>
      <c r="C141" s="533" t="s">
        <v>690</v>
      </c>
      <c r="D141" s="533" t="s">
        <v>690</v>
      </c>
      <c r="E141" s="533" t="s">
        <v>690</v>
      </c>
      <c r="F141" s="533" t="s">
        <v>690</v>
      </c>
      <c r="G141" s="533" t="s">
        <v>690</v>
      </c>
      <c r="H141" s="533" t="s">
        <v>690</v>
      </c>
      <c r="I141" s="533" t="s">
        <v>690</v>
      </c>
      <c r="J141" s="533" t="s">
        <v>690</v>
      </c>
    </row>
    <row r="142" spans="1:10" x14ac:dyDescent="0.35">
      <c r="A142" s="509" t="s">
        <v>626</v>
      </c>
      <c r="B142" s="511">
        <v>2935</v>
      </c>
      <c r="C142" s="511">
        <v>33467</v>
      </c>
      <c r="D142" s="511">
        <v>5787</v>
      </c>
      <c r="E142" s="511">
        <v>7147</v>
      </c>
      <c r="F142" s="511">
        <v>136832</v>
      </c>
      <c r="G142" s="511">
        <v>492346</v>
      </c>
      <c r="H142" s="511">
        <v>-2263177</v>
      </c>
      <c r="I142" s="511">
        <v>1383596</v>
      </c>
      <c r="J142" s="511">
        <v>-172897</v>
      </c>
    </row>
    <row r="143" spans="1:10" x14ac:dyDescent="0.35">
      <c r="A143" s="509" t="s">
        <v>794</v>
      </c>
      <c r="B143" s="511">
        <v>60345</v>
      </c>
      <c r="C143" s="511">
        <v>-293988</v>
      </c>
      <c r="D143" s="511">
        <v>-280432</v>
      </c>
      <c r="E143" s="511">
        <v>-410040</v>
      </c>
      <c r="F143" s="511">
        <v>1777944</v>
      </c>
      <c r="G143" s="511">
        <v>11521915</v>
      </c>
      <c r="H143" s="511">
        <v>4738498</v>
      </c>
      <c r="I143" s="511">
        <v>-2883724</v>
      </c>
      <c r="J143" s="511">
        <v>-2777454</v>
      </c>
    </row>
    <row r="144" spans="1:10" ht="13.15" x14ac:dyDescent="0.35">
      <c r="A144" s="517" t="s">
        <v>795</v>
      </c>
      <c r="B144" s="533"/>
      <c r="C144" s="533"/>
      <c r="D144" s="533"/>
      <c r="E144" s="533"/>
      <c r="F144" s="533"/>
      <c r="G144" s="533"/>
      <c r="H144" s="533"/>
      <c r="I144" s="533"/>
      <c r="J144" s="533"/>
    </row>
    <row r="145" spans="1:10" x14ac:dyDescent="0.35">
      <c r="A145" s="509" t="s">
        <v>571</v>
      </c>
      <c r="B145" s="511">
        <v>-29971</v>
      </c>
      <c r="C145" s="511">
        <v>-51795</v>
      </c>
      <c r="D145" s="511">
        <v>-89644</v>
      </c>
      <c r="E145" s="511">
        <v>-28587</v>
      </c>
      <c r="F145" s="511">
        <v>-59645</v>
      </c>
      <c r="G145" s="511">
        <v>-240251</v>
      </c>
      <c r="H145" s="511">
        <v>-380526</v>
      </c>
      <c r="I145" s="511">
        <v>-653878</v>
      </c>
      <c r="J145" s="511">
        <v>-971739</v>
      </c>
    </row>
    <row r="146" spans="1:10" x14ac:dyDescent="0.35">
      <c r="A146" s="509" t="s">
        <v>573</v>
      </c>
      <c r="B146" s="533" t="s">
        <v>690</v>
      </c>
      <c r="C146" s="533" t="s">
        <v>690</v>
      </c>
      <c r="D146" s="533" t="s">
        <v>690</v>
      </c>
      <c r="E146" s="533" t="s">
        <v>690</v>
      </c>
      <c r="F146" s="533" t="s">
        <v>690</v>
      </c>
      <c r="G146" s="533" t="s">
        <v>690</v>
      </c>
      <c r="H146" s="533" t="s">
        <v>690</v>
      </c>
      <c r="I146" s="511">
        <v>-78613</v>
      </c>
      <c r="J146" s="533" t="s">
        <v>690</v>
      </c>
    </row>
    <row r="147" spans="1:10" x14ac:dyDescent="0.35">
      <c r="A147" s="509" t="s">
        <v>575</v>
      </c>
      <c r="B147" s="511">
        <v>-548489</v>
      </c>
      <c r="C147" s="511">
        <v>421949</v>
      </c>
      <c r="D147" s="511">
        <v>-226580</v>
      </c>
      <c r="E147" s="511">
        <v>15187</v>
      </c>
      <c r="F147" s="511">
        <v>-1406917</v>
      </c>
      <c r="G147" s="511">
        <v>-6944449</v>
      </c>
      <c r="H147" s="511">
        <v>-4505426</v>
      </c>
      <c r="I147" s="511">
        <v>4643739</v>
      </c>
      <c r="J147" s="511">
        <v>2773755</v>
      </c>
    </row>
    <row r="148" spans="1:10" x14ac:dyDescent="0.35">
      <c r="A148" s="509" t="s">
        <v>576</v>
      </c>
      <c r="B148" s="511">
        <v>-8050</v>
      </c>
      <c r="C148" s="533" t="s">
        <v>690</v>
      </c>
      <c r="D148" s="533" t="s">
        <v>690</v>
      </c>
      <c r="E148" s="533" t="s">
        <v>690</v>
      </c>
      <c r="F148" s="533" t="s">
        <v>690</v>
      </c>
      <c r="G148" s="511">
        <v>-25379</v>
      </c>
      <c r="H148" s="511">
        <v>-38053</v>
      </c>
      <c r="I148" s="511">
        <v>-21272</v>
      </c>
      <c r="J148" s="533" t="s">
        <v>690</v>
      </c>
    </row>
    <row r="149" spans="1:10" x14ac:dyDescent="0.35">
      <c r="A149" s="509" t="s">
        <v>796</v>
      </c>
      <c r="B149" s="511">
        <v>-586509</v>
      </c>
      <c r="C149" s="511">
        <v>370154</v>
      </c>
      <c r="D149" s="511">
        <v>-316224</v>
      </c>
      <c r="E149" s="511">
        <v>-13400</v>
      </c>
      <c r="F149" s="511">
        <v>-1466562</v>
      </c>
      <c r="G149" s="511">
        <v>-7210079</v>
      </c>
      <c r="H149" s="511">
        <v>-4924004</v>
      </c>
      <c r="I149" s="511">
        <v>3889976</v>
      </c>
      <c r="J149" s="511">
        <v>1802016</v>
      </c>
    </row>
    <row r="150" spans="1:10" ht="13.15" x14ac:dyDescent="0.35">
      <c r="A150" s="517" t="s">
        <v>797</v>
      </c>
      <c r="B150" s="533"/>
      <c r="C150" s="533"/>
      <c r="D150" s="533"/>
      <c r="E150" s="533"/>
      <c r="F150" s="533"/>
      <c r="G150" s="533"/>
      <c r="H150" s="533"/>
      <c r="I150" s="533"/>
      <c r="J150" s="533"/>
    </row>
    <row r="151" spans="1:10" x14ac:dyDescent="0.35">
      <c r="A151" s="509" t="s">
        <v>578</v>
      </c>
      <c r="B151" s="533" t="s">
        <v>690</v>
      </c>
      <c r="C151" s="511">
        <v>2416</v>
      </c>
      <c r="D151" s="511">
        <v>9862</v>
      </c>
      <c r="E151" s="533">
        <v>893</v>
      </c>
      <c r="F151" s="533" t="s">
        <v>690</v>
      </c>
      <c r="G151" s="533" t="s">
        <v>690</v>
      </c>
      <c r="H151" s="533" t="s">
        <v>690</v>
      </c>
      <c r="I151" s="533" t="s">
        <v>690</v>
      </c>
      <c r="J151" s="533" t="s">
        <v>690</v>
      </c>
    </row>
    <row r="152" spans="1:10" x14ac:dyDescent="0.35">
      <c r="A152" s="509" t="s">
        <v>798</v>
      </c>
      <c r="B152" s="533" t="s">
        <v>690</v>
      </c>
      <c r="C152" s="511">
        <v>2416</v>
      </c>
      <c r="D152" s="511">
        <v>9862</v>
      </c>
      <c r="E152" s="533">
        <v>893</v>
      </c>
      <c r="F152" s="533" t="s">
        <v>690</v>
      </c>
      <c r="G152" s="533" t="s">
        <v>690</v>
      </c>
      <c r="H152" s="533" t="s">
        <v>690</v>
      </c>
      <c r="I152" s="533" t="s">
        <v>690</v>
      </c>
      <c r="J152" s="533" t="s">
        <v>690</v>
      </c>
    </row>
    <row r="153" spans="1:10" x14ac:dyDescent="0.35">
      <c r="A153" s="509" t="s">
        <v>580</v>
      </c>
      <c r="B153" s="533" t="s">
        <v>690</v>
      </c>
      <c r="C153" s="511">
        <v>-1140</v>
      </c>
      <c r="D153" s="511">
        <v>-1843</v>
      </c>
      <c r="E153" s="533" t="s">
        <v>690</v>
      </c>
      <c r="F153" s="511">
        <v>-5263</v>
      </c>
      <c r="G153" s="511">
        <v>-118434</v>
      </c>
      <c r="H153" s="511">
        <v>-175042</v>
      </c>
      <c r="I153" s="511">
        <v>-249713</v>
      </c>
      <c r="J153" s="511">
        <v>-9246</v>
      </c>
    </row>
    <row r="154" spans="1:10" x14ac:dyDescent="0.35">
      <c r="A154" s="509" t="s">
        <v>799</v>
      </c>
      <c r="B154" s="533" t="s">
        <v>690</v>
      </c>
      <c r="C154" s="511">
        <v>-1140</v>
      </c>
      <c r="D154" s="511">
        <v>-1843</v>
      </c>
      <c r="E154" s="533" t="s">
        <v>690</v>
      </c>
      <c r="F154" s="511">
        <v>-5263</v>
      </c>
      <c r="G154" s="511">
        <v>-118434</v>
      </c>
      <c r="H154" s="511">
        <v>-175042</v>
      </c>
      <c r="I154" s="511">
        <v>-249713</v>
      </c>
      <c r="J154" s="511">
        <v>-9246</v>
      </c>
    </row>
    <row r="155" spans="1:10" x14ac:dyDescent="0.35">
      <c r="A155" s="509" t="s">
        <v>581</v>
      </c>
      <c r="B155" s="533">
        <v>10</v>
      </c>
      <c r="C155" s="533">
        <v>188</v>
      </c>
      <c r="D155" s="511">
        <v>478415</v>
      </c>
      <c r="E155" s="511">
        <v>45560</v>
      </c>
      <c r="F155" s="511">
        <v>1788469</v>
      </c>
      <c r="G155" s="511">
        <v>104898</v>
      </c>
      <c r="H155" s="511">
        <v>61835</v>
      </c>
      <c r="I155" s="511">
        <v>42544</v>
      </c>
      <c r="J155" s="511">
        <v>61023</v>
      </c>
    </row>
    <row r="156" spans="1:10" x14ac:dyDescent="0.35">
      <c r="A156" s="509" t="s">
        <v>582</v>
      </c>
      <c r="B156" s="533" t="s">
        <v>690</v>
      </c>
      <c r="C156" s="533" t="s">
        <v>690</v>
      </c>
      <c r="D156" s="533" t="s">
        <v>690</v>
      </c>
      <c r="E156" s="533" t="s">
        <v>690</v>
      </c>
      <c r="F156" s="533" t="s">
        <v>690</v>
      </c>
      <c r="G156" s="511">
        <v>-724984</v>
      </c>
      <c r="H156" s="511">
        <v>-3166926</v>
      </c>
      <c r="I156" s="511">
        <v>-1066368</v>
      </c>
      <c r="J156" s="533" t="s">
        <v>690</v>
      </c>
    </row>
    <row r="157" spans="1:10" x14ac:dyDescent="0.35">
      <c r="A157" s="509" t="s">
        <v>627</v>
      </c>
      <c r="B157" s="511">
        <v>428196</v>
      </c>
      <c r="C157" s="533" t="s">
        <v>690</v>
      </c>
      <c r="D157" s="511">
        <v>560339</v>
      </c>
      <c r="E157" s="533" t="s">
        <v>690</v>
      </c>
      <c r="F157" s="533" t="s">
        <v>690</v>
      </c>
      <c r="G157" s="533" t="s">
        <v>690</v>
      </c>
      <c r="H157" s="533" t="s">
        <v>690</v>
      </c>
      <c r="I157" s="533" t="s">
        <v>690</v>
      </c>
      <c r="J157" s="533" t="s">
        <v>690</v>
      </c>
    </row>
    <row r="158" spans="1:10" x14ac:dyDescent="0.35">
      <c r="A158" s="509" t="s">
        <v>628</v>
      </c>
      <c r="B158" s="533" t="s">
        <v>690</v>
      </c>
      <c r="C158" s="533" t="s">
        <v>690</v>
      </c>
      <c r="D158" s="511">
        <v>-6935</v>
      </c>
      <c r="E158" s="533" t="s">
        <v>690</v>
      </c>
      <c r="F158" s="533" t="s">
        <v>690</v>
      </c>
      <c r="G158" s="533" t="s">
        <v>690</v>
      </c>
      <c r="H158" s="533" t="s">
        <v>690</v>
      </c>
      <c r="I158" s="533" t="s">
        <v>690</v>
      </c>
      <c r="J158" s="533" t="s">
        <v>690</v>
      </c>
    </row>
    <row r="159" spans="1:10" x14ac:dyDescent="0.35">
      <c r="A159" s="509" t="s">
        <v>629</v>
      </c>
      <c r="B159" s="533">
        <v>-572</v>
      </c>
      <c r="C159" s="511">
        <v>-1315</v>
      </c>
      <c r="D159" s="533" t="s">
        <v>690</v>
      </c>
      <c r="E159" s="533" t="s">
        <v>690</v>
      </c>
      <c r="F159" s="533" t="s">
        <v>690</v>
      </c>
      <c r="G159" s="533" t="s">
        <v>690</v>
      </c>
      <c r="H159" s="533" t="s">
        <v>690</v>
      </c>
      <c r="I159" s="533" t="s">
        <v>690</v>
      </c>
      <c r="J159" s="533" t="s">
        <v>690</v>
      </c>
    </row>
    <row r="160" spans="1:10" x14ac:dyDescent="0.35">
      <c r="A160" s="509" t="s">
        <v>800</v>
      </c>
      <c r="B160" s="533">
        <v>-572</v>
      </c>
      <c r="C160" s="511">
        <v>-1315</v>
      </c>
      <c r="D160" s="533" t="s">
        <v>690</v>
      </c>
      <c r="E160" s="533" t="s">
        <v>690</v>
      </c>
      <c r="F160" s="533" t="s">
        <v>690</v>
      </c>
      <c r="G160" s="533" t="s">
        <v>690</v>
      </c>
      <c r="H160" s="533" t="s">
        <v>690</v>
      </c>
      <c r="I160" s="533" t="s">
        <v>690</v>
      </c>
      <c r="J160" s="533" t="s">
        <v>690</v>
      </c>
    </row>
    <row r="161" spans="1:12" x14ac:dyDescent="0.35">
      <c r="A161" s="509" t="s">
        <v>801</v>
      </c>
      <c r="B161" s="511">
        <v>427634</v>
      </c>
      <c r="C161" s="533">
        <v>149</v>
      </c>
      <c r="D161" s="511">
        <v>1039837</v>
      </c>
      <c r="E161" s="511">
        <v>46453</v>
      </c>
      <c r="F161" s="511">
        <v>1783206</v>
      </c>
      <c r="G161" s="511">
        <v>-738519</v>
      </c>
      <c r="H161" s="511">
        <v>-3280133</v>
      </c>
      <c r="I161" s="511">
        <v>-1273537</v>
      </c>
      <c r="J161" s="511">
        <v>51777</v>
      </c>
    </row>
    <row r="162" spans="1:12" ht="13.15" x14ac:dyDescent="0.35">
      <c r="A162" s="517" t="s">
        <v>802</v>
      </c>
      <c r="B162" s="533"/>
      <c r="C162" s="533"/>
      <c r="D162" s="533"/>
      <c r="E162" s="533"/>
      <c r="F162" s="533"/>
      <c r="G162" s="533"/>
      <c r="H162" s="533"/>
      <c r="I162" s="533"/>
      <c r="J162" s="533"/>
    </row>
    <row r="163" spans="1:12" x14ac:dyDescent="0.35">
      <c r="A163" s="509" t="s">
        <v>803</v>
      </c>
      <c r="B163" s="511">
        <v>-98531</v>
      </c>
      <c r="C163" s="511">
        <v>76315</v>
      </c>
      <c r="D163" s="511">
        <v>443181</v>
      </c>
      <c r="E163" s="511">
        <v>-376987</v>
      </c>
      <c r="F163" s="511">
        <v>2094588</v>
      </c>
      <c r="G163" s="511">
        <v>3573316</v>
      </c>
      <c r="H163" s="511">
        <v>-3465639</v>
      </c>
      <c r="I163" s="511">
        <v>-267286</v>
      </c>
      <c r="J163" s="511">
        <v>-923661</v>
      </c>
    </row>
    <row r="164" spans="1:12" ht="13.15" x14ac:dyDescent="0.35">
      <c r="A164" s="517" t="s">
        <v>770</v>
      </c>
      <c r="B164" s="533"/>
      <c r="C164" s="533"/>
      <c r="D164" s="533"/>
      <c r="E164" s="533"/>
      <c r="F164" s="533"/>
      <c r="G164" s="533"/>
      <c r="H164" s="533"/>
      <c r="I164" s="533"/>
      <c r="J164" s="533"/>
    </row>
    <row r="165" spans="1:12" x14ac:dyDescent="0.35">
      <c r="A165" s="509" t="s">
        <v>804</v>
      </c>
      <c r="B165" s="533" t="s">
        <v>690</v>
      </c>
      <c r="C165" s="533" t="s">
        <v>690</v>
      </c>
      <c r="D165" s="511">
        <v>2541</v>
      </c>
      <c r="E165" s="511">
        <v>5360</v>
      </c>
      <c r="F165" s="511">
        <v>7894</v>
      </c>
      <c r="G165" s="511">
        <v>11843</v>
      </c>
      <c r="H165" s="511">
        <v>23783</v>
      </c>
      <c r="I165" s="511">
        <v>36070</v>
      </c>
      <c r="J165" s="511">
        <v>22190</v>
      </c>
    </row>
    <row r="166" spans="1:12" x14ac:dyDescent="0.35">
      <c r="A166" s="509" t="s">
        <v>805</v>
      </c>
      <c r="B166" s="533">
        <v>818</v>
      </c>
      <c r="C166" s="533">
        <v>353</v>
      </c>
      <c r="D166" s="533">
        <v>249</v>
      </c>
      <c r="E166" s="533" t="s">
        <v>690</v>
      </c>
      <c r="F166" s="533">
        <v>877</v>
      </c>
      <c r="G166" s="511">
        <v>406059</v>
      </c>
      <c r="H166" s="511">
        <v>2596138</v>
      </c>
      <c r="I166" s="511">
        <v>-330176</v>
      </c>
      <c r="J166" s="511">
        <v>182143</v>
      </c>
    </row>
    <row r="167" spans="1:12" x14ac:dyDescent="0.35">
      <c r="A167" s="509" t="s">
        <v>806</v>
      </c>
      <c r="B167" s="533" t="s">
        <v>690</v>
      </c>
      <c r="C167" s="511">
        <v>-120403</v>
      </c>
      <c r="D167" s="511">
        <v>-213256</v>
      </c>
      <c r="E167" s="511">
        <v>-293680</v>
      </c>
      <c r="F167" s="511">
        <v>1921045</v>
      </c>
      <c r="G167" s="511">
        <v>7861782</v>
      </c>
      <c r="H167" s="511">
        <v>3489779</v>
      </c>
      <c r="I167" s="511">
        <v>-2204065</v>
      </c>
      <c r="J167" s="511">
        <v>-2854772</v>
      </c>
    </row>
    <row r="168" spans="1:12" x14ac:dyDescent="0.35">
      <c r="A168" s="509" t="s">
        <v>807</v>
      </c>
      <c r="B168" s="533" t="s">
        <v>690</v>
      </c>
      <c r="C168" s="511">
        <v>-120330</v>
      </c>
      <c r="D168" s="511">
        <v>-211616</v>
      </c>
      <c r="E168" s="511">
        <v>-293680</v>
      </c>
      <c r="F168" s="511">
        <v>1926527</v>
      </c>
      <c r="G168" s="511">
        <v>7870770</v>
      </c>
      <c r="H168" s="511">
        <v>3507021</v>
      </c>
      <c r="I168" s="511">
        <v>-2182100</v>
      </c>
      <c r="J168" s="511">
        <v>-2840903</v>
      </c>
    </row>
    <row r="169" spans="1:12" x14ac:dyDescent="0.35">
      <c r="A169" s="509" t="s">
        <v>808</v>
      </c>
      <c r="B169" s="533" t="s">
        <v>690</v>
      </c>
      <c r="C169" s="511">
        <v>-27031</v>
      </c>
      <c r="D169" s="511">
        <v>-14372</v>
      </c>
      <c r="E169" s="511">
        <v>60296</v>
      </c>
      <c r="F169" s="511">
        <v>-2241307</v>
      </c>
      <c r="G169" s="511">
        <v>-764744</v>
      </c>
      <c r="H169" s="511">
        <v>2259372</v>
      </c>
      <c r="I169" s="511">
        <v>-65665</v>
      </c>
      <c r="J169" s="511">
        <v>160878</v>
      </c>
    </row>
    <row r="170" spans="1:12" x14ac:dyDescent="0.35">
      <c r="A170" s="509" t="s">
        <v>809</v>
      </c>
      <c r="B170" s="533" t="s">
        <v>690</v>
      </c>
      <c r="C170" s="511">
        <v>1276</v>
      </c>
      <c r="D170" s="511">
        <v>8018</v>
      </c>
      <c r="E170" s="533">
        <v>893</v>
      </c>
      <c r="F170" s="511">
        <v>-5263</v>
      </c>
      <c r="G170" s="511">
        <v>-118434</v>
      </c>
      <c r="H170" s="511">
        <v>-175042</v>
      </c>
      <c r="I170" s="511">
        <v>-249713</v>
      </c>
      <c r="J170" s="511">
        <v>-9246</v>
      </c>
    </row>
    <row r="171" spans="1:12" x14ac:dyDescent="0.35">
      <c r="A171" s="509" t="s">
        <v>783</v>
      </c>
      <c r="B171" s="533" t="s">
        <v>810</v>
      </c>
      <c r="C171" s="533" t="s">
        <v>845</v>
      </c>
      <c r="D171" s="533" t="s">
        <v>845</v>
      </c>
      <c r="E171" s="533" t="s">
        <v>845</v>
      </c>
      <c r="F171" s="533" t="s">
        <v>845</v>
      </c>
      <c r="G171" s="533" t="s">
        <v>810</v>
      </c>
      <c r="H171" s="533" t="s">
        <v>810</v>
      </c>
      <c r="I171" s="533" t="s">
        <v>810</v>
      </c>
      <c r="J171" s="533" t="s">
        <v>785</v>
      </c>
    </row>
    <row r="172" spans="1:12" x14ac:dyDescent="0.35">
      <c r="A172" s="509" t="s">
        <v>786</v>
      </c>
      <c r="B172" s="533" t="s">
        <v>787</v>
      </c>
      <c r="C172" s="533" t="s">
        <v>787</v>
      </c>
      <c r="D172" s="533" t="s">
        <v>787</v>
      </c>
      <c r="E172" s="533" t="s">
        <v>787</v>
      </c>
      <c r="F172" s="533" t="s">
        <v>787</v>
      </c>
      <c r="G172" s="533" t="s">
        <v>787</v>
      </c>
      <c r="H172" s="533" t="s">
        <v>787</v>
      </c>
      <c r="I172" s="533" t="s">
        <v>787</v>
      </c>
      <c r="J172" s="533" t="s">
        <v>787</v>
      </c>
    </row>
    <row r="175" spans="1:12" x14ac:dyDescent="0.35">
      <c r="A175" s="535"/>
      <c r="B175" s="535"/>
      <c r="C175" s="535"/>
      <c r="D175" s="535"/>
    </row>
    <row r="176" spans="1:12" ht="12.75" customHeight="1" x14ac:dyDescent="0.5">
      <c r="A176" s="521" t="s">
        <v>915</v>
      </c>
      <c r="B176" s="521"/>
      <c r="C176" s="521"/>
      <c r="D176" s="521"/>
      <c r="E176" s="521"/>
      <c r="F176" s="521"/>
      <c r="G176" s="521"/>
      <c r="H176" s="521"/>
      <c r="I176" s="521"/>
      <c r="J176" s="521"/>
      <c r="K176" s="521"/>
      <c r="L176" s="521"/>
    </row>
    <row r="177" spans="1:10" x14ac:dyDescent="0.35">
      <c r="A177" s="509" t="s">
        <v>893</v>
      </c>
    </row>
    <row r="179" spans="1:10" x14ac:dyDescent="0.35">
      <c r="A179" s="509" t="s">
        <v>665</v>
      </c>
      <c r="B179" s="514"/>
    </row>
    <row r="180" spans="1:10" x14ac:dyDescent="0.35">
      <c r="A180" s="509" t="s">
        <v>666</v>
      </c>
      <c r="B180" s="514"/>
    </row>
    <row r="181" spans="1:10" x14ac:dyDescent="0.35">
      <c r="A181" s="509" t="s">
        <v>667</v>
      </c>
      <c r="B181" s="514"/>
    </row>
    <row r="182" spans="1:10" x14ac:dyDescent="0.35">
      <c r="A182" s="509" t="s">
        <v>730</v>
      </c>
      <c r="B182" s="514"/>
    </row>
    <row r="183" spans="1:10" x14ac:dyDescent="0.35">
      <c r="A183" s="509" t="s">
        <v>668</v>
      </c>
      <c r="B183" s="514"/>
    </row>
    <row r="184" spans="1:10" x14ac:dyDescent="0.35">
      <c r="A184" s="509" t="s">
        <v>731</v>
      </c>
      <c r="B184" s="514"/>
    </row>
    <row r="185" spans="1:10" x14ac:dyDescent="0.35">
      <c r="A185" s="509" t="s">
        <v>732</v>
      </c>
      <c r="B185" s="514"/>
    </row>
    <row r="186" spans="1:10" x14ac:dyDescent="0.35">
      <c r="A186" s="534"/>
      <c r="B186" s="534"/>
      <c r="C186" s="534"/>
      <c r="D186" s="534"/>
      <c r="E186" s="534"/>
      <c r="F186" s="534"/>
      <c r="G186" s="534"/>
      <c r="H186" s="534"/>
      <c r="I186" s="534"/>
      <c r="J186" s="534"/>
    </row>
    <row r="187" spans="1:10" x14ac:dyDescent="0.35">
      <c r="A187" s="520" t="s">
        <v>670</v>
      </c>
      <c r="B187" s="519" t="s">
        <v>720</v>
      </c>
      <c r="C187" s="519" t="s">
        <v>671</v>
      </c>
      <c r="D187" s="519" t="s">
        <v>672</v>
      </c>
      <c r="E187" s="519" t="s">
        <v>673</v>
      </c>
      <c r="F187" s="519" t="s">
        <v>674</v>
      </c>
      <c r="G187" s="519" t="s">
        <v>675</v>
      </c>
      <c r="H187" s="519" t="s">
        <v>676</v>
      </c>
      <c r="I187" s="519" t="s">
        <v>677</v>
      </c>
      <c r="J187" s="519" t="s">
        <v>734</v>
      </c>
    </row>
    <row r="188" spans="1:10" ht="25.5" x14ac:dyDescent="0.35">
      <c r="A188" s="509" t="s">
        <v>73</v>
      </c>
      <c r="B188" s="533" t="s">
        <v>735</v>
      </c>
      <c r="C188" s="533" t="s">
        <v>735</v>
      </c>
      <c r="D188" s="533" t="s">
        <v>735</v>
      </c>
      <c r="E188" s="533" t="s">
        <v>735</v>
      </c>
      <c r="F188" s="533" t="s">
        <v>735</v>
      </c>
      <c r="G188" s="533" t="s">
        <v>735</v>
      </c>
      <c r="H188" s="533" t="s">
        <v>735</v>
      </c>
      <c r="I188" s="533" t="s">
        <v>735</v>
      </c>
      <c r="J188" s="533" t="s">
        <v>735</v>
      </c>
    </row>
    <row r="189" spans="1:10" x14ac:dyDescent="0.35">
      <c r="A189" s="509" t="s">
        <v>678</v>
      </c>
      <c r="B189" s="533" t="s">
        <v>737</v>
      </c>
      <c r="C189" s="533" t="s">
        <v>679</v>
      </c>
      <c r="D189" s="533" t="s">
        <v>680</v>
      </c>
      <c r="E189" s="533" t="s">
        <v>681</v>
      </c>
      <c r="F189" s="533" t="s">
        <v>682</v>
      </c>
      <c r="G189" s="533" t="s">
        <v>683</v>
      </c>
      <c r="H189" s="533" t="s">
        <v>684</v>
      </c>
      <c r="I189" s="533" t="s">
        <v>685</v>
      </c>
      <c r="J189" s="533" t="s">
        <v>738</v>
      </c>
    </row>
    <row r="190" spans="1:10" x14ac:dyDescent="0.35">
      <c r="A190" s="509" t="s">
        <v>739</v>
      </c>
      <c r="B190" s="533" t="s">
        <v>894</v>
      </c>
      <c r="C190" s="533" t="s">
        <v>895</v>
      </c>
      <c r="D190" s="533" t="s">
        <v>896</v>
      </c>
      <c r="E190" s="533" t="s">
        <v>897</v>
      </c>
      <c r="F190" s="533" t="s">
        <v>898</v>
      </c>
      <c r="G190" s="533" t="s">
        <v>899</v>
      </c>
      <c r="H190" s="533" t="s">
        <v>900</v>
      </c>
      <c r="I190" s="533" t="s">
        <v>900</v>
      </c>
      <c r="J190" s="533" t="s">
        <v>900</v>
      </c>
    </row>
    <row r="191" spans="1:10" x14ac:dyDescent="0.35">
      <c r="A191" s="509" t="s">
        <v>745</v>
      </c>
      <c r="B191" s="533">
        <v>0.94820000000000004</v>
      </c>
      <c r="C191" s="533">
        <v>0.83279999999999998</v>
      </c>
      <c r="D191" s="533">
        <v>0.87339999999999995</v>
      </c>
      <c r="E191" s="533">
        <v>0.8911</v>
      </c>
      <c r="F191" s="533">
        <v>0.8175</v>
      </c>
      <c r="G191" s="533">
        <v>0.87929999999999997</v>
      </c>
      <c r="H191" s="533">
        <v>0.93569999999999998</v>
      </c>
      <c r="I191" s="533">
        <v>0.90469999999999995</v>
      </c>
      <c r="J191" s="533">
        <v>0.96589999999999998</v>
      </c>
    </row>
    <row r="192" spans="1:10" x14ac:dyDescent="0.35">
      <c r="A192" s="509" t="s">
        <v>746</v>
      </c>
      <c r="B192" s="533">
        <v>0.90425999999999995</v>
      </c>
      <c r="C192" s="533">
        <v>0.88688500000000003</v>
      </c>
      <c r="D192" s="533">
        <v>0.84757199999999999</v>
      </c>
      <c r="E192" s="533">
        <v>0.89333399999999996</v>
      </c>
      <c r="F192" s="533">
        <v>0.87713099999999999</v>
      </c>
      <c r="G192" s="533">
        <v>0.84595600000000004</v>
      </c>
      <c r="H192" s="533">
        <v>0.95131500000000002</v>
      </c>
      <c r="I192" s="533">
        <v>0.92486299999999999</v>
      </c>
      <c r="J192" s="533">
        <v>0.92458499999999999</v>
      </c>
    </row>
    <row r="193" spans="1:10" x14ac:dyDescent="0.35">
      <c r="A193" s="509" t="s">
        <v>812</v>
      </c>
      <c r="B193" s="533" t="s">
        <v>813</v>
      </c>
      <c r="C193" s="533" t="s">
        <v>813</v>
      </c>
      <c r="D193" s="533" t="s">
        <v>813</v>
      </c>
      <c r="E193" s="533" t="s">
        <v>813</v>
      </c>
      <c r="F193" s="533" t="s">
        <v>813</v>
      </c>
      <c r="G193" s="533" t="s">
        <v>813</v>
      </c>
      <c r="H193" s="533" t="s">
        <v>813</v>
      </c>
      <c r="I193" s="533" t="s">
        <v>813</v>
      </c>
      <c r="J193" s="533" t="s">
        <v>813</v>
      </c>
    </row>
    <row r="194" spans="1:10" x14ac:dyDescent="0.35">
      <c r="A194" s="509" t="s">
        <v>73</v>
      </c>
      <c r="B194" s="533"/>
      <c r="C194" s="533"/>
      <c r="D194" s="533"/>
      <c r="E194" s="533"/>
      <c r="F194" s="533"/>
      <c r="G194" s="533"/>
      <c r="H194" s="533"/>
      <c r="I194" s="533"/>
      <c r="J194" s="533"/>
    </row>
    <row r="195" spans="1:10" ht="13.15" x14ac:dyDescent="0.35">
      <c r="A195" s="517" t="s">
        <v>814</v>
      </c>
      <c r="B195" s="533"/>
      <c r="C195" s="533"/>
      <c r="D195" s="533"/>
      <c r="E195" s="533"/>
      <c r="F195" s="533"/>
      <c r="G195" s="533"/>
      <c r="H195" s="533"/>
      <c r="I195" s="533"/>
      <c r="J195" s="533"/>
    </row>
    <row r="196" spans="1:10" x14ac:dyDescent="0.35">
      <c r="A196" s="509" t="s">
        <v>599</v>
      </c>
      <c r="B196" s="511">
        <v>47486</v>
      </c>
      <c r="C196" s="511">
        <v>112311</v>
      </c>
      <c r="D196" s="511">
        <v>575015</v>
      </c>
      <c r="E196" s="511">
        <v>210189</v>
      </c>
      <c r="F196" s="511">
        <v>2145120</v>
      </c>
      <c r="G196" s="511">
        <v>6021446</v>
      </c>
      <c r="H196" s="511">
        <v>2998919</v>
      </c>
      <c r="I196" s="511">
        <v>2629963</v>
      </c>
      <c r="J196" s="511">
        <v>1861289</v>
      </c>
    </row>
    <row r="197" spans="1:10" x14ac:dyDescent="0.35">
      <c r="A197" s="509" t="s">
        <v>600</v>
      </c>
      <c r="B197" s="511">
        <v>955841</v>
      </c>
      <c r="C197" s="511">
        <v>517310</v>
      </c>
      <c r="D197" s="511">
        <v>753799</v>
      </c>
      <c r="E197" s="511">
        <v>772694</v>
      </c>
      <c r="F197" s="511">
        <v>1621920</v>
      </c>
      <c r="G197" s="511">
        <v>3410805</v>
      </c>
      <c r="H197" s="511">
        <v>6266383</v>
      </c>
      <c r="I197" s="511">
        <v>5154076</v>
      </c>
      <c r="J197" s="511">
        <v>4924158</v>
      </c>
    </row>
    <row r="198" spans="1:10" x14ac:dyDescent="0.35">
      <c r="A198" s="509" t="s">
        <v>815</v>
      </c>
      <c r="B198" s="511">
        <v>1003326</v>
      </c>
      <c r="C198" s="511">
        <v>629621</v>
      </c>
      <c r="D198" s="511">
        <v>1328814</v>
      </c>
      <c r="E198" s="511">
        <v>982883</v>
      </c>
      <c r="F198" s="511">
        <v>3767040</v>
      </c>
      <c r="G198" s="511">
        <v>9432251</v>
      </c>
      <c r="H198" s="511">
        <v>9265301</v>
      </c>
      <c r="I198" s="511">
        <v>7784039</v>
      </c>
      <c r="J198" s="511">
        <v>6785448</v>
      </c>
    </row>
    <row r="199" spans="1:10" x14ac:dyDescent="0.35">
      <c r="A199" s="509" t="s">
        <v>602</v>
      </c>
      <c r="B199" s="511">
        <v>12823</v>
      </c>
      <c r="C199" s="511">
        <v>11174</v>
      </c>
      <c r="D199" s="511">
        <v>10992</v>
      </c>
      <c r="E199" s="511">
        <v>4784</v>
      </c>
      <c r="F199" s="511">
        <v>1137143</v>
      </c>
      <c r="G199" s="511">
        <v>2791778</v>
      </c>
      <c r="H199" s="511">
        <v>1295945</v>
      </c>
      <c r="I199" s="511">
        <v>806992</v>
      </c>
      <c r="J199" s="511">
        <v>345792</v>
      </c>
    </row>
    <row r="200" spans="1:10" x14ac:dyDescent="0.35">
      <c r="A200" s="509" t="s">
        <v>603</v>
      </c>
      <c r="B200" s="511">
        <v>4199</v>
      </c>
      <c r="C200" s="511">
        <v>4153</v>
      </c>
      <c r="D200" s="511">
        <v>15719</v>
      </c>
      <c r="E200" s="511">
        <v>9738</v>
      </c>
      <c r="F200" s="511">
        <v>13898</v>
      </c>
      <c r="G200" s="511">
        <v>130136</v>
      </c>
      <c r="H200" s="511">
        <v>247025</v>
      </c>
      <c r="I200" s="511">
        <v>170988</v>
      </c>
      <c r="J200" s="511">
        <v>226021</v>
      </c>
    </row>
    <row r="201" spans="1:10" x14ac:dyDescent="0.35">
      <c r="A201" s="509" t="s">
        <v>604</v>
      </c>
      <c r="B201" s="533" t="s">
        <v>690</v>
      </c>
      <c r="C201" s="533" t="s">
        <v>690</v>
      </c>
      <c r="D201" s="533" t="s">
        <v>690</v>
      </c>
      <c r="E201" s="533" t="s">
        <v>690</v>
      </c>
      <c r="F201" s="533" t="s">
        <v>690</v>
      </c>
      <c r="G201" s="533" t="s">
        <v>690</v>
      </c>
      <c r="H201" s="511">
        <v>33685</v>
      </c>
      <c r="I201" s="533" t="s">
        <v>690</v>
      </c>
      <c r="J201" s="533" t="s">
        <v>690</v>
      </c>
    </row>
    <row r="202" spans="1:10" x14ac:dyDescent="0.35">
      <c r="A202" s="509" t="s">
        <v>816</v>
      </c>
      <c r="B202" s="511">
        <v>17021</v>
      </c>
      <c r="C202" s="511">
        <v>15327</v>
      </c>
      <c r="D202" s="511">
        <v>26711</v>
      </c>
      <c r="E202" s="511">
        <v>14522</v>
      </c>
      <c r="F202" s="511">
        <v>1151040</v>
      </c>
      <c r="G202" s="511">
        <v>2921914</v>
      </c>
      <c r="H202" s="511">
        <v>1576655</v>
      </c>
      <c r="I202" s="511">
        <v>977981</v>
      </c>
      <c r="J202" s="511">
        <v>571813</v>
      </c>
    </row>
    <row r="203" spans="1:10" x14ac:dyDescent="0.35">
      <c r="A203" s="509" t="s">
        <v>605</v>
      </c>
      <c r="B203" s="533" t="s">
        <v>690</v>
      </c>
      <c r="C203" s="533" t="s">
        <v>690</v>
      </c>
      <c r="D203" s="533" t="s">
        <v>690</v>
      </c>
      <c r="E203" s="533" t="s">
        <v>690</v>
      </c>
      <c r="F203" s="511">
        <v>38423</v>
      </c>
      <c r="G203" s="511">
        <v>1519430</v>
      </c>
      <c r="H203" s="511">
        <v>1092898</v>
      </c>
      <c r="I203" s="511">
        <v>182749</v>
      </c>
      <c r="J203" s="511">
        <v>113010</v>
      </c>
    </row>
    <row r="204" spans="1:10" x14ac:dyDescent="0.35">
      <c r="A204" s="509" t="s">
        <v>606</v>
      </c>
      <c r="B204" s="511">
        <v>10490</v>
      </c>
      <c r="C204" s="511">
        <v>6528</v>
      </c>
      <c r="D204" s="511">
        <v>9084</v>
      </c>
      <c r="E204" s="511">
        <v>7552</v>
      </c>
      <c r="F204" s="511">
        <v>5723</v>
      </c>
      <c r="G204" s="511">
        <v>110792</v>
      </c>
      <c r="H204" s="511">
        <v>237668</v>
      </c>
      <c r="I204" s="511">
        <v>164655</v>
      </c>
      <c r="J204" s="511">
        <v>167101</v>
      </c>
    </row>
    <row r="205" spans="1:10" x14ac:dyDescent="0.35">
      <c r="A205" s="509" t="s">
        <v>601</v>
      </c>
      <c r="B205" s="533" t="s">
        <v>690</v>
      </c>
      <c r="C205" s="533">
        <v>792</v>
      </c>
      <c r="D205" s="533">
        <v>520</v>
      </c>
      <c r="E205" s="533">
        <v>920</v>
      </c>
      <c r="F205" s="533">
        <v>818</v>
      </c>
      <c r="G205" s="533" t="s">
        <v>690</v>
      </c>
      <c r="H205" s="533" t="s">
        <v>690</v>
      </c>
      <c r="I205" s="533" t="s">
        <v>690</v>
      </c>
      <c r="J205" s="533" t="s">
        <v>690</v>
      </c>
    </row>
    <row r="206" spans="1:10" x14ac:dyDescent="0.35">
      <c r="A206" s="509" t="s">
        <v>284</v>
      </c>
      <c r="B206" s="533" t="s">
        <v>690</v>
      </c>
      <c r="C206" s="533" t="s">
        <v>690</v>
      </c>
      <c r="D206" s="533" t="s">
        <v>690</v>
      </c>
      <c r="E206" s="533" t="s">
        <v>690</v>
      </c>
      <c r="F206" s="511">
        <v>185573</v>
      </c>
      <c r="G206" s="511">
        <v>146843</v>
      </c>
      <c r="H206" s="511">
        <v>394865</v>
      </c>
      <c r="I206" s="511">
        <v>231603</v>
      </c>
      <c r="J206" s="511">
        <v>185453</v>
      </c>
    </row>
    <row r="207" spans="1:10" x14ac:dyDescent="0.35">
      <c r="A207" s="509" t="s">
        <v>817</v>
      </c>
      <c r="B207" s="511">
        <v>1030838</v>
      </c>
      <c r="C207" s="511">
        <v>652268</v>
      </c>
      <c r="D207" s="511">
        <v>1365129</v>
      </c>
      <c r="E207" s="511">
        <v>1005877</v>
      </c>
      <c r="F207" s="511">
        <v>5148615</v>
      </c>
      <c r="G207" s="511">
        <v>14131230</v>
      </c>
      <c r="H207" s="511">
        <v>12567387</v>
      </c>
      <c r="I207" s="511">
        <v>9341028</v>
      </c>
      <c r="J207" s="511">
        <v>7822824</v>
      </c>
    </row>
    <row r="208" spans="1:10" x14ac:dyDescent="0.35">
      <c r="A208" s="509" t="s">
        <v>818</v>
      </c>
      <c r="B208" s="511">
        <v>103369</v>
      </c>
      <c r="C208" s="511">
        <v>155785</v>
      </c>
      <c r="D208" s="511">
        <v>241437</v>
      </c>
      <c r="E208" s="511">
        <v>340840</v>
      </c>
      <c r="F208" s="511">
        <v>414473</v>
      </c>
      <c r="G208" s="511">
        <v>1525586</v>
      </c>
      <c r="H208" s="511">
        <v>2617153</v>
      </c>
      <c r="I208" s="511">
        <v>2796428</v>
      </c>
      <c r="J208" s="511">
        <v>3363264</v>
      </c>
    </row>
    <row r="209" spans="1:10" x14ac:dyDescent="0.35">
      <c r="A209" s="509" t="s">
        <v>819</v>
      </c>
      <c r="B209" s="511">
        <v>-26368</v>
      </c>
      <c r="C209" s="511">
        <v>-40000</v>
      </c>
      <c r="D209" s="511">
        <v>-56296</v>
      </c>
      <c r="E209" s="511">
        <v>-84284</v>
      </c>
      <c r="F209" s="511">
        <v>-98100</v>
      </c>
      <c r="G209" s="511">
        <v>-309514</v>
      </c>
      <c r="H209" s="511">
        <v>-615691</v>
      </c>
      <c r="I209" s="511">
        <v>-391735</v>
      </c>
      <c r="J209" s="511">
        <v>-509029</v>
      </c>
    </row>
    <row r="210" spans="1:10" ht="13.15" x14ac:dyDescent="0.35">
      <c r="A210" s="517" t="s">
        <v>594</v>
      </c>
      <c r="B210" s="529">
        <v>77000</v>
      </c>
      <c r="C210" s="529">
        <v>115785</v>
      </c>
      <c r="D210" s="529">
        <v>185141</v>
      </c>
      <c r="E210" s="529">
        <v>256556</v>
      </c>
      <c r="F210" s="529">
        <v>316373</v>
      </c>
      <c r="G210" s="529">
        <v>1216072</v>
      </c>
      <c r="H210" s="529">
        <v>2001462</v>
      </c>
      <c r="I210" s="529">
        <v>2404693</v>
      </c>
      <c r="J210" s="529">
        <v>2854235</v>
      </c>
    </row>
    <row r="211" spans="1:10" x14ac:dyDescent="0.35">
      <c r="A211" s="509" t="s">
        <v>595</v>
      </c>
      <c r="B211" s="511">
        <v>224315</v>
      </c>
      <c r="C211" s="511">
        <v>121465</v>
      </c>
      <c r="D211" s="511">
        <v>151089</v>
      </c>
      <c r="E211" s="511">
        <v>142564</v>
      </c>
      <c r="F211" s="511">
        <v>522383</v>
      </c>
      <c r="G211" s="511">
        <v>6017050</v>
      </c>
      <c r="H211" s="511">
        <v>7822452</v>
      </c>
      <c r="I211" s="511">
        <v>4290992</v>
      </c>
      <c r="J211" s="511">
        <v>2422477</v>
      </c>
    </row>
    <row r="212" spans="1:10" x14ac:dyDescent="0.35">
      <c r="A212" s="509" t="s">
        <v>453</v>
      </c>
      <c r="B212" s="533" t="s">
        <v>690</v>
      </c>
      <c r="C212" s="533" t="s">
        <v>690</v>
      </c>
      <c r="D212" s="533" t="s">
        <v>690</v>
      </c>
      <c r="E212" s="533" t="s">
        <v>690</v>
      </c>
      <c r="F212" s="533" t="s">
        <v>690</v>
      </c>
      <c r="G212" s="533" t="s">
        <v>690</v>
      </c>
      <c r="H212" s="533" t="s">
        <v>690</v>
      </c>
      <c r="I212" s="511">
        <v>47044</v>
      </c>
      <c r="J212" s="511">
        <v>50227</v>
      </c>
    </row>
    <row r="213" spans="1:10" x14ac:dyDescent="0.35">
      <c r="A213" s="509" t="s">
        <v>596</v>
      </c>
      <c r="B213" s="533" t="s">
        <v>690</v>
      </c>
      <c r="C213" s="533" t="s">
        <v>690</v>
      </c>
      <c r="D213" s="533" t="s">
        <v>690</v>
      </c>
      <c r="E213" s="533" t="s">
        <v>690</v>
      </c>
      <c r="F213" s="533" t="s">
        <v>690</v>
      </c>
      <c r="G213" s="533" t="s">
        <v>690</v>
      </c>
      <c r="H213" s="533" t="s">
        <v>690</v>
      </c>
      <c r="I213" s="511">
        <v>39807</v>
      </c>
      <c r="J213" s="511">
        <v>38636</v>
      </c>
    </row>
    <row r="214" spans="1:10" x14ac:dyDescent="0.35">
      <c r="A214" s="509" t="s">
        <v>597</v>
      </c>
      <c r="B214" s="533" t="s">
        <v>690</v>
      </c>
      <c r="C214" s="533" t="s">
        <v>690</v>
      </c>
      <c r="D214" s="533" t="s">
        <v>690</v>
      </c>
      <c r="E214" s="533" t="s">
        <v>690</v>
      </c>
      <c r="F214" s="533" t="s">
        <v>690</v>
      </c>
      <c r="G214" s="511">
        <v>286652</v>
      </c>
      <c r="H214" s="511">
        <v>918857</v>
      </c>
      <c r="I214" s="533" t="s">
        <v>690</v>
      </c>
      <c r="J214" s="533" t="s">
        <v>690</v>
      </c>
    </row>
    <row r="215" spans="1:10" x14ac:dyDescent="0.35">
      <c r="A215" s="509" t="s">
        <v>598</v>
      </c>
      <c r="B215" s="511">
        <v>11599</v>
      </c>
      <c r="C215" s="511">
        <v>13645</v>
      </c>
      <c r="D215" s="511">
        <v>12381</v>
      </c>
      <c r="E215" s="511">
        <v>11337</v>
      </c>
      <c r="F215" s="511">
        <v>10628</v>
      </c>
      <c r="G215" s="511">
        <v>40448</v>
      </c>
      <c r="H215" s="511">
        <v>885172</v>
      </c>
      <c r="I215" s="511">
        <v>546439</v>
      </c>
      <c r="J215" s="511">
        <v>471359</v>
      </c>
    </row>
    <row r="216" spans="1:10" x14ac:dyDescent="0.35">
      <c r="A216" s="509" t="s">
        <v>287</v>
      </c>
      <c r="B216" s="511">
        <v>1343752</v>
      </c>
      <c r="C216" s="511">
        <v>903162</v>
      </c>
      <c r="D216" s="511">
        <v>1713741</v>
      </c>
      <c r="E216" s="511">
        <v>1416334</v>
      </c>
      <c r="F216" s="511">
        <v>5997998</v>
      </c>
      <c r="G216" s="511">
        <v>21691452</v>
      </c>
      <c r="H216" s="511">
        <v>24195331</v>
      </c>
      <c r="I216" s="511">
        <v>16670002</v>
      </c>
      <c r="J216" s="511">
        <v>13659758</v>
      </c>
    </row>
    <row r="217" spans="1:10" ht="13.15" x14ac:dyDescent="0.35">
      <c r="A217" s="517" t="s">
        <v>820</v>
      </c>
      <c r="B217" s="533"/>
      <c r="C217" s="533"/>
      <c r="D217" s="533"/>
      <c r="E217" s="533"/>
      <c r="F217" s="533"/>
      <c r="G217" s="533"/>
      <c r="H217" s="533"/>
      <c r="I217" s="533"/>
      <c r="J217" s="533"/>
    </row>
    <row r="218" spans="1:10" x14ac:dyDescent="0.35">
      <c r="A218" s="509" t="s">
        <v>616</v>
      </c>
      <c r="B218" s="511">
        <v>26698</v>
      </c>
      <c r="C218" s="511">
        <v>17260</v>
      </c>
      <c r="D218" s="511">
        <v>27259</v>
      </c>
      <c r="E218" s="511">
        <v>6318</v>
      </c>
      <c r="F218" s="511">
        <v>14715</v>
      </c>
      <c r="G218" s="511">
        <v>265549</v>
      </c>
      <c r="H218" s="511">
        <v>455686</v>
      </c>
      <c r="I218" s="511">
        <v>470444</v>
      </c>
      <c r="J218" s="511">
        <v>391190</v>
      </c>
    </row>
    <row r="219" spans="1:10" x14ac:dyDescent="0.35">
      <c r="A219" s="509" t="s">
        <v>617</v>
      </c>
      <c r="B219" s="511">
        <v>16664</v>
      </c>
      <c r="C219" s="511">
        <v>48378</v>
      </c>
      <c r="D219" s="511">
        <v>58504</v>
      </c>
      <c r="E219" s="511">
        <v>56694</v>
      </c>
      <c r="F219" s="511">
        <v>384225</v>
      </c>
      <c r="G219" s="511">
        <v>1294330</v>
      </c>
      <c r="H219" s="511">
        <v>1710460</v>
      </c>
      <c r="I219" s="511">
        <v>967124</v>
      </c>
      <c r="J219" s="511">
        <v>867378</v>
      </c>
    </row>
    <row r="220" spans="1:10" x14ac:dyDescent="0.35">
      <c r="A220" s="509" t="s">
        <v>618</v>
      </c>
      <c r="B220" s="533" t="s">
        <v>690</v>
      </c>
      <c r="C220" s="533" t="s">
        <v>690</v>
      </c>
      <c r="D220" s="533" t="s">
        <v>690</v>
      </c>
      <c r="E220" s="511">
        <v>3193</v>
      </c>
      <c r="F220" s="511">
        <v>24525</v>
      </c>
      <c r="G220" s="511">
        <v>185532</v>
      </c>
      <c r="H220" s="511">
        <v>183397</v>
      </c>
      <c r="I220" s="511">
        <v>22618</v>
      </c>
      <c r="J220" s="511">
        <v>35738</v>
      </c>
    </row>
    <row r="221" spans="1:10" x14ac:dyDescent="0.35">
      <c r="A221" s="509" t="s">
        <v>619</v>
      </c>
      <c r="B221" s="533" t="s">
        <v>690</v>
      </c>
      <c r="C221" s="533" t="s">
        <v>690</v>
      </c>
      <c r="D221" s="533" t="s">
        <v>690</v>
      </c>
      <c r="E221" s="533" t="s">
        <v>690</v>
      </c>
      <c r="F221" s="533" t="s">
        <v>690</v>
      </c>
      <c r="G221" s="511">
        <v>770267</v>
      </c>
      <c r="H221" s="511">
        <v>44914</v>
      </c>
      <c r="I221" s="533" t="s">
        <v>690</v>
      </c>
      <c r="J221" s="533" t="s">
        <v>690</v>
      </c>
    </row>
    <row r="222" spans="1:10" x14ac:dyDescent="0.35">
      <c r="A222" s="509" t="s">
        <v>620</v>
      </c>
      <c r="B222" s="511">
        <v>102158</v>
      </c>
      <c r="C222" s="511">
        <v>80564</v>
      </c>
      <c r="D222" s="511">
        <v>95250</v>
      </c>
      <c r="E222" s="511">
        <v>56416</v>
      </c>
      <c r="F222" s="511">
        <v>3161273</v>
      </c>
      <c r="G222" s="511">
        <v>5498263</v>
      </c>
      <c r="H222" s="511">
        <v>1906957</v>
      </c>
      <c r="I222" s="511">
        <v>513870</v>
      </c>
      <c r="J222" s="511">
        <v>147783</v>
      </c>
    </row>
    <row r="223" spans="1:10" x14ac:dyDescent="0.35">
      <c r="A223" s="509" t="s">
        <v>297</v>
      </c>
      <c r="B223" s="511">
        <v>8849</v>
      </c>
      <c r="C223" s="511">
        <v>13247</v>
      </c>
      <c r="D223" s="511">
        <v>13584</v>
      </c>
      <c r="E223" s="511">
        <v>4909</v>
      </c>
      <c r="F223" s="511">
        <v>3270</v>
      </c>
      <c r="G223" s="511">
        <v>12310</v>
      </c>
      <c r="H223" s="511">
        <v>305038</v>
      </c>
      <c r="I223" s="511">
        <v>753615</v>
      </c>
      <c r="J223" s="511">
        <v>688687</v>
      </c>
    </row>
    <row r="224" spans="1:10" x14ac:dyDescent="0.35">
      <c r="A224" s="509" t="s">
        <v>821</v>
      </c>
      <c r="B224" s="511">
        <v>154369</v>
      </c>
      <c r="C224" s="511">
        <v>159449</v>
      </c>
      <c r="D224" s="511">
        <v>194596</v>
      </c>
      <c r="E224" s="511">
        <v>127530</v>
      </c>
      <c r="F224" s="511">
        <v>3588008</v>
      </c>
      <c r="G224" s="511">
        <v>8026250</v>
      </c>
      <c r="H224" s="511">
        <v>4606451</v>
      </c>
      <c r="I224" s="511">
        <v>2727671</v>
      </c>
      <c r="J224" s="511">
        <v>2130775</v>
      </c>
    </row>
    <row r="225" spans="1:10" x14ac:dyDescent="0.35">
      <c r="A225" s="509" t="s">
        <v>612</v>
      </c>
      <c r="B225" s="511">
        <v>11853</v>
      </c>
      <c r="C225" s="533" t="s">
        <v>690</v>
      </c>
      <c r="D225" s="533" t="s">
        <v>690</v>
      </c>
      <c r="E225" s="533" t="s">
        <v>690</v>
      </c>
      <c r="F225" s="533" t="s">
        <v>690</v>
      </c>
      <c r="G225" s="533" t="s">
        <v>690</v>
      </c>
      <c r="H225" s="533" t="s">
        <v>690</v>
      </c>
      <c r="I225" s="533" t="s">
        <v>690</v>
      </c>
      <c r="J225" s="533" t="s">
        <v>690</v>
      </c>
    </row>
    <row r="226" spans="1:10" x14ac:dyDescent="0.35">
      <c r="A226" s="509" t="s">
        <v>613</v>
      </c>
      <c r="B226" s="533" t="s">
        <v>690</v>
      </c>
      <c r="C226" s="511">
        <v>13064</v>
      </c>
      <c r="D226" s="511">
        <v>29249</v>
      </c>
      <c r="E226" s="511">
        <v>117950</v>
      </c>
      <c r="F226" s="511">
        <v>169223</v>
      </c>
      <c r="G226" s="511">
        <v>619907</v>
      </c>
      <c r="H226" s="511">
        <v>939443</v>
      </c>
      <c r="I226" s="511">
        <v>1101925</v>
      </c>
      <c r="J226" s="511">
        <v>685789</v>
      </c>
    </row>
    <row r="227" spans="1:10" x14ac:dyDescent="0.35">
      <c r="A227" s="509" t="s">
        <v>614</v>
      </c>
      <c r="B227" s="511">
        <v>373828</v>
      </c>
      <c r="C227" s="511">
        <v>202311</v>
      </c>
      <c r="D227" s="511">
        <v>144418</v>
      </c>
      <c r="E227" s="511">
        <v>123858</v>
      </c>
      <c r="F227" s="511">
        <v>144698</v>
      </c>
      <c r="G227" s="511">
        <v>540770</v>
      </c>
      <c r="H227" s="511">
        <v>629726</v>
      </c>
      <c r="I227" s="511">
        <v>75090</v>
      </c>
      <c r="J227" s="511">
        <v>56022</v>
      </c>
    </row>
    <row r="228" spans="1:10" x14ac:dyDescent="0.35">
      <c r="A228" s="509" t="s">
        <v>615</v>
      </c>
      <c r="B228" s="511">
        <v>5460</v>
      </c>
      <c r="C228" s="511">
        <v>7592</v>
      </c>
      <c r="D228" s="511">
        <v>8965</v>
      </c>
      <c r="E228" s="533">
        <v>123</v>
      </c>
      <c r="F228" s="511">
        <v>2453</v>
      </c>
      <c r="G228" s="511">
        <v>66827</v>
      </c>
      <c r="H228" s="511">
        <v>126320</v>
      </c>
      <c r="I228" s="511">
        <v>231603</v>
      </c>
      <c r="J228" s="511">
        <v>257895</v>
      </c>
    </row>
    <row r="229" spans="1:10" x14ac:dyDescent="0.35">
      <c r="A229" s="509" t="s">
        <v>822</v>
      </c>
      <c r="B229" s="511">
        <v>545509</v>
      </c>
      <c r="C229" s="511">
        <v>382416</v>
      </c>
      <c r="D229" s="511">
        <v>377228</v>
      </c>
      <c r="E229" s="511">
        <v>369461</v>
      </c>
      <c r="F229" s="511">
        <v>3904380</v>
      </c>
      <c r="G229" s="511">
        <v>9253753</v>
      </c>
      <c r="H229" s="511">
        <v>6301940</v>
      </c>
      <c r="I229" s="511">
        <v>4136288</v>
      </c>
      <c r="J229" s="511">
        <v>3130482</v>
      </c>
    </row>
    <row r="230" spans="1:10" ht="13.15" x14ac:dyDescent="0.35">
      <c r="A230" s="517" t="s">
        <v>823</v>
      </c>
      <c r="B230" s="533"/>
      <c r="C230" s="533"/>
      <c r="D230" s="533"/>
      <c r="E230" s="533"/>
      <c r="F230" s="533"/>
      <c r="G230" s="533"/>
      <c r="H230" s="533"/>
      <c r="I230" s="533"/>
      <c r="J230" s="533"/>
    </row>
    <row r="231" spans="1:10" x14ac:dyDescent="0.35">
      <c r="A231" s="509" t="s">
        <v>607</v>
      </c>
      <c r="B231" s="511">
        <v>1115710</v>
      </c>
      <c r="C231" s="511">
        <v>979923</v>
      </c>
      <c r="D231" s="533" t="s">
        <v>690</v>
      </c>
      <c r="E231" s="533" t="s">
        <v>690</v>
      </c>
      <c r="F231" s="533" t="s">
        <v>690</v>
      </c>
      <c r="G231" s="533" t="s">
        <v>690</v>
      </c>
      <c r="H231" s="533" t="s">
        <v>690</v>
      </c>
      <c r="I231" s="533" t="s">
        <v>690</v>
      </c>
      <c r="J231" s="533" t="s">
        <v>690</v>
      </c>
    </row>
    <row r="232" spans="1:10" ht="13.15" x14ac:dyDescent="0.35">
      <c r="A232" s="517" t="s">
        <v>916</v>
      </c>
      <c r="B232" s="529">
        <v>1115710</v>
      </c>
      <c r="C232" s="529">
        <v>979923</v>
      </c>
      <c r="D232" s="532" t="s">
        <v>690</v>
      </c>
      <c r="E232" s="532" t="s">
        <v>690</v>
      </c>
      <c r="F232" s="532" t="s">
        <v>690</v>
      </c>
      <c r="G232" s="532" t="s">
        <v>690</v>
      </c>
      <c r="H232" s="532" t="s">
        <v>690</v>
      </c>
      <c r="I232" s="532" t="s">
        <v>690</v>
      </c>
      <c r="J232" s="532" t="s">
        <v>690</v>
      </c>
    </row>
    <row r="233" spans="1:10" x14ac:dyDescent="0.35">
      <c r="A233" s="509" t="s">
        <v>608</v>
      </c>
      <c r="B233" s="533">
        <v>13</v>
      </c>
      <c r="C233" s="533">
        <v>5</v>
      </c>
      <c r="D233" s="533">
        <v>29</v>
      </c>
      <c r="E233" s="533">
        <v>30</v>
      </c>
      <c r="F233" s="533" t="s">
        <v>690</v>
      </c>
      <c r="G233" s="533" t="s">
        <v>690</v>
      </c>
      <c r="H233" s="533" t="s">
        <v>690</v>
      </c>
      <c r="I233" s="533" t="s">
        <v>690</v>
      </c>
      <c r="J233" s="533" t="s">
        <v>690</v>
      </c>
    </row>
    <row r="234" spans="1:10" x14ac:dyDescent="0.35">
      <c r="A234" s="509" t="s">
        <v>609</v>
      </c>
      <c r="B234" s="511">
        <v>29676</v>
      </c>
      <c r="C234" s="511">
        <v>59694</v>
      </c>
      <c r="D234" s="511">
        <v>2216825</v>
      </c>
      <c r="E234" s="511">
        <v>2378726</v>
      </c>
      <c r="F234" s="511">
        <v>3925635</v>
      </c>
      <c r="G234" s="511">
        <v>3702732</v>
      </c>
      <c r="H234" s="511">
        <v>1097576</v>
      </c>
      <c r="I234" s="511">
        <v>335644</v>
      </c>
      <c r="J234" s="511">
        <v>836469</v>
      </c>
    </row>
    <row r="235" spans="1:10" x14ac:dyDescent="0.35">
      <c r="A235" s="509" t="s">
        <v>610</v>
      </c>
      <c r="B235" s="511">
        <v>-346774</v>
      </c>
      <c r="C235" s="511">
        <v>-517912</v>
      </c>
      <c r="D235" s="511">
        <v>-879188</v>
      </c>
      <c r="E235" s="511">
        <v>-1333490</v>
      </c>
      <c r="F235" s="511">
        <v>-1834470</v>
      </c>
      <c r="G235" s="511">
        <v>8756069</v>
      </c>
      <c r="H235" s="511">
        <v>17142024</v>
      </c>
      <c r="I235" s="511">
        <v>12309348</v>
      </c>
      <c r="J235" s="511">
        <v>9702466</v>
      </c>
    </row>
    <row r="236" spans="1:10" x14ac:dyDescent="0.35">
      <c r="A236" s="509" t="s">
        <v>611</v>
      </c>
      <c r="B236" s="533">
        <v>-382</v>
      </c>
      <c r="C236" s="533">
        <v>-964</v>
      </c>
      <c r="D236" s="511">
        <v>-1153</v>
      </c>
      <c r="E236" s="511">
        <v>1608</v>
      </c>
      <c r="F236" s="511">
        <v>2453</v>
      </c>
      <c r="G236" s="511">
        <v>-21103</v>
      </c>
      <c r="H236" s="511">
        <v>-346209</v>
      </c>
      <c r="I236" s="511">
        <v>-111278</v>
      </c>
      <c r="J236" s="511">
        <v>-9659</v>
      </c>
    </row>
    <row r="237" spans="1:10" x14ac:dyDescent="0.35">
      <c r="A237" s="509" t="s">
        <v>824</v>
      </c>
      <c r="B237" s="511">
        <v>-317467</v>
      </c>
      <c r="C237" s="511">
        <v>-459177</v>
      </c>
      <c r="D237" s="511">
        <v>1336512</v>
      </c>
      <c r="E237" s="511">
        <v>1046873</v>
      </c>
      <c r="F237" s="511">
        <v>2093618</v>
      </c>
      <c r="G237" s="511">
        <v>12437699</v>
      </c>
      <c r="H237" s="511">
        <v>17893391</v>
      </c>
      <c r="I237" s="511">
        <v>12533714</v>
      </c>
      <c r="J237" s="511">
        <v>10529276</v>
      </c>
    </row>
    <row r="238" spans="1:10" x14ac:dyDescent="0.35">
      <c r="A238" s="509" t="s">
        <v>825</v>
      </c>
      <c r="B238" s="511">
        <v>798243</v>
      </c>
      <c r="C238" s="511">
        <v>520747</v>
      </c>
      <c r="D238" s="511">
        <v>1336512</v>
      </c>
      <c r="E238" s="511">
        <v>1046873</v>
      </c>
      <c r="F238" s="511">
        <v>2093618</v>
      </c>
      <c r="G238" s="511">
        <v>12437699</v>
      </c>
      <c r="H238" s="511">
        <v>17893391</v>
      </c>
      <c r="I238" s="511">
        <v>12533714</v>
      </c>
      <c r="J238" s="511">
        <v>10529276</v>
      </c>
    </row>
    <row r="239" spans="1:10" x14ac:dyDescent="0.35">
      <c r="A239" s="509" t="s">
        <v>826</v>
      </c>
      <c r="B239" s="511">
        <v>1343752</v>
      </c>
      <c r="C239" s="511">
        <v>903162</v>
      </c>
      <c r="D239" s="511">
        <v>1713741</v>
      </c>
      <c r="E239" s="511">
        <v>1416334</v>
      </c>
      <c r="F239" s="511">
        <v>5997998</v>
      </c>
      <c r="G239" s="511">
        <v>21691452</v>
      </c>
      <c r="H239" s="511">
        <v>24195331</v>
      </c>
      <c r="I239" s="511">
        <v>16670002</v>
      </c>
      <c r="J239" s="511">
        <v>13659758</v>
      </c>
    </row>
    <row r="240" spans="1:10" ht="13.15" x14ac:dyDescent="0.35">
      <c r="A240" s="517" t="s">
        <v>827</v>
      </c>
      <c r="B240" s="533"/>
      <c r="C240" s="533"/>
      <c r="D240" s="533"/>
      <c r="E240" s="533"/>
      <c r="F240" s="533"/>
      <c r="G240" s="533"/>
      <c r="H240" s="533"/>
      <c r="I240" s="533"/>
      <c r="J240" s="533"/>
    </row>
    <row r="241" spans="1:10" x14ac:dyDescent="0.35">
      <c r="A241" s="509" t="s">
        <v>828</v>
      </c>
      <c r="B241" s="511">
        <v>63541690</v>
      </c>
      <c r="C241" s="511">
        <v>65206999</v>
      </c>
      <c r="D241" s="511">
        <v>329000469</v>
      </c>
      <c r="E241" s="511">
        <v>368642548</v>
      </c>
      <c r="F241" s="511">
        <v>399769582</v>
      </c>
      <c r="G241" s="511">
        <v>402872986</v>
      </c>
      <c r="H241" s="511">
        <v>386339594</v>
      </c>
      <c r="I241" s="511">
        <v>382073208</v>
      </c>
      <c r="J241" s="511">
        <v>385815877</v>
      </c>
    </row>
    <row r="242" spans="1:10" x14ac:dyDescent="0.35">
      <c r="A242" s="509" t="s">
        <v>829</v>
      </c>
      <c r="B242" s="511">
        <v>63541690</v>
      </c>
      <c r="C242" s="511">
        <v>65206999</v>
      </c>
      <c r="D242" s="511">
        <v>328798904</v>
      </c>
      <c r="E242" s="511">
        <v>336536985</v>
      </c>
      <c r="F242" s="511">
        <v>398787678</v>
      </c>
      <c r="G242" s="511">
        <v>403000000</v>
      </c>
      <c r="H242" s="511">
        <v>385000000</v>
      </c>
      <c r="I242" s="511">
        <v>382000000</v>
      </c>
      <c r="J242" s="511">
        <v>386000000</v>
      </c>
    </row>
    <row r="243" spans="1:10" x14ac:dyDescent="0.35">
      <c r="A243" s="509" t="s">
        <v>830</v>
      </c>
      <c r="B243" s="533">
        <v>-5</v>
      </c>
      <c r="C243" s="533">
        <v>-7.04</v>
      </c>
      <c r="D243" s="533">
        <v>4.0599999999999996</v>
      </c>
      <c r="E243" s="533">
        <v>3.11</v>
      </c>
      <c r="F243" s="533">
        <v>5.25</v>
      </c>
      <c r="G243" s="533">
        <v>30.86</v>
      </c>
      <c r="H243" s="533">
        <v>46.48</v>
      </c>
      <c r="I243" s="533">
        <v>32.81</v>
      </c>
      <c r="J243" s="533">
        <v>27.28</v>
      </c>
    </row>
    <row r="244" spans="1:10" x14ac:dyDescent="0.35">
      <c r="A244" s="509" t="s">
        <v>831</v>
      </c>
      <c r="B244" s="511">
        <v>-317467</v>
      </c>
      <c r="C244" s="511">
        <v>-459177</v>
      </c>
      <c r="D244" s="511">
        <v>1336512</v>
      </c>
      <c r="E244" s="511">
        <v>1046873</v>
      </c>
      <c r="F244" s="511">
        <v>2093618</v>
      </c>
      <c r="G244" s="511">
        <v>12437699</v>
      </c>
      <c r="H244" s="511">
        <v>17893391</v>
      </c>
      <c r="I244" s="511">
        <v>12446863</v>
      </c>
      <c r="J244" s="511">
        <v>10440413</v>
      </c>
    </row>
    <row r="245" spans="1:10" x14ac:dyDescent="0.35">
      <c r="A245" s="509" t="s">
        <v>832</v>
      </c>
      <c r="B245" s="533">
        <v>-5</v>
      </c>
      <c r="C245" s="533">
        <v>-7.04</v>
      </c>
      <c r="D245" s="533">
        <v>4.0599999999999996</v>
      </c>
      <c r="E245" s="533">
        <v>3.11</v>
      </c>
      <c r="F245" s="533">
        <v>5.25</v>
      </c>
      <c r="G245" s="533">
        <v>30.86</v>
      </c>
      <c r="H245" s="533">
        <v>46.48</v>
      </c>
      <c r="I245" s="533">
        <v>32.58</v>
      </c>
      <c r="J245" s="533">
        <v>27.05</v>
      </c>
    </row>
    <row r="246" spans="1:10" x14ac:dyDescent="0.35">
      <c r="A246" s="509" t="s">
        <v>833</v>
      </c>
      <c r="B246" s="511">
        <v>11853</v>
      </c>
      <c r="C246" s="511">
        <v>13064</v>
      </c>
      <c r="D246" s="511">
        <v>29249</v>
      </c>
      <c r="E246" s="511">
        <v>121142</v>
      </c>
      <c r="F246" s="511">
        <v>193748</v>
      </c>
      <c r="G246" s="511">
        <v>805439</v>
      </c>
      <c r="H246" s="511">
        <v>1122840</v>
      </c>
      <c r="I246" s="511">
        <v>1124542</v>
      </c>
      <c r="J246" s="511">
        <v>721527</v>
      </c>
    </row>
    <row r="247" spans="1:10" x14ac:dyDescent="0.35">
      <c r="A247" s="509" t="s">
        <v>44</v>
      </c>
      <c r="B247" s="511">
        <v>-991474</v>
      </c>
      <c r="C247" s="511">
        <v>-616557</v>
      </c>
      <c r="D247" s="511">
        <v>-1299565</v>
      </c>
      <c r="E247" s="511">
        <v>-861741</v>
      </c>
      <c r="F247" s="511">
        <v>-4095675</v>
      </c>
      <c r="G247" s="511">
        <v>-14643862</v>
      </c>
      <c r="H247" s="511">
        <v>-15925614</v>
      </c>
      <c r="I247" s="511">
        <v>-10890779</v>
      </c>
      <c r="J247" s="511">
        <v>-8472875</v>
      </c>
    </row>
    <row r="248" spans="1:10" x14ac:dyDescent="0.35">
      <c r="A248" s="509" t="s">
        <v>834</v>
      </c>
      <c r="B248" s="533" t="s">
        <v>690</v>
      </c>
      <c r="C248" s="533" t="s">
        <v>690</v>
      </c>
      <c r="D248" s="533" t="s">
        <v>690</v>
      </c>
      <c r="E248" s="533" t="s">
        <v>690</v>
      </c>
      <c r="F248" s="533" t="s">
        <v>690</v>
      </c>
      <c r="G248" s="511">
        <v>7914</v>
      </c>
      <c r="H248" s="533" t="s">
        <v>690</v>
      </c>
      <c r="I248" s="533" t="s">
        <v>690</v>
      </c>
      <c r="J248" s="533" t="s">
        <v>690</v>
      </c>
    </row>
    <row r="249" spans="1:10" x14ac:dyDescent="0.35">
      <c r="A249" s="509" t="s">
        <v>835</v>
      </c>
      <c r="B249" s="511">
        <v>99107</v>
      </c>
      <c r="C249" s="511">
        <v>131968</v>
      </c>
      <c r="D249" s="511">
        <v>129509</v>
      </c>
      <c r="E249" s="533" t="s">
        <v>690</v>
      </c>
      <c r="F249" s="511">
        <v>245597</v>
      </c>
      <c r="G249" s="511">
        <v>1170802</v>
      </c>
      <c r="H249" s="511">
        <v>1621040</v>
      </c>
      <c r="I249" s="511">
        <v>1501978</v>
      </c>
      <c r="J249" s="511">
        <v>1168676</v>
      </c>
    </row>
    <row r="250" spans="1:10" x14ac:dyDescent="0.35">
      <c r="A250" s="509" t="s">
        <v>837</v>
      </c>
      <c r="B250" s="533" t="s">
        <v>690</v>
      </c>
      <c r="C250" s="533" t="s">
        <v>690</v>
      </c>
      <c r="D250" s="533" t="s">
        <v>690</v>
      </c>
      <c r="E250" s="533" t="s">
        <v>690</v>
      </c>
      <c r="F250" s="511">
        <v>30248</v>
      </c>
      <c r="G250" s="511">
        <v>764991</v>
      </c>
      <c r="H250" s="511">
        <v>538028</v>
      </c>
      <c r="I250" s="511">
        <v>147466</v>
      </c>
      <c r="J250" s="511">
        <v>60852</v>
      </c>
    </row>
    <row r="251" spans="1:10" x14ac:dyDescent="0.35">
      <c r="A251" s="509" t="s">
        <v>838</v>
      </c>
      <c r="B251" s="533" t="s">
        <v>690</v>
      </c>
      <c r="C251" s="533" t="s">
        <v>690</v>
      </c>
      <c r="D251" s="533" t="s">
        <v>690</v>
      </c>
      <c r="E251" s="533" t="s">
        <v>690</v>
      </c>
      <c r="F251" s="511">
        <v>7358</v>
      </c>
      <c r="G251" s="511">
        <v>297203</v>
      </c>
      <c r="H251" s="511">
        <v>191819</v>
      </c>
      <c r="I251" s="511">
        <v>13571</v>
      </c>
      <c r="J251" s="511">
        <v>25113</v>
      </c>
    </row>
    <row r="252" spans="1:10" x14ac:dyDescent="0.35">
      <c r="A252" s="509" t="s">
        <v>839</v>
      </c>
      <c r="B252" s="533" t="s">
        <v>690</v>
      </c>
      <c r="C252" s="533" t="s">
        <v>690</v>
      </c>
      <c r="D252" s="533" t="s">
        <v>690</v>
      </c>
      <c r="E252" s="533" t="s">
        <v>690</v>
      </c>
      <c r="F252" s="533">
        <v>818</v>
      </c>
      <c r="G252" s="511">
        <v>204877</v>
      </c>
      <c r="H252" s="511">
        <v>158133</v>
      </c>
      <c r="I252" s="511">
        <v>21713</v>
      </c>
      <c r="J252" s="511">
        <v>27045</v>
      </c>
    </row>
    <row r="253" spans="1:10" x14ac:dyDescent="0.35">
      <c r="A253" s="509" t="s">
        <v>840</v>
      </c>
      <c r="B253" s="533" t="s">
        <v>690</v>
      </c>
      <c r="C253" s="533" t="s">
        <v>690</v>
      </c>
      <c r="D253" s="533" t="s">
        <v>690</v>
      </c>
      <c r="E253" s="533" t="s">
        <v>690</v>
      </c>
      <c r="F253" s="533" t="s">
        <v>690</v>
      </c>
      <c r="G253" s="533" t="s">
        <v>690</v>
      </c>
      <c r="H253" s="511">
        <v>10293</v>
      </c>
      <c r="I253" s="511">
        <v>19903</v>
      </c>
      <c r="J253" s="511">
        <v>56988</v>
      </c>
    </row>
    <row r="254" spans="1:10" x14ac:dyDescent="0.35">
      <c r="A254" s="509" t="s">
        <v>917</v>
      </c>
      <c r="B254" s="533" t="s">
        <v>690</v>
      </c>
      <c r="C254" s="533" t="s">
        <v>690</v>
      </c>
      <c r="D254" s="511">
        <v>122662</v>
      </c>
      <c r="E254" s="533" t="s">
        <v>690</v>
      </c>
      <c r="F254" s="533" t="s">
        <v>690</v>
      </c>
      <c r="G254" s="533" t="s">
        <v>690</v>
      </c>
      <c r="H254" s="533" t="s">
        <v>690</v>
      </c>
      <c r="I254" s="533" t="s">
        <v>690</v>
      </c>
      <c r="J254" s="511">
        <v>717664</v>
      </c>
    </row>
    <row r="255" spans="1:10" x14ac:dyDescent="0.35">
      <c r="A255" s="509" t="s">
        <v>841</v>
      </c>
      <c r="B255" s="511">
        <v>64420</v>
      </c>
      <c r="C255" s="511">
        <v>72504</v>
      </c>
      <c r="D255" s="511">
        <v>96547</v>
      </c>
      <c r="E255" s="511">
        <v>110103</v>
      </c>
      <c r="F255" s="511">
        <v>113633</v>
      </c>
      <c r="G255" s="511">
        <v>185532</v>
      </c>
      <c r="H255" s="511">
        <v>320945</v>
      </c>
      <c r="I255" s="511">
        <v>402592</v>
      </c>
      <c r="J255" s="511">
        <v>507098</v>
      </c>
    </row>
    <row r="256" spans="1:10" x14ac:dyDescent="0.35">
      <c r="A256" s="509" t="s">
        <v>842</v>
      </c>
      <c r="B256" s="511">
        <v>20740</v>
      </c>
      <c r="C256" s="511">
        <v>67256</v>
      </c>
      <c r="D256" s="511">
        <v>4094</v>
      </c>
      <c r="E256" s="511">
        <v>2871</v>
      </c>
      <c r="F256" s="511">
        <v>28613</v>
      </c>
      <c r="G256" s="511">
        <v>186412</v>
      </c>
      <c r="H256" s="511">
        <v>262932</v>
      </c>
      <c r="I256" s="511">
        <v>778042</v>
      </c>
      <c r="J256" s="511">
        <v>1020956</v>
      </c>
    </row>
    <row r="257" spans="1:10" x14ac:dyDescent="0.35">
      <c r="A257" s="509" t="s">
        <v>918</v>
      </c>
      <c r="B257" s="511">
        <v>11292</v>
      </c>
      <c r="C257" s="511">
        <v>10178</v>
      </c>
      <c r="D257" s="511">
        <v>12001</v>
      </c>
      <c r="E257" s="511">
        <v>135827</v>
      </c>
      <c r="F257" s="511">
        <v>147150</v>
      </c>
      <c r="G257" s="511">
        <v>275221</v>
      </c>
      <c r="H257" s="511">
        <v>430422</v>
      </c>
      <c r="I257" s="511">
        <v>472253</v>
      </c>
      <c r="J257" s="511">
        <v>199941</v>
      </c>
    </row>
    <row r="258" spans="1:10" x14ac:dyDescent="0.35">
      <c r="A258" s="509" t="s">
        <v>843</v>
      </c>
      <c r="B258" s="533" t="s">
        <v>690</v>
      </c>
      <c r="C258" s="533">
        <v>640</v>
      </c>
      <c r="D258" s="533">
        <v>760</v>
      </c>
      <c r="E258" s="533">
        <v>830</v>
      </c>
      <c r="F258" s="511">
        <v>1300</v>
      </c>
      <c r="G258" s="511">
        <v>2700</v>
      </c>
      <c r="H258" s="511">
        <v>3900</v>
      </c>
      <c r="I258" s="511">
        <v>5600</v>
      </c>
      <c r="J258" s="511">
        <v>5800</v>
      </c>
    </row>
    <row r="259" spans="1:10" x14ac:dyDescent="0.35">
      <c r="A259" s="509" t="s">
        <v>844</v>
      </c>
      <c r="B259" s="533" t="s">
        <v>690</v>
      </c>
      <c r="C259" s="533" t="s">
        <v>690</v>
      </c>
      <c r="D259" s="533" t="s">
        <v>690</v>
      </c>
      <c r="E259" s="533" t="s">
        <v>690</v>
      </c>
      <c r="F259" s="533" t="s">
        <v>690</v>
      </c>
      <c r="G259" s="533" t="s">
        <v>690</v>
      </c>
      <c r="H259" s="533" t="s">
        <v>690</v>
      </c>
      <c r="I259" s="511">
        <v>626052</v>
      </c>
      <c r="J259" s="511">
        <v>328406</v>
      </c>
    </row>
    <row r="260" spans="1:10" x14ac:dyDescent="0.35">
      <c r="A260" s="509" t="s">
        <v>783</v>
      </c>
      <c r="B260" s="533" t="s">
        <v>810</v>
      </c>
      <c r="C260" s="533" t="s">
        <v>810</v>
      </c>
      <c r="D260" s="533" t="s">
        <v>810</v>
      </c>
      <c r="E260" s="533" t="s">
        <v>810</v>
      </c>
      <c r="F260" s="533" t="s">
        <v>845</v>
      </c>
      <c r="G260" s="533" t="s">
        <v>810</v>
      </c>
      <c r="H260" s="533" t="s">
        <v>810</v>
      </c>
      <c r="I260" s="533" t="s">
        <v>810</v>
      </c>
      <c r="J260" s="533" t="s">
        <v>785</v>
      </c>
    </row>
    <row r="261" spans="1:10" x14ac:dyDescent="0.35">
      <c r="A261" s="509" t="s">
        <v>786</v>
      </c>
      <c r="B261" s="533" t="s">
        <v>888</v>
      </c>
      <c r="C261" s="533" t="s">
        <v>888</v>
      </c>
      <c r="D261" s="533" t="s">
        <v>888</v>
      </c>
      <c r="E261" s="533" t="s">
        <v>888</v>
      </c>
      <c r="F261" s="533" t="s">
        <v>888</v>
      </c>
      <c r="G261" s="533" t="s">
        <v>888</v>
      </c>
      <c r="H261" s="533" t="s">
        <v>888</v>
      </c>
      <c r="I261" s="533" t="s">
        <v>787</v>
      </c>
      <c r="J261" s="533" t="s">
        <v>787</v>
      </c>
    </row>
    <row r="262" spans="1:10" ht="13.15" x14ac:dyDescent="0.35">
      <c r="A262" s="517" t="s">
        <v>846</v>
      </c>
      <c r="B262" s="533"/>
      <c r="C262" s="533"/>
      <c r="D262" s="533"/>
      <c r="E262" s="533"/>
      <c r="F262" s="533"/>
      <c r="G262" s="533"/>
      <c r="H262" s="533"/>
      <c r="I262" s="533"/>
      <c r="J262" s="533"/>
    </row>
    <row r="263" spans="1:10" x14ac:dyDescent="0.35">
      <c r="A263" s="509" t="s">
        <v>847</v>
      </c>
      <c r="B263" s="533" t="s">
        <v>690</v>
      </c>
      <c r="C263" s="511">
        <v>625786</v>
      </c>
      <c r="D263" s="511">
        <v>671108</v>
      </c>
      <c r="E263" s="511">
        <v>1213951</v>
      </c>
      <c r="F263" s="511">
        <v>1824432</v>
      </c>
      <c r="G263" s="511">
        <v>845956</v>
      </c>
      <c r="H263" s="511">
        <v>787689</v>
      </c>
      <c r="I263" s="511">
        <v>1479782</v>
      </c>
      <c r="J263" s="511">
        <v>1109502</v>
      </c>
    </row>
    <row r="264" spans="1:10" x14ac:dyDescent="0.35">
      <c r="A264" s="509" t="s">
        <v>848</v>
      </c>
      <c r="B264" s="533" t="s">
        <v>690</v>
      </c>
      <c r="C264" s="533" t="s">
        <v>690</v>
      </c>
      <c r="D264" s="511">
        <v>31191</v>
      </c>
      <c r="E264" s="511">
        <v>537519</v>
      </c>
      <c r="F264" s="511">
        <v>1649005</v>
      </c>
      <c r="G264" s="533" t="s">
        <v>690</v>
      </c>
      <c r="H264" s="533" t="s">
        <v>690</v>
      </c>
      <c r="I264" s="533" t="s">
        <v>690</v>
      </c>
      <c r="J264" s="511">
        <v>2403921</v>
      </c>
    </row>
    <row r="265" spans="1:10" x14ac:dyDescent="0.35">
      <c r="A265" s="509" t="s">
        <v>849</v>
      </c>
      <c r="B265" s="533" t="s">
        <v>690</v>
      </c>
      <c r="C265" s="511">
        <v>625786</v>
      </c>
      <c r="D265" s="511">
        <v>702299</v>
      </c>
      <c r="E265" s="511">
        <v>1751470</v>
      </c>
      <c r="F265" s="511">
        <v>3473437</v>
      </c>
      <c r="G265" s="511">
        <v>845956</v>
      </c>
      <c r="H265" s="511">
        <v>787689</v>
      </c>
      <c r="I265" s="511">
        <v>1479782</v>
      </c>
      <c r="J265" s="511">
        <v>3513423</v>
      </c>
    </row>
    <row r="266" spans="1:10" x14ac:dyDescent="0.35">
      <c r="A266" s="509" t="s">
        <v>919</v>
      </c>
      <c r="B266" s="533" t="s">
        <v>690</v>
      </c>
      <c r="C266" s="511">
        <v>46739</v>
      </c>
      <c r="D266" s="511">
        <v>49244</v>
      </c>
      <c r="E266" s="511">
        <v>68697</v>
      </c>
      <c r="F266" s="511">
        <v>92362</v>
      </c>
      <c r="G266" s="511">
        <v>86287</v>
      </c>
      <c r="H266" s="511">
        <v>116060</v>
      </c>
      <c r="I266" s="511">
        <v>164626</v>
      </c>
      <c r="J266" s="511">
        <v>269979</v>
      </c>
    </row>
    <row r="267" spans="1:10" x14ac:dyDescent="0.35">
      <c r="A267" s="509" t="s">
        <v>920</v>
      </c>
      <c r="B267" s="533" t="s">
        <v>690</v>
      </c>
      <c r="C267" s="511">
        <v>46739</v>
      </c>
      <c r="D267" s="511">
        <v>49244</v>
      </c>
      <c r="E267" s="511">
        <v>68697</v>
      </c>
      <c r="F267" s="511">
        <v>92362</v>
      </c>
      <c r="G267" s="511">
        <v>86287</v>
      </c>
      <c r="H267" s="511">
        <v>116060</v>
      </c>
      <c r="I267" s="511">
        <v>164626</v>
      </c>
      <c r="J267" s="511">
        <v>269979</v>
      </c>
    </row>
    <row r="268" spans="1:10" ht="13.15" x14ac:dyDescent="0.35">
      <c r="A268" s="517" t="s">
        <v>921</v>
      </c>
      <c r="B268" s="533"/>
      <c r="C268" s="533"/>
      <c r="D268" s="533"/>
      <c r="E268" s="533"/>
      <c r="F268" s="533"/>
      <c r="G268" s="533"/>
      <c r="H268" s="533"/>
      <c r="I268" s="533"/>
      <c r="J268" s="533"/>
    </row>
    <row r="269" spans="1:10" x14ac:dyDescent="0.35">
      <c r="A269" s="509" t="s">
        <v>922</v>
      </c>
      <c r="B269" s="533" t="s">
        <v>690</v>
      </c>
      <c r="C269" s="533" t="s">
        <v>690</v>
      </c>
      <c r="D269" s="533" t="s">
        <v>690</v>
      </c>
      <c r="E269" s="533" t="s">
        <v>690</v>
      </c>
      <c r="F269" s="533" t="s">
        <v>690</v>
      </c>
      <c r="G269" s="533" t="s">
        <v>690</v>
      </c>
      <c r="H269" s="511">
        <v>64689</v>
      </c>
      <c r="I269" s="511">
        <v>118383</v>
      </c>
      <c r="J269" s="511">
        <v>213579</v>
      </c>
    </row>
    <row r="270" spans="1:10" x14ac:dyDescent="0.35">
      <c r="A270" s="509" t="s">
        <v>923</v>
      </c>
      <c r="B270" s="533" t="s">
        <v>690</v>
      </c>
      <c r="C270" s="533" t="s">
        <v>690</v>
      </c>
      <c r="D270" s="533" t="s">
        <v>690</v>
      </c>
      <c r="E270" s="533" t="s">
        <v>690</v>
      </c>
      <c r="F270" s="533" t="s">
        <v>690</v>
      </c>
      <c r="G270" s="511">
        <v>45682</v>
      </c>
      <c r="H270" s="511">
        <v>54225</v>
      </c>
      <c r="I270" s="511">
        <v>40694</v>
      </c>
      <c r="J270" s="511">
        <v>17567</v>
      </c>
    </row>
    <row r="271" spans="1:10" x14ac:dyDescent="0.35">
      <c r="A271" s="509" t="s">
        <v>924</v>
      </c>
      <c r="B271" s="533" t="s">
        <v>690</v>
      </c>
      <c r="C271" s="533" t="s">
        <v>690</v>
      </c>
      <c r="D271" s="533" t="s">
        <v>690</v>
      </c>
      <c r="E271" s="533" t="s">
        <v>690</v>
      </c>
      <c r="F271" s="533" t="s">
        <v>690</v>
      </c>
      <c r="G271" s="511">
        <v>11843</v>
      </c>
      <c r="H271" s="511">
        <v>3805</v>
      </c>
      <c r="I271" s="511">
        <v>79538</v>
      </c>
      <c r="J271" s="533" t="s">
        <v>690</v>
      </c>
    </row>
    <row r="272" spans="1:10" x14ac:dyDescent="0.35">
      <c r="A272" s="509" t="s">
        <v>925</v>
      </c>
      <c r="B272" s="533" t="s">
        <v>690</v>
      </c>
      <c r="C272" s="533" t="s">
        <v>690</v>
      </c>
      <c r="D272" s="533" t="s">
        <v>690</v>
      </c>
      <c r="E272" s="533" t="s">
        <v>690</v>
      </c>
      <c r="F272" s="533" t="s">
        <v>690</v>
      </c>
      <c r="G272" s="533" t="s">
        <v>690</v>
      </c>
      <c r="H272" s="533">
        <v>-951</v>
      </c>
      <c r="I272" s="533" t="s">
        <v>690</v>
      </c>
      <c r="J272" s="511">
        <v>-9246</v>
      </c>
    </row>
    <row r="273" spans="1:10" x14ac:dyDescent="0.35">
      <c r="A273" s="509" t="s">
        <v>926</v>
      </c>
      <c r="B273" s="533" t="s">
        <v>690</v>
      </c>
      <c r="C273" s="533" t="s">
        <v>690</v>
      </c>
      <c r="D273" s="533" t="s">
        <v>690</v>
      </c>
      <c r="E273" s="533" t="s">
        <v>690</v>
      </c>
      <c r="F273" s="533" t="s">
        <v>690</v>
      </c>
      <c r="G273" s="533" t="s">
        <v>690</v>
      </c>
      <c r="H273" s="533" t="s">
        <v>690</v>
      </c>
      <c r="I273" s="511">
        <v>-24971</v>
      </c>
      <c r="J273" s="533" t="s">
        <v>690</v>
      </c>
    </row>
    <row r="274" spans="1:10" x14ac:dyDescent="0.35">
      <c r="A274" s="509" t="s">
        <v>927</v>
      </c>
      <c r="B274" s="533" t="s">
        <v>690</v>
      </c>
      <c r="C274" s="533" t="s">
        <v>690</v>
      </c>
      <c r="D274" s="533" t="s">
        <v>690</v>
      </c>
      <c r="E274" s="533" t="s">
        <v>690</v>
      </c>
      <c r="F274" s="533" t="s">
        <v>690</v>
      </c>
      <c r="G274" s="511">
        <v>57525</v>
      </c>
      <c r="H274" s="511">
        <v>121768</v>
      </c>
      <c r="I274" s="511">
        <v>213643</v>
      </c>
      <c r="J274" s="511">
        <v>221900</v>
      </c>
    </row>
    <row r="275" spans="1:10" x14ac:dyDescent="0.35">
      <c r="A275" s="509" t="s">
        <v>928</v>
      </c>
      <c r="B275" s="533" t="s">
        <v>690</v>
      </c>
      <c r="C275" s="533" t="s">
        <v>690</v>
      </c>
      <c r="D275" s="533" t="s">
        <v>690</v>
      </c>
      <c r="E275" s="533" t="s">
        <v>690</v>
      </c>
      <c r="F275" s="533" t="s">
        <v>690</v>
      </c>
      <c r="G275" s="533" t="s">
        <v>690</v>
      </c>
      <c r="H275" s="533" t="s">
        <v>690</v>
      </c>
      <c r="I275" s="533" t="s">
        <v>690</v>
      </c>
      <c r="J275" s="511">
        <v>221900</v>
      </c>
    </row>
    <row r="276" spans="1:10" ht="13.15" x14ac:dyDescent="0.35">
      <c r="A276" s="517" t="s">
        <v>850</v>
      </c>
      <c r="B276" s="533"/>
      <c r="C276" s="533"/>
      <c r="D276" s="533"/>
      <c r="E276" s="533"/>
      <c r="F276" s="533"/>
      <c r="G276" s="533"/>
      <c r="H276" s="533"/>
      <c r="I276" s="533"/>
      <c r="J276" s="533"/>
    </row>
    <row r="277" spans="1:10" x14ac:dyDescent="0.35">
      <c r="A277" s="509" t="s">
        <v>851</v>
      </c>
      <c r="B277" s="511">
        <v>10904</v>
      </c>
      <c r="C277" s="511">
        <v>10577</v>
      </c>
      <c r="D277" s="511">
        <v>10568</v>
      </c>
      <c r="E277" s="511">
        <v>10515</v>
      </c>
      <c r="F277" s="511">
        <v>539550</v>
      </c>
      <c r="G277" s="511">
        <v>2047890</v>
      </c>
      <c r="H277" s="511">
        <v>1009620</v>
      </c>
      <c r="I277" s="511">
        <v>1443901</v>
      </c>
      <c r="J277" s="511">
        <v>1167773</v>
      </c>
    </row>
    <row r="278" spans="1:10" x14ac:dyDescent="0.35">
      <c r="A278" s="509" t="s">
        <v>852</v>
      </c>
      <c r="B278" s="511">
        <v>1180155</v>
      </c>
      <c r="C278" s="511">
        <v>638775</v>
      </c>
      <c r="D278" s="511">
        <v>904889</v>
      </c>
      <c r="E278" s="511">
        <v>924171</v>
      </c>
      <c r="F278" s="511">
        <v>2144303</v>
      </c>
      <c r="G278" s="511">
        <v>9446320</v>
      </c>
      <c r="H278" s="511">
        <v>14055150</v>
      </c>
      <c r="I278" s="511">
        <v>10230348</v>
      </c>
      <c r="J278" s="511">
        <v>7741689</v>
      </c>
    </row>
    <row r="279" spans="1:10" x14ac:dyDescent="0.35">
      <c r="A279" s="509" t="s">
        <v>854</v>
      </c>
      <c r="B279" s="511">
        <v>1191060</v>
      </c>
      <c r="C279" s="511">
        <v>649352</v>
      </c>
      <c r="D279" s="511">
        <v>915457</v>
      </c>
      <c r="E279" s="511">
        <v>934686</v>
      </c>
      <c r="F279" s="511">
        <v>2683853</v>
      </c>
      <c r="G279" s="511">
        <v>11494210</v>
      </c>
      <c r="H279" s="511">
        <v>15064770</v>
      </c>
      <c r="I279" s="511">
        <v>11674249</v>
      </c>
      <c r="J279" s="511">
        <v>8909462</v>
      </c>
    </row>
    <row r="280" spans="1:10" x14ac:dyDescent="0.35">
      <c r="A280" s="509" t="s">
        <v>856</v>
      </c>
      <c r="B280" s="533" t="s">
        <v>690</v>
      </c>
      <c r="C280" s="533" t="s">
        <v>690</v>
      </c>
      <c r="D280" s="533" t="s">
        <v>690</v>
      </c>
      <c r="E280" s="533" t="s">
        <v>690</v>
      </c>
      <c r="F280" s="533" t="s">
        <v>690</v>
      </c>
      <c r="G280" s="511">
        <v>6155</v>
      </c>
      <c r="H280" s="511">
        <v>29942</v>
      </c>
      <c r="I280" s="511">
        <v>8142</v>
      </c>
      <c r="J280" s="511">
        <v>1932</v>
      </c>
    </row>
    <row r="281" spans="1:10" x14ac:dyDescent="0.35">
      <c r="A281" s="509" t="s">
        <v>858</v>
      </c>
      <c r="B281" s="533" t="s">
        <v>690</v>
      </c>
      <c r="C281" s="533" t="s">
        <v>690</v>
      </c>
      <c r="D281" s="533" t="s">
        <v>690</v>
      </c>
      <c r="E281" s="533" t="s">
        <v>690</v>
      </c>
      <c r="F281" s="533" t="s">
        <v>690</v>
      </c>
      <c r="G281" s="511">
        <v>6155</v>
      </c>
      <c r="H281" s="511">
        <v>29942</v>
      </c>
      <c r="I281" s="511">
        <v>8142</v>
      </c>
      <c r="J281" s="511">
        <v>1932</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164C9-3AAC-485C-BBA4-695CC5735713}">
  <dimension ref="A1:L297"/>
  <sheetViews>
    <sheetView workbookViewId="0"/>
  </sheetViews>
  <sheetFormatPr defaultColWidth="10.6640625" defaultRowHeight="12.75" x14ac:dyDescent="0.35"/>
  <cols>
    <col min="1" max="1" width="49.46484375" bestFit="1" customWidth="1"/>
  </cols>
  <sheetData>
    <row r="1" spans="1:12" x14ac:dyDescent="0.35">
      <c r="A1" s="535"/>
      <c r="B1" s="535"/>
      <c r="C1" s="535"/>
      <c r="D1" s="535"/>
    </row>
    <row r="2" spans="1:12" ht="12.75" customHeight="1" x14ac:dyDescent="0.5">
      <c r="A2" s="521" t="s">
        <v>929</v>
      </c>
      <c r="B2" s="521"/>
      <c r="C2" s="521"/>
      <c r="D2" s="521"/>
      <c r="E2" s="521"/>
      <c r="F2" s="521"/>
      <c r="G2" s="521"/>
      <c r="H2" s="521"/>
      <c r="I2" s="521"/>
      <c r="J2" s="521"/>
      <c r="K2" s="521"/>
      <c r="L2" s="521"/>
    </row>
    <row r="3" spans="1:12" x14ac:dyDescent="0.35">
      <c r="A3" s="509" t="s">
        <v>930</v>
      </c>
    </row>
    <row r="5" spans="1:12" x14ac:dyDescent="0.35">
      <c r="A5" s="509" t="s">
        <v>665</v>
      </c>
      <c r="B5" s="514"/>
    </row>
    <row r="6" spans="1:12" x14ac:dyDescent="0.35">
      <c r="A6" s="509" t="s">
        <v>666</v>
      </c>
      <c r="B6" s="514"/>
    </row>
    <row r="7" spans="1:12" x14ac:dyDescent="0.35">
      <c r="A7" s="509" t="s">
        <v>667</v>
      </c>
      <c r="B7" s="514"/>
    </row>
    <row r="8" spans="1:12" x14ac:dyDescent="0.35">
      <c r="A8" s="509" t="s">
        <v>730</v>
      </c>
      <c r="B8" s="514"/>
    </row>
    <row r="9" spans="1:12" x14ac:dyDescent="0.35">
      <c r="A9" s="509" t="s">
        <v>668</v>
      </c>
      <c r="B9" s="514"/>
    </row>
    <row r="10" spans="1:12" x14ac:dyDescent="0.35">
      <c r="A10" s="509" t="s">
        <v>731</v>
      </c>
      <c r="B10" s="514"/>
    </row>
    <row r="11" spans="1:12" x14ac:dyDescent="0.35">
      <c r="A11" s="509" t="s">
        <v>732</v>
      </c>
      <c r="B11" s="514"/>
    </row>
    <row r="12" spans="1:12" x14ac:dyDescent="0.35">
      <c r="A12" s="534"/>
      <c r="B12" s="534"/>
      <c r="C12" s="534"/>
      <c r="D12" s="534"/>
      <c r="E12" s="534"/>
      <c r="F12" s="534"/>
      <c r="G12" s="534"/>
      <c r="H12" s="534"/>
      <c r="I12" s="534"/>
      <c r="J12" s="534"/>
      <c r="K12" s="534"/>
    </row>
    <row r="13" spans="1:12" x14ac:dyDescent="0.35">
      <c r="A13" s="520" t="s">
        <v>670</v>
      </c>
      <c r="B13" s="519" t="s">
        <v>733</v>
      </c>
      <c r="C13" s="519" t="s">
        <v>720</v>
      </c>
      <c r="D13" s="519" t="s">
        <v>671</v>
      </c>
      <c r="E13" s="519" t="s">
        <v>672</v>
      </c>
      <c r="F13" s="519" t="s">
        <v>673</v>
      </c>
      <c r="G13" s="519" t="s">
        <v>674</v>
      </c>
      <c r="H13" s="519" t="s">
        <v>675</v>
      </c>
      <c r="I13" s="519" t="s">
        <v>676</v>
      </c>
      <c r="J13" s="519" t="s">
        <v>677</v>
      </c>
      <c r="K13" s="519" t="s">
        <v>734</v>
      </c>
    </row>
    <row r="14" spans="1:12" ht="25.5" x14ac:dyDescent="0.35">
      <c r="A14" s="509" t="s">
        <v>73</v>
      </c>
      <c r="B14" s="533" t="s">
        <v>735</v>
      </c>
      <c r="C14" s="533" t="s">
        <v>735</v>
      </c>
      <c r="D14" s="533" t="s">
        <v>735</v>
      </c>
      <c r="E14" s="533" t="s">
        <v>735</v>
      </c>
      <c r="F14" s="533" t="s">
        <v>735</v>
      </c>
      <c r="G14" s="533" t="s">
        <v>735</v>
      </c>
      <c r="H14" s="533" t="s">
        <v>735</v>
      </c>
      <c r="I14" s="533" t="s">
        <v>735</v>
      </c>
      <c r="J14" s="533" t="s">
        <v>735</v>
      </c>
      <c r="K14" s="533" t="s">
        <v>735</v>
      </c>
    </row>
    <row r="15" spans="1:12" x14ac:dyDescent="0.35">
      <c r="A15" s="509" t="s">
        <v>678</v>
      </c>
      <c r="B15" s="533" t="s">
        <v>736</v>
      </c>
      <c r="C15" s="533" t="s">
        <v>737</v>
      </c>
      <c r="D15" s="533" t="s">
        <v>679</v>
      </c>
      <c r="E15" s="533" t="s">
        <v>680</v>
      </c>
      <c r="F15" s="533" t="s">
        <v>681</v>
      </c>
      <c r="G15" s="533" t="s">
        <v>682</v>
      </c>
      <c r="H15" s="533" t="s">
        <v>683</v>
      </c>
      <c r="I15" s="533" t="s">
        <v>684</v>
      </c>
      <c r="J15" s="533" t="s">
        <v>685</v>
      </c>
      <c r="K15" s="533" t="s">
        <v>738</v>
      </c>
    </row>
    <row r="16" spans="1:12" x14ac:dyDescent="0.35">
      <c r="A16" s="509" t="s">
        <v>739</v>
      </c>
      <c r="B16" s="537">
        <v>43284</v>
      </c>
      <c r="C16" s="537">
        <v>43680</v>
      </c>
      <c r="D16" s="537">
        <v>43954</v>
      </c>
      <c r="E16" s="537">
        <v>44289</v>
      </c>
      <c r="F16" s="533" t="s">
        <v>931</v>
      </c>
      <c r="G16" s="533" t="s">
        <v>898</v>
      </c>
      <c r="H16" s="533" t="s">
        <v>899</v>
      </c>
      <c r="I16" s="533" t="s">
        <v>932</v>
      </c>
      <c r="J16" s="533" t="s">
        <v>932</v>
      </c>
      <c r="K16" s="533" t="s">
        <v>932</v>
      </c>
    </row>
    <row r="17" spans="1:11" x14ac:dyDescent="0.35">
      <c r="A17" s="509" t="s">
        <v>745</v>
      </c>
      <c r="B17" s="533">
        <v>1</v>
      </c>
      <c r="C17" s="533">
        <v>1</v>
      </c>
      <c r="D17" s="533">
        <v>1</v>
      </c>
      <c r="E17" s="533">
        <v>1</v>
      </c>
      <c r="F17" s="533">
        <v>1</v>
      </c>
      <c r="G17" s="533">
        <v>1</v>
      </c>
      <c r="H17" s="533">
        <v>1</v>
      </c>
      <c r="I17" s="533">
        <v>1</v>
      </c>
      <c r="J17" s="533">
        <v>1</v>
      </c>
      <c r="K17" s="533">
        <v>1</v>
      </c>
    </row>
    <row r="18" spans="1:11" x14ac:dyDescent="0.35">
      <c r="A18" s="509" t="s">
        <v>746</v>
      </c>
      <c r="B18" s="533">
        <v>1</v>
      </c>
      <c r="C18" s="533">
        <v>1</v>
      </c>
      <c r="D18" s="533">
        <v>1</v>
      </c>
      <c r="E18" s="533">
        <v>1</v>
      </c>
      <c r="F18" s="533">
        <v>1</v>
      </c>
      <c r="G18" s="533">
        <v>1</v>
      </c>
      <c r="H18" s="533">
        <v>1</v>
      </c>
      <c r="I18" s="533">
        <v>1</v>
      </c>
      <c r="J18" s="533">
        <v>1</v>
      </c>
      <c r="K18" s="533">
        <v>1</v>
      </c>
    </row>
    <row r="19" spans="1:11" x14ac:dyDescent="0.35">
      <c r="A19" s="509" t="s">
        <v>73</v>
      </c>
      <c r="B19" s="533"/>
      <c r="C19" s="533"/>
      <c r="D19" s="533"/>
      <c r="E19" s="533"/>
      <c r="F19" s="533"/>
      <c r="G19" s="533"/>
      <c r="H19" s="533"/>
      <c r="I19" s="533"/>
      <c r="J19" s="533"/>
      <c r="K19" s="533"/>
    </row>
    <row r="20" spans="1:11" ht="13.15" x14ac:dyDescent="0.35">
      <c r="A20" s="531">
        <v>0</v>
      </c>
      <c r="B20" s="533"/>
      <c r="C20" s="533"/>
      <c r="D20" s="533"/>
      <c r="E20" s="533"/>
      <c r="F20" s="533"/>
      <c r="G20" s="533"/>
      <c r="H20" s="533"/>
      <c r="I20" s="533"/>
      <c r="J20" s="533"/>
      <c r="K20" s="533"/>
    </row>
    <row r="21" spans="1:11" x14ac:dyDescent="0.35">
      <c r="A21" s="509" t="s">
        <v>96</v>
      </c>
      <c r="B21" s="511">
        <v>34060000</v>
      </c>
      <c r="C21" s="511">
        <v>33809000</v>
      </c>
      <c r="D21" s="511">
        <v>35072000</v>
      </c>
      <c r="E21" s="511">
        <v>34463000</v>
      </c>
      <c r="F21" s="511">
        <v>36126000</v>
      </c>
      <c r="G21" s="511">
        <v>36041000</v>
      </c>
      <c r="H21" s="511">
        <v>37761000</v>
      </c>
      <c r="I21" s="511">
        <v>37651000</v>
      </c>
      <c r="J21" s="511">
        <v>37817000</v>
      </c>
      <c r="K21" s="511">
        <v>41081000</v>
      </c>
    </row>
    <row r="22" spans="1:11" x14ac:dyDescent="0.35">
      <c r="A22" s="509" t="s">
        <v>585</v>
      </c>
      <c r="B22" s="511">
        <v>801000</v>
      </c>
      <c r="C22" s="511">
        <v>887000</v>
      </c>
      <c r="D22" s="511">
        <v>1149000</v>
      </c>
      <c r="E22" s="511">
        <v>1214000</v>
      </c>
      <c r="F22" s="511">
        <v>1505000</v>
      </c>
      <c r="G22" s="511">
        <v>1328000</v>
      </c>
      <c r="H22" s="511">
        <v>1414000</v>
      </c>
      <c r="I22" s="511">
        <v>2653000</v>
      </c>
      <c r="J22" s="511">
        <v>3292000</v>
      </c>
      <c r="K22" s="511">
        <v>3205000</v>
      </c>
    </row>
    <row r="23" spans="1:11" x14ac:dyDescent="0.35">
      <c r="A23" s="509" t="s">
        <v>863</v>
      </c>
      <c r="B23" s="511">
        <v>34861000</v>
      </c>
      <c r="C23" s="511">
        <v>34696000</v>
      </c>
      <c r="D23" s="511">
        <v>36221000</v>
      </c>
      <c r="E23" s="511">
        <v>35677000</v>
      </c>
      <c r="F23" s="511">
        <v>37631000</v>
      </c>
      <c r="G23" s="511">
        <v>37369000</v>
      </c>
      <c r="H23" s="511">
        <v>39175000</v>
      </c>
      <c r="I23" s="511">
        <v>40304000</v>
      </c>
      <c r="J23" s="511">
        <v>41109000</v>
      </c>
      <c r="K23" s="511">
        <v>44286000</v>
      </c>
    </row>
    <row r="24" spans="1:11" x14ac:dyDescent="0.35">
      <c r="A24" s="509" t="s">
        <v>656</v>
      </c>
      <c r="B24" s="511">
        <v>10919000</v>
      </c>
      <c r="C24" s="511">
        <v>10701000</v>
      </c>
      <c r="D24" s="511">
        <v>11447000</v>
      </c>
      <c r="E24" s="511">
        <v>11321000</v>
      </c>
      <c r="F24" s="511">
        <v>11976000</v>
      </c>
      <c r="G24" s="511">
        <v>12106000</v>
      </c>
      <c r="H24" s="511">
        <v>12251000</v>
      </c>
      <c r="I24" s="511">
        <v>11869000</v>
      </c>
      <c r="J24" s="511">
        <v>12619000</v>
      </c>
      <c r="K24" s="511">
        <v>13195000</v>
      </c>
    </row>
    <row r="25" spans="1:11" x14ac:dyDescent="0.35">
      <c r="A25" s="509" t="s">
        <v>747</v>
      </c>
      <c r="B25" s="511">
        <v>23942000</v>
      </c>
      <c r="C25" s="511">
        <v>23995000</v>
      </c>
      <c r="D25" s="511">
        <v>24774000</v>
      </c>
      <c r="E25" s="511">
        <v>24356000</v>
      </c>
      <c r="F25" s="511">
        <v>25655000</v>
      </c>
      <c r="G25" s="511">
        <v>25263000</v>
      </c>
      <c r="H25" s="511">
        <v>26924000</v>
      </c>
      <c r="I25" s="511">
        <v>28435000</v>
      </c>
      <c r="J25" s="511">
        <v>28490000</v>
      </c>
      <c r="K25" s="511">
        <v>31091000</v>
      </c>
    </row>
    <row r="26" spans="1:11" x14ac:dyDescent="0.35">
      <c r="A26" s="509" t="s">
        <v>73</v>
      </c>
      <c r="B26" s="533"/>
      <c r="C26" s="533"/>
      <c r="D26" s="533"/>
      <c r="E26" s="533"/>
      <c r="F26" s="533"/>
      <c r="G26" s="533"/>
      <c r="H26" s="533"/>
      <c r="I26" s="533"/>
      <c r="J26" s="533"/>
      <c r="K26" s="533"/>
    </row>
    <row r="27" spans="1:11" x14ac:dyDescent="0.35">
      <c r="A27" s="509" t="s">
        <v>586</v>
      </c>
      <c r="B27" s="511">
        <v>9496000</v>
      </c>
      <c r="C27" s="511">
        <v>9592000</v>
      </c>
      <c r="D27" s="511">
        <v>10164000</v>
      </c>
      <c r="E27" s="511">
        <v>9934000</v>
      </c>
      <c r="F27" s="511">
        <v>9967000</v>
      </c>
      <c r="G27" s="511">
        <v>9448000</v>
      </c>
      <c r="H27" s="511">
        <v>9599000</v>
      </c>
      <c r="I27" s="511">
        <v>8785000</v>
      </c>
      <c r="J27" s="511">
        <v>9003000</v>
      </c>
      <c r="K27" s="511">
        <v>9247000</v>
      </c>
    </row>
    <row r="28" spans="1:11" x14ac:dyDescent="0.35">
      <c r="A28" s="509" t="s">
        <v>630</v>
      </c>
      <c r="B28" s="511">
        <v>5082000</v>
      </c>
      <c r="C28" s="511">
        <v>5172000</v>
      </c>
      <c r="D28" s="511">
        <v>5472000</v>
      </c>
      <c r="E28" s="511">
        <v>5894000</v>
      </c>
      <c r="F28" s="511">
        <v>6020000</v>
      </c>
      <c r="G28" s="511">
        <v>5530000</v>
      </c>
      <c r="H28" s="511">
        <v>5692000</v>
      </c>
      <c r="I28" s="511">
        <v>6501000</v>
      </c>
      <c r="J28" s="511">
        <v>6507000</v>
      </c>
      <c r="K28" s="511">
        <v>7394000</v>
      </c>
    </row>
    <row r="29" spans="1:11" x14ac:dyDescent="0.35">
      <c r="A29" s="509" t="s">
        <v>560</v>
      </c>
      <c r="B29" s="511">
        <v>2137000</v>
      </c>
      <c r="C29" s="511">
        <v>1692000</v>
      </c>
      <c r="D29" s="511">
        <v>1866000</v>
      </c>
      <c r="E29" s="511">
        <v>2170000</v>
      </c>
      <c r="F29" s="511">
        <v>2146000</v>
      </c>
      <c r="G29" s="511">
        <v>1681000</v>
      </c>
      <c r="H29" s="511">
        <v>1580000</v>
      </c>
      <c r="I29" s="511">
        <v>1578000</v>
      </c>
      <c r="J29" s="511">
        <v>1911000</v>
      </c>
      <c r="K29" s="511">
        <v>1749000</v>
      </c>
    </row>
    <row r="30" spans="1:11" x14ac:dyDescent="0.35">
      <c r="A30" s="509" t="s">
        <v>631</v>
      </c>
      <c r="B30" s="511">
        <v>256000</v>
      </c>
      <c r="C30" s="511">
        <v>21000</v>
      </c>
      <c r="D30" s="511">
        <v>-1000</v>
      </c>
      <c r="E30" s="511">
        <v>334000</v>
      </c>
      <c r="F30" s="511">
        <v>720000</v>
      </c>
      <c r="G30" s="511">
        <v>1025000</v>
      </c>
      <c r="H30" s="511">
        <v>1488000</v>
      </c>
      <c r="I30" s="511">
        <v>1190000</v>
      </c>
      <c r="J30" s="511">
        <v>2948000</v>
      </c>
      <c r="K30" s="511">
        <v>3832000</v>
      </c>
    </row>
    <row r="31" spans="1:11" x14ac:dyDescent="0.35">
      <c r="A31" s="509" t="s">
        <v>748</v>
      </c>
      <c r="B31" s="511">
        <v>16971000</v>
      </c>
      <c r="C31" s="511">
        <v>16477000</v>
      </c>
      <c r="D31" s="511">
        <v>17501000</v>
      </c>
      <c r="E31" s="511">
        <v>18332000</v>
      </c>
      <c r="F31" s="511">
        <v>18853000</v>
      </c>
      <c r="G31" s="511">
        <v>17684000</v>
      </c>
      <c r="H31" s="511">
        <v>18359000</v>
      </c>
      <c r="I31" s="511">
        <v>18054000</v>
      </c>
      <c r="J31" s="511">
        <v>20369000</v>
      </c>
      <c r="K31" s="511">
        <v>22222000</v>
      </c>
    </row>
    <row r="32" spans="1:11" x14ac:dyDescent="0.35">
      <c r="A32" s="509" t="s">
        <v>864</v>
      </c>
      <c r="B32" s="511">
        <v>6971000</v>
      </c>
      <c r="C32" s="511">
        <v>7518000</v>
      </c>
      <c r="D32" s="511">
        <v>7273000</v>
      </c>
      <c r="E32" s="511">
        <v>6024000</v>
      </c>
      <c r="F32" s="511">
        <v>6802000</v>
      </c>
      <c r="G32" s="511">
        <v>7579000</v>
      </c>
      <c r="H32" s="511">
        <v>8565000</v>
      </c>
      <c r="I32" s="511">
        <v>10381000</v>
      </c>
      <c r="J32" s="511">
        <v>8121000</v>
      </c>
      <c r="K32" s="511">
        <v>8869000</v>
      </c>
    </row>
    <row r="33" spans="1:11" x14ac:dyDescent="0.35">
      <c r="A33" s="509" t="s">
        <v>73</v>
      </c>
      <c r="B33" s="533"/>
      <c r="C33" s="533"/>
      <c r="D33" s="533"/>
      <c r="E33" s="533"/>
      <c r="F33" s="533"/>
      <c r="G33" s="533"/>
      <c r="H33" s="533"/>
      <c r="I33" s="533"/>
      <c r="J33" s="533"/>
      <c r="K33" s="533"/>
    </row>
    <row r="34" spans="1:11" x14ac:dyDescent="0.35">
      <c r="A34" s="509" t="s">
        <v>408</v>
      </c>
      <c r="B34" s="511">
        <v>-416000</v>
      </c>
      <c r="C34" s="511">
        <v>-360000</v>
      </c>
      <c r="D34" s="511">
        <v>-346000</v>
      </c>
      <c r="E34" s="511">
        <v>-471000</v>
      </c>
      <c r="F34" s="511">
        <v>-544000</v>
      </c>
      <c r="G34" s="511">
        <v>-459000</v>
      </c>
      <c r="H34" s="511">
        <v>-362000</v>
      </c>
      <c r="I34" s="511">
        <v>-402000</v>
      </c>
      <c r="J34" s="511">
        <v>-589000</v>
      </c>
      <c r="K34" s="511">
        <v>-641000</v>
      </c>
    </row>
    <row r="35" spans="1:11" x14ac:dyDescent="0.35">
      <c r="A35" s="509" t="s">
        <v>558</v>
      </c>
      <c r="B35" s="511">
        <v>57000</v>
      </c>
      <c r="C35" s="511">
        <v>56000</v>
      </c>
      <c r="D35" s="511">
        <v>56000</v>
      </c>
      <c r="E35" s="511">
        <v>72000</v>
      </c>
      <c r="F35" s="511">
        <v>91000</v>
      </c>
      <c r="G35" s="511">
        <v>37000</v>
      </c>
      <c r="H35" s="511">
        <v>3000</v>
      </c>
      <c r="I35" s="511">
        <v>239000</v>
      </c>
      <c r="J35" s="511">
        <v>527000</v>
      </c>
      <c r="K35" s="511">
        <v>413000</v>
      </c>
    </row>
    <row r="36" spans="1:11" x14ac:dyDescent="0.35">
      <c r="A36" s="509" t="s">
        <v>750</v>
      </c>
      <c r="B36" s="511">
        <v>-359000</v>
      </c>
      <c r="C36" s="511">
        <v>-304000</v>
      </c>
      <c r="D36" s="511">
        <v>-290000</v>
      </c>
      <c r="E36" s="511">
        <v>-399000</v>
      </c>
      <c r="F36" s="511">
        <v>-453000</v>
      </c>
      <c r="G36" s="511">
        <v>-422000</v>
      </c>
      <c r="H36" s="511">
        <v>-359000</v>
      </c>
      <c r="I36" s="511">
        <v>-163000</v>
      </c>
      <c r="J36" s="511">
        <v>-62000</v>
      </c>
      <c r="K36" s="511">
        <v>-228000</v>
      </c>
    </row>
    <row r="37" spans="1:11" x14ac:dyDescent="0.35">
      <c r="A37" s="509" t="s">
        <v>632</v>
      </c>
      <c r="B37" s="511">
        <v>-22000</v>
      </c>
      <c r="C37" s="511">
        <v>136000</v>
      </c>
      <c r="D37" s="511">
        <v>85000</v>
      </c>
      <c r="E37" s="511">
        <v>499000</v>
      </c>
      <c r="F37" s="511">
        <v>255000</v>
      </c>
      <c r="G37" s="511">
        <v>359000</v>
      </c>
      <c r="H37" s="511">
        <v>39000</v>
      </c>
      <c r="I37" s="511">
        <v>55000</v>
      </c>
      <c r="J37" s="511">
        <v>-136000</v>
      </c>
      <c r="K37" s="511">
        <v>60000</v>
      </c>
    </row>
    <row r="38" spans="1:11" x14ac:dyDescent="0.35">
      <c r="A38" s="509" t="s">
        <v>633</v>
      </c>
      <c r="B38" s="511">
        <v>-98000</v>
      </c>
      <c r="C38" s="511">
        <v>-148000</v>
      </c>
      <c r="D38" s="511">
        <v>-5000</v>
      </c>
      <c r="E38" s="511">
        <v>6000</v>
      </c>
      <c r="F38" s="511">
        <v>1000</v>
      </c>
      <c r="G38" s="511">
        <v>-6000</v>
      </c>
      <c r="H38" s="511">
        <v>2000</v>
      </c>
      <c r="I38" s="511">
        <v>-3000</v>
      </c>
      <c r="J38" s="511">
        <v>-2000</v>
      </c>
      <c r="K38" s="511">
        <v>6000</v>
      </c>
    </row>
    <row r="39" spans="1:11" x14ac:dyDescent="0.35">
      <c r="A39" s="509" t="s">
        <v>634</v>
      </c>
      <c r="B39" s="511">
        <v>92000</v>
      </c>
      <c r="C39" s="511">
        <v>21000</v>
      </c>
      <c r="D39" s="511">
        <v>114000</v>
      </c>
      <c r="E39" s="511">
        <v>134000</v>
      </c>
      <c r="F39" s="511">
        <v>236000</v>
      </c>
      <c r="G39" s="511">
        <v>144000</v>
      </c>
      <c r="H39" s="511">
        <v>70000</v>
      </c>
      <c r="I39" s="511">
        <v>-14000</v>
      </c>
      <c r="J39" s="511">
        <v>-574000</v>
      </c>
      <c r="K39" s="511">
        <v>-268000</v>
      </c>
    </row>
    <row r="40" spans="1:11" x14ac:dyDescent="0.35">
      <c r="A40" s="509" t="s">
        <v>865</v>
      </c>
      <c r="B40" s="511">
        <v>6584000</v>
      </c>
      <c r="C40" s="511">
        <v>7223000</v>
      </c>
      <c r="D40" s="511">
        <v>7177000</v>
      </c>
      <c r="E40" s="511">
        <v>6264000</v>
      </c>
      <c r="F40" s="511">
        <v>6841000</v>
      </c>
      <c r="G40" s="511">
        <v>7654000</v>
      </c>
      <c r="H40" s="511">
        <v>8317000</v>
      </c>
      <c r="I40" s="511">
        <v>10256000</v>
      </c>
      <c r="J40" s="511">
        <v>7347000</v>
      </c>
      <c r="K40" s="511">
        <v>8439000</v>
      </c>
    </row>
    <row r="41" spans="1:11" x14ac:dyDescent="0.35">
      <c r="A41" s="509" t="s">
        <v>635</v>
      </c>
      <c r="B41" s="511">
        <v>-795000</v>
      </c>
      <c r="C41" s="511">
        <v>-879000</v>
      </c>
      <c r="D41" s="511">
        <v>-731000</v>
      </c>
      <c r="E41" s="511">
        <v>-1480000</v>
      </c>
      <c r="F41" s="511">
        <v>-1088000</v>
      </c>
      <c r="G41" s="511">
        <v>-1089000</v>
      </c>
      <c r="H41" s="511">
        <v>-820000</v>
      </c>
      <c r="I41" s="511">
        <v>-1077000</v>
      </c>
      <c r="J41" s="511">
        <v>-1030000</v>
      </c>
      <c r="K41" s="511">
        <v>-1396000</v>
      </c>
    </row>
    <row r="42" spans="1:11" x14ac:dyDescent="0.35">
      <c r="A42" s="509" t="s">
        <v>636</v>
      </c>
      <c r="B42" s="533" t="s">
        <v>690</v>
      </c>
      <c r="C42" s="533" t="s">
        <v>690</v>
      </c>
      <c r="D42" s="511">
        <v>-166000</v>
      </c>
      <c r="E42" s="511">
        <v>-170000</v>
      </c>
      <c r="F42" s="511">
        <v>-3000</v>
      </c>
      <c r="G42" s="511">
        <v>-53000</v>
      </c>
      <c r="H42" s="511">
        <v>-4000</v>
      </c>
      <c r="I42" s="511">
        <v>-13000</v>
      </c>
      <c r="J42" s="511">
        <v>-9000</v>
      </c>
      <c r="K42" s="511">
        <v>-10000</v>
      </c>
    </row>
    <row r="43" spans="1:11" x14ac:dyDescent="0.35">
      <c r="A43" s="509" t="s">
        <v>637</v>
      </c>
      <c r="B43" s="533" t="s">
        <v>690</v>
      </c>
      <c r="C43" s="511">
        <v>-246000</v>
      </c>
      <c r="D43" s="533" t="s">
        <v>690</v>
      </c>
      <c r="E43" s="511">
        <v>63000</v>
      </c>
      <c r="F43" s="533" t="s">
        <v>690</v>
      </c>
      <c r="G43" s="511">
        <v>7388000</v>
      </c>
      <c r="H43" s="511">
        <v>3000</v>
      </c>
      <c r="I43" s="511">
        <v>1000</v>
      </c>
      <c r="J43" s="511">
        <v>-1000</v>
      </c>
      <c r="K43" s="533" t="s">
        <v>690</v>
      </c>
    </row>
    <row r="44" spans="1:11" x14ac:dyDescent="0.35">
      <c r="A44" s="509" t="s">
        <v>638</v>
      </c>
      <c r="B44" s="511">
        <v>146000</v>
      </c>
      <c r="C44" s="511">
        <v>40000</v>
      </c>
      <c r="D44" s="511">
        <v>90000</v>
      </c>
      <c r="E44" s="511">
        <v>326000</v>
      </c>
      <c r="F44" s="511">
        <v>296000</v>
      </c>
      <c r="G44" s="511">
        <v>443000</v>
      </c>
      <c r="H44" s="511">
        <v>418000</v>
      </c>
      <c r="I44" s="511">
        <v>481000</v>
      </c>
      <c r="J44" s="511">
        <v>484000</v>
      </c>
      <c r="K44" s="511">
        <v>539000</v>
      </c>
    </row>
    <row r="45" spans="1:11" x14ac:dyDescent="0.35">
      <c r="A45" s="509" t="s">
        <v>639</v>
      </c>
      <c r="B45" s="511">
        <v>-767000</v>
      </c>
      <c r="C45" s="511">
        <v>-192000</v>
      </c>
      <c r="D45" s="511">
        <v>-380000</v>
      </c>
      <c r="E45" s="511">
        <v>-718000</v>
      </c>
      <c r="F45" s="511">
        <v>-3604000</v>
      </c>
      <c r="G45" s="511">
        <v>-330000</v>
      </c>
      <c r="H45" s="511">
        <v>-192000</v>
      </c>
      <c r="I45" s="511">
        <v>203000</v>
      </c>
      <c r="J45" s="511">
        <v>-896000</v>
      </c>
      <c r="K45" s="511">
        <v>-248000</v>
      </c>
    </row>
    <row r="46" spans="1:11" x14ac:dyDescent="0.35">
      <c r="A46" s="509" t="s">
        <v>640</v>
      </c>
      <c r="B46" s="533" t="s">
        <v>690</v>
      </c>
      <c r="C46" s="533" t="s">
        <v>690</v>
      </c>
      <c r="D46" s="533" t="s">
        <v>690</v>
      </c>
      <c r="E46" s="533" t="s">
        <v>690</v>
      </c>
      <c r="F46" s="511">
        <v>327000</v>
      </c>
      <c r="G46" s="533" t="s">
        <v>690</v>
      </c>
      <c r="H46" s="533" t="s">
        <v>690</v>
      </c>
      <c r="I46" s="511">
        <v>-143000</v>
      </c>
      <c r="J46" s="511">
        <v>-196000</v>
      </c>
      <c r="K46" s="511">
        <v>-470000</v>
      </c>
    </row>
    <row r="47" spans="1:11" x14ac:dyDescent="0.35">
      <c r="A47" s="509" t="s">
        <v>641</v>
      </c>
      <c r="B47" s="511">
        <v>53000</v>
      </c>
      <c r="C47" s="511">
        <v>-135000</v>
      </c>
      <c r="D47" s="511">
        <v>-374000</v>
      </c>
      <c r="E47" s="511">
        <v>619000</v>
      </c>
      <c r="F47" s="511">
        <v>238000</v>
      </c>
      <c r="G47" s="511">
        <v>124000</v>
      </c>
      <c r="H47" s="511">
        <v>115000</v>
      </c>
      <c r="I47" s="511">
        <v>284000</v>
      </c>
      <c r="J47" s="511">
        <v>416000</v>
      </c>
      <c r="K47" s="511">
        <v>-96000</v>
      </c>
    </row>
    <row r="48" spans="1:11" x14ac:dyDescent="0.35">
      <c r="A48" s="509" t="s">
        <v>866</v>
      </c>
      <c r="B48" s="511">
        <v>5221000</v>
      </c>
      <c r="C48" s="511">
        <v>5811000</v>
      </c>
      <c r="D48" s="511">
        <v>5616000</v>
      </c>
      <c r="E48" s="511">
        <v>4904000</v>
      </c>
      <c r="F48" s="511">
        <v>3007000</v>
      </c>
      <c r="G48" s="511">
        <v>14137000</v>
      </c>
      <c r="H48" s="511">
        <v>7837000</v>
      </c>
      <c r="I48" s="511">
        <v>9992000</v>
      </c>
      <c r="J48" s="511">
        <v>6115000</v>
      </c>
      <c r="K48" s="511">
        <v>6758000</v>
      </c>
    </row>
    <row r="49" spans="1:11" x14ac:dyDescent="0.35">
      <c r="A49" s="509" t="s">
        <v>73</v>
      </c>
      <c r="B49" s="533"/>
      <c r="C49" s="533"/>
      <c r="D49" s="533"/>
      <c r="E49" s="533"/>
      <c r="F49" s="533"/>
      <c r="G49" s="533"/>
      <c r="H49" s="533"/>
      <c r="I49" s="533"/>
      <c r="J49" s="533"/>
      <c r="K49" s="533"/>
    </row>
    <row r="50" spans="1:11" x14ac:dyDescent="0.35">
      <c r="A50" s="509" t="s">
        <v>559</v>
      </c>
      <c r="B50" s="511">
        <v>709000</v>
      </c>
      <c r="C50" s="511">
        <v>1325000</v>
      </c>
      <c r="D50" s="511">
        <v>1722000</v>
      </c>
      <c r="E50" s="511">
        <v>481000</v>
      </c>
      <c r="F50" s="511">
        <v>121000</v>
      </c>
      <c r="G50" s="511">
        <v>1807000</v>
      </c>
      <c r="H50" s="511">
        <v>1558000</v>
      </c>
      <c r="I50" s="511">
        <v>1909000</v>
      </c>
      <c r="J50" s="511">
        <v>1017000</v>
      </c>
      <c r="K50" s="511">
        <v>1204000</v>
      </c>
    </row>
    <row r="51" spans="1:11" x14ac:dyDescent="0.35">
      <c r="A51" s="509" t="s">
        <v>753</v>
      </c>
      <c r="B51" s="511">
        <v>4512000</v>
      </c>
      <c r="C51" s="511">
        <v>4486000</v>
      </c>
      <c r="D51" s="511">
        <v>3894000</v>
      </c>
      <c r="E51" s="511">
        <v>4423000</v>
      </c>
      <c r="F51" s="511">
        <v>2886000</v>
      </c>
      <c r="G51" s="511">
        <v>12330000</v>
      </c>
      <c r="H51" s="511">
        <v>6279000</v>
      </c>
      <c r="I51" s="511">
        <v>8083000</v>
      </c>
      <c r="J51" s="511">
        <v>5098000</v>
      </c>
      <c r="K51" s="511">
        <v>5554000</v>
      </c>
    </row>
    <row r="52" spans="1:11" x14ac:dyDescent="0.35">
      <c r="A52" s="509" t="s">
        <v>643</v>
      </c>
      <c r="B52" s="511">
        <v>-124000</v>
      </c>
      <c r="C52" s="511">
        <v>314000</v>
      </c>
      <c r="D52" s="511">
        <v>4643000</v>
      </c>
      <c r="E52" s="511">
        <v>-13000</v>
      </c>
      <c r="F52" s="511">
        <v>-101000</v>
      </c>
      <c r="G52" s="533" t="s">
        <v>690</v>
      </c>
      <c r="H52" s="533" t="s">
        <v>690</v>
      </c>
      <c r="I52" s="511">
        <v>401000</v>
      </c>
      <c r="J52" s="511">
        <v>338000</v>
      </c>
      <c r="K52" s="511">
        <v>64000</v>
      </c>
    </row>
    <row r="53" spans="1:11" x14ac:dyDescent="0.35">
      <c r="A53" s="509" t="s">
        <v>754</v>
      </c>
      <c r="B53" s="511">
        <v>4388000</v>
      </c>
      <c r="C53" s="511">
        <v>4800000</v>
      </c>
      <c r="D53" s="511">
        <v>8537000</v>
      </c>
      <c r="E53" s="511">
        <v>4410000</v>
      </c>
      <c r="F53" s="511">
        <v>2785000</v>
      </c>
      <c r="G53" s="511">
        <v>12330000</v>
      </c>
      <c r="H53" s="511">
        <v>6279000</v>
      </c>
      <c r="I53" s="511">
        <v>8484000</v>
      </c>
      <c r="J53" s="511">
        <v>5436000</v>
      </c>
      <c r="K53" s="511">
        <v>5618000</v>
      </c>
    </row>
    <row r="54" spans="1:11" x14ac:dyDescent="0.35">
      <c r="A54" s="509" t="s">
        <v>642</v>
      </c>
      <c r="B54" s="511">
        <v>-101000</v>
      </c>
      <c r="C54" s="511">
        <v>-91000</v>
      </c>
      <c r="D54" s="511">
        <v>-121000</v>
      </c>
      <c r="E54" s="511">
        <v>-104000</v>
      </c>
      <c r="F54" s="511">
        <v>-31000</v>
      </c>
      <c r="G54" s="511">
        <v>-36000</v>
      </c>
      <c r="H54" s="511">
        <v>-56000</v>
      </c>
      <c r="I54" s="511">
        <v>-113000</v>
      </c>
      <c r="J54" s="511">
        <v>-36000</v>
      </c>
      <c r="K54" s="511">
        <v>-58000</v>
      </c>
    </row>
    <row r="55" spans="1:11" x14ac:dyDescent="0.35">
      <c r="A55" s="509" t="s">
        <v>867</v>
      </c>
      <c r="B55" s="511">
        <v>4287000</v>
      </c>
      <c r="C55" s="511">
        <v>4709000</v>
      </c>
      <c r="D55" s="511">
        <v>8416000</v>
      </c>
      <c r="E55" s="511">
        <v>4306000</v>
      </c>
      <c r="F55" s="511">
        <v>2754000</v>
      </c>
      <c r="G55" s="511">
        <v>12294000</v>
      </c>
      <c r="H55" s="511">
        <v>6223000</v>
      </c>
      <c r="I55" s="511">
        <v>8371000</v>
      </c>
      <c r="J55" s="511">
        <v>5400000</v>
      </c>
      <c r="K55" s="511">
        <v>5560000</v>
      </c>
    </row>
    <row r="56" spans="1:11" x14ac:dyDescent="0.35">
      <c r="A56" s="509" t="s">
        <v>755</v>
      </c>
      <c r="B56" s="511">
        <v>4287000</v>
      </c>
      <c r="C56" s="511">
        <v>4709000</v>
      </c>
      <c r="D56" s="511">
        <v>8416000</v>
      </c>
      <c r="E56" s="511">
        <v>4306000</v>
      </c>
      <c r="F56" s="511">
        <v>2754000</v>
      </c>
      <c r="G56" s="511">
        <v>12294000</v>
      </c>
      <c r="H56" s="511">
        <v>6223000</v>
      </c>
      <c r="I56" s="511">
        <v>8371000</v>
      </c>
      <c r="J56" s="511">
        <v>5400000</v>
      </c>
      <c r="K56" s="511">
        <v>5560000</v>
      </c>
    </row>
    <row r="57" spans="1:11" x14ac:dyDescent="0.35">
      <c r="A57" s="509" t="s">
        <v>756</v>
      </c>
      <c r="B57" s="511">
        <v>4411000</v>
      </c>
      <c r="C57" s="511">
        <v>4395000</v>
      </c>
      <c r="D57" s="511">
        <v>3773000</v>
      </c>
      <c r="E57" s="511">
        <v>4319000</v>
      </c>
      <c r="F57" s="511">
        <v>2855000</v>
      </c>
      <c r="G57" s="511">
        <v>12294000</v>
      </c>
      <c r="H57" s="511">
        <v>6223000</v>
      </c>
      <c r="I57" s="511">
        <v>7970000</v>
      </c>
      <c r="J57" s="511">
        <v>5062000</v>
      </c>
      <c r="K57" s="511">
        <v>5496000</v>
      </c>
    </row>
    <row r="58" spans="1:11" ht="13.15" x14ac:dyDescent="0.35">
      <c r="A58" s="517" t="s">
        <v>757</v>
      </c>
      <c r="B58" s="533"/>
      <c r="C58" s="533"/>
      <c r="D58" s="533"/>
      <c r="E58" s="533"/>
      <c r="F58" s="533"/>
      <c r="G58" s="533"/>
      <c r="H58" s="533"/>
      <c r="I58" s="533"/>
      <c r="J58" s="533"/>
      <c r="K58" s="533"/>
    </row>
    <row r="59" spans="1:11" x14ac:dyDescent="0.35">
      <c r="A59" s="509" t="s">
        <v>758</v>
      </c>
      <c r="B59" s="533">
        <v>3.28</v>
      </c>
      <c r="C59" s="533">
        <v>3.66</v>
      </c>
      <c r="D59" s="533">
        <v>6.7</v>
      </c>
      <c r="E59" s="533">
        <v>3.45</v>
      </c>
      <c r="F59" s="533">
        <v>2.2000000000000002</v>
      </c>
      <c r="G59" s="533">
        <v>9.81</v>
      </c>
      <c r="H59" s="533">
        <v>4.97</v>
      </c>
      <c r="I59" s="533">
        <v>6.69</v>
      </c>
      <c r="J59" s="533">
        <v>4.3099999999999996</v>
      </c>
      <c r="K59" s="533">
        <v>4.4400000000000004</v>
      </c>
    </row>
    <row r="60" spans="1:11" x14ac:dyDescent="0.35">
      <c r="A60" s="509" t="s">
        <v>759</v>
      </c>
      <c r="B60" s="533">
        <v>3.38</v>
      </c>
      <c r="C60" s="533">
        <v>3.42</v>
      </c>
      <c r="D60" s="533">
        <v>3</v>
      </c>
      <c r="E60" s="533">
        <v>3.46</v>
      </c>
      <c r="F60" s="533">
        <v>2.2799999999999998</v>
      </c>
      <c r="G60" s="533">
        <v>9.81</v>
      </c>
      <c r="H60" s="533">
        <v>4.97</v>
      </c>
      <c r="I60" s="533">
        <v>6.37</v>
      </c>
      <c r="J60" s="533">
        <v>4.04</v>
      </c>
      <c r="K60" s="533">
        <v>4.3899999999999997</v>
      </c>
    </row>
    <row r="61" spans="1:11" x14ac:dyDescent="0.35">
      <c r="A61" s="509" t="s">
        <v>760</v>
      </c>
      <c r="B61" s="511">
        <v>1306200000</v>
      </c>
      <c r="C61" s="511">
        <v>1286600000</v>
      </c>
      <c r="D61" s="511">
        <v>1256900000</v>
      </c>
      <c r="E61" s="511">
        <v>1247100000</v>
      </c>
      <c r="F61" s="511">
        <v>1249900000</v>
      </c>
      <c r="G61" s="511">
        <v>1253600000</v>
      </c>
      <c r="H61" s="511">
        <v>1252500000</v>
      </c>
      <c r="I61" s="511">
        <v>1251900000</v>
      </c>
      <c r="J61" s="511">
        <v>1251700000</v>
      </c>
      <c r="K61" s="511">
        <v>1251400000</v>
      </c>
    </row>
    <row r="62" spans="1:11" x14ac:dyDescent="0.35">
      <c r="A62" s="509" t="s">
        <v>761</v>
      </c>
      <c r="B62" s="533">
        <v>3.25</v>
      </c>
      <c r="C62" s="533">
        <v>3.63</v>
      </c>
      <c r="D62" s="533">
        <v>6.65</v>
      </c>
      <c r="E62" s="533">
        <v>3.43</v>
      </c>
      <c r="F62" s="533">
        <v>2.19</v>
      </c>
      <c r="G62" s="533">
        <v>9.76</v>
      </c>
      <c r="H62" s="533">
        <v>4.95</v>
      </c>
      <c r="I62" s="533">
        <v>6.67</v>
      </c>
      <c r="J62" s="533">
        <v>4.3099999999999996</v>
      </c>
      <c r="K62" s="533">
        <v>4.4400000000000004</v>
      </c>
    </row>
    <row r="63" spans="1:11" x14ac:dyDescent="0.35">
      <c r="A63" s="509" t="s">
        <v>762</v>
      </c>
      <c r="B63" s="533">
        <v>3.34</v>
      </c>
      <c r="C63" s="533">
        <v>3.39</v>
      </c>
      <c r="D63" s="533">
        <v>2.98</v>
      </c>
      <c r="E63" s="533">
        <v>3.44</v>
      </c>
      <c r="F63" s="533">
        <v>2.27</v>
      </c>
      <c r="G63" s="533">
        <v>9.76</v>
      </c>
      <c r="H63" s="533">
        <v>4.95</v>
      </c>
      <c r="I63" s="533">
        <v>6.35</v>
      </c>
      <c r="J63" s="533">
        <v>4.04</v>
      </c>
      <c r="K63" s="533">
        <v>4.3899999999999997</v>
      </c>
    </row>
    <row r="64" spans="1:11" x14ac:dyDescent="0.35">
      <c r="A64" s="509" t="s">
        <v>763</v>
      </c>
      <c r="B64" s="511">
        <v>1320700000</v>
      </c>
      <c r="C64" s="511">
        <v>1296000000</v>
      </c>
      <c r="D64" s="511">
        <v>1266800000</v>
      </c>
      <c r="E64" s="511">
        <v>1255200000</v>
      </c>
      <c r="F64" s="511">
        <v>1257100000</v>
      </c>
      <c r="G64" s="511">
        <v>1260100000</v>
      </c>
      <c r="H64" s="511">
        <v>1257900000</v>
      </c>
      <c r="I64" s="511">
        <v>1256900000</v>
      </c>
      <c r="J64" s="511">
        <v>1256400000</v>
      </c>
      <c r="K64" s="511">
        <v>1256100000</v>
      </c>
    </row>
    <row r="65" spans="1:11" x14ac:dyDescent="0.35">
      <c r="A65" s="509" t="s">
        <v>764</v>
      </c>
      <c r="B65" s="533">
        <v>3.07</v>
      </c>
      <c r="C65" s="533">
        <v>3.44</v>
      </c>
      <c r="D65" s="533">
        <v>3.47</v>
      </c>
      <c r="E65" s="533">
        <v>3.06</v>
      </c>
      <c r="F65" s="533">
        <v>3.4</v>
      </c>
      <c r="G65" s="533">
        <v>3.79</v>
      </c>
      <c r="H65" s="533">
        <v>4.1100000000000003</v>
      </c>
      <c r="I65" s="533">
        <v>5.03</v>
      </c>
      <c r="J65" s="533">
        <v>3.64</v>
      </c>
      <c r="K65" s="533">
        <v>4.17</v>
      </c>
    </row>
    <row r="66" spans="1:11" x14ac:dyDescent="0.35">
      <c r="A66" s="509" t="s">
        <v>765</v>
      </c>
      <c r="B66" s="533">
        <v>3.04</v>
      </c>
      <c r="C66" s="533">
        <v>3.41</v>
      </c>
      <c r="D66" s="533">
        <v>3.45</v>
      </c>
      <c r="E66" s="533">
        <v>3.04</v>
      </c>
      <c r="F66" s="533">
        <v>3.38</v>
      </c>
      <c r="G66" s="533">
        <v>3.77</v>
      </c>
      <c r="H66" s="533">
        <v>4.09</v>
      </c>
      <c r="I66" s="533">
        <v>5.01</v>
      </c>
      <c r="J66" s="533">
        <v>3.63</v>
      </c>
      <c r="K66" s="533">
        <v>4.1500000000000004</v>
      </c>
    </row>
    <row r="67" spans="1:11" x14ac:dyDescent="0.35">
      <c r="A67" s="509" t="s">
        <v>766</v>
      </c>
      <c r="B67" s="533">
        <v>2.93</v>
      </c>
      <c r="C67" s="533">
        <v>2.96</v>
      </c>
      <c r="D67" s="533">
        <v>3.03</v>
      </c>
      <c r="E67" s="533">
        <v>3.07</v>
      </c>
      <c r="F67" s="533">
        <v>3.15</v>
      </c>
      <c r="G67" s="533">
        <v>3.2</v>
      </c>
      <c r="H67" s="533">
        <v>3.33</v>
      </c>
      <c r="I67" s="533">
        <v>3.56</v>
      </c>
      <c r="J67" s="533">
        <v>3.76</v>
      </c>
      <c r="K67" s="533">
        <v>3.92</v>
      </c>
    </row>
    <row r="68" spans="1:11" x14ac:dyDescent="0.35">
      <c r="A68" s="509" t="s">
        <v>767</v>
      </c>
      <c r="B68" s="533">
        <v>86.17</v>
      </c>
      <c r="C68" s="533">
        <v>79.83</v>
      </c>
      <c r="D68" s="533">
        <v>44.08</v>
      </c>
      <c r="E68" s="533">
        <v>87.62</v>
      </c>
      <c r="F68" s="533">
        <v>139.22</v>
      </c>
      <c r="G68" s="533">
        <v>32.020000000000003</v>
      </c>
      <c r="H68" s="533">
        <v>64.41</v>
      </c>
      <c r="I68" s="533">
        <v>49.79</v>
      </c>
      <c r="J68" s="533">
        <v>82.48</v>
      </c>
      <c r="K68" s="533">
        <v>84.6</v>
      </c>
    </row>
    <row r="69" spans="1:11" x14ac:dyDescent="0.35">
      <c r="A69" s="509" t="s">
        <v>769</v>
      </c>
      <c r="B69" s="533">
        <v>1</v>
      </c>
      <c r="C69" s="533">
        <v>1</v>
      </c>
      <c r="D69" s="533">
        <v>1</v>
      </c>
      <c r="E69" s="533">
        <v>1</v>
      </c>
      <c r="F69" s="533">
        <v>1</v>
      </c>
      <c r="G69" s="533">
        <v>1</v>
      </c>
      <c r="H69" s="533">
        <v>1</v>
      </c>
      <c r="I69" s="533">
        <v>1</v>
      </c>
      <c r="J69" s="533">
        <v>1</v>
      </c>
      <c r="K69" s="533">
        <v>1</v>
      </c>
    </row>
    <row r="70" spans="1:11" ht="13.15" x14ac:dyDescent="0.35">
      <c r="A70" s="517" t="s">
        <v>770</v>
      </c>
      <c r="B70" s="533"/>
      <c r="C70" s="533"/>
      <c r="D70" s="533"/>
      <c r="E70" s="533"/>
      <c r="F70" s="533"/>
      <c r="G70" s="533"/>
      <c r="H70" s="533"/>
      <c r="I70" s="533"/>
      <c r="J70" s="533"/>
      <c r="K70" s="533"/>
    </row>
    <row r="71" spans="1:11" x14ac:dyDescent="0.35">
      <c r="A71" s="509" t="s">
        <v>771</v>
      </c>
      <c r="B71" s="511">
        <v>10234000</v>
      </c>
      <c r="C71" s="511">
        <v>10359000</v>
      </c>
      <c r="D71" s="511">
        <v>10280000</v>
      </c>
      <c r="E71" s="511">
        <v>9363000</v>
      </c>
      <c r="F71" s="511">
        <v>10113000</v>
      </c>
      <c r="G71" s="511">
        <v>10466000</v>
      </c>
      <c r="H71" s="511">
        <v>11251000</v>
      </c>
      <c r="I71" s="511">
        <v>13093000</v>
      </c>
      <c r="J71" s="511">
        <v>11076000</v>
      </c>
      <c r="K71" s="511">
        <v>11664000</v>
      </c>
    </row>
    <row r="72" spans="1:11" x14ac:dyDescent="0.35">
      <c r="A72" s="509" t="s">
        <v>772</v>
      </c>
      <c r="B72" s="511">
        <v>9622000</v>
      </c>
      <c r="C72" s="511">
        <v>9230000</v>
      </c>
      <c r="D72" s="511">
        <v>9159000</v>
      </c>
      <c r="E72" s="511">
        <v>8212000</v>
      </c>
      <c r="F72" s="511">
        <v>8969000</v>
      </c>
      <c r="G72" s="511">
        <v>9286000</v>
      </c>
      <c r="H72" s="511">
        <v>10186000</v>
      </c>
      <c r="I72" s="511">
        <v>12254000</v>
      </c>
      <c r="J72" s="511">
        <v>10346000</v>
      </c>
      <c r="K72" s="511">
        <v>10963000</v>
      </c>
    </row>
    <row r="73" spans="1:11" x14ac:dyDescent="0.35">
      <c r="A73" s="509" t="s">
        <v>58</v>
      </c>
      <c r="B73" s="511">
        <v>6971000</v>
      </c>
      <c r="C73" s="511">
        <v>7518000</v>
      </c>
      <c r="D73" s="511">
        <v>7273000</v>
      </c>
      <c r="E73" s="511">
        <v>6024000</v>
      </c>
      <c r="F73" s="511">
        <v>6802000</v>
      </c>
      <c r="G73" s="511">
        <v>7579000</v>
      </c>
      <c r="H73" s="511">
        <v>8565000</v>
      </c>
      <c r="I73" s="511">
        <v>10381000</v>
      </c>
      <c r="J73" s="511">
        <v>8121000</v>
      </c>
      <c r="K73" s="511">
        <v>8869000</v>
      </c>
    </row>
    <row r="74" spans="1:11" x14ac:dyDescent="0.35">
      <c r="A74" s="509" t="s">
        <v>773</v>
      </c>
      <c r="B74" s="511">
        <v>10574000</v>
      </c>
      <c r="C74" s="511">
        <v>10668000</v>
      </c>
      <c r="D74" s="511">
        <v>10571000</v>
      </c>
      <c r="E74" s="511">
        <v>9708000</v>
      </c>
      <c r="F74" s="511">
        <v>10163000</v>
      </c>
      <c r="G74" s="511">
        <v>10493000</v>
      </c>
      <c r="H74" s="511">
        <v>11276000</v>
      </c>
      <c r="I74" s="511">
        <v>13119000</v>
      </c>
      <c r="J74" s="511">
        <v>11095000</v>
      </c>
      <c r="K74" s="511">
        <v>11680000</v>
      </c>
    </row>
    <row r="75" spans="1:11" x14ac:dyDescent="0.35">
      <c r="A75" s="509" t="s">
        <v>775</v>
      </c>
      <c r="B75" s="533">
        <v>13.58</v>
      </c>
      <c r="C75" s="533">
        <v>22.8</v>
      </c>
      <c r="D75" s="533">
        <v>30.66</v>
      </c>
      <c r="E75" s="533">
        <v>9.81</v>
      </c>
      <c r="F75" s="533">
        <v>4.0199999999999996</v>
      </c>
      <c r="G75" s="533">
        <v>12.78</v>
      </c>
      <c r="H75" s="533">
        <v>19.88</v>
      </c>
      <c r="I75" s="533">
        <v>19.11</v>
      </c>
      <c r="J75" s="533">
        <v>16.63</v>
      </c>
      <c r="K75" s="533">
        <v>17.82</v>
      </c>
    </row>
    <row r="76" spans="1:11" x14ac:dyDescent="0.35">
      <c r="A76" s="509" t="s">
        <v>776</v>
      </c>
      <c r="B76" s="511">
        <v>1978000</v>
      </c>
      <c r="C76" s="511">
        <v>1869000</v>
      </c>
      <c r="D76" s="511">
        <v>2631000</v>
      </c>
      <c r="E76" s="511">
        <v>1212000</v>
      </c>
      <c r="F76" s="511">
        <v>1892000</v>
      </c>
      <c r="G76" s="511">
        <v>1913000</v>
      </c>
      <c r="H76" s="511">
        <v>1908000</v>
      </c>
      <c r="I76" s="511">
        <v>2631000</v>
      </c>
      <c r="J76" s="511">
        <v>2251000</v>
      </c>
      <c r="K76" s="511">
        <v>2152000</v>
      </c>
    </row>
    <row r="77" spans="1:11" x14ac:dyDescent="0.35">
      <c r="A77" s="509" t="s">
        <v>777</v>
      </c>
      <c r="B77" s="511">
        <v>-1269000</v>
      </c>
      <c r="C77" s="511">
        <v>-544000</v>
      </c>
      <c r="D77" s="511">
        <v>-909000</v>
      </c>
      <c r="E77" s="511">
        <v>-731000</v>
      </c>
      <c r="F77" s="511">
        <v>-1771000</v>
      </c>
      <c r="G77" s="511">
        <v>-106000</v>
      </c>
      <c r="H77" s="511">
        <v>-350000</v>
      </c>
      <c r="I77" s="511">
        <v>-722000</v>
      </c>
      <c r="J77" s="511">
        <v>-1234000</v>
      </c>
      <c r="K77" s="511">
        <v>-948000</v>
      </c>
    </row>
    <row r="78" spans="1:11" x14ac:dyDescent="0.35">
      <c r="A78" s="509" t="s">
        <v>778</v>
      </c>
      <c r="B78" s="511">
        <v>4014000</v>
      </c>
      <c r="C78" s="511">
        <v>4423375</v>
      </c>
      <c r="D78" s="511">
        <v>4364625</v>
      </c>
      <c r="E78" s="511">
        <v>3811000</v>
      </c>
      <c r="F78" s="511">
        <v>4244625</v>
      </c>
      <c r="G78" s="511">
        <v>4747750</v>
      </c>
      <c r="H78" s="511">
        <v>5142125</v>
      </c>
      <c r="I78" s="511">
        <v>6297000</v>
      </c>
      <c r="J78" s="511">
        <v>4555875</v>
      </c>
      <c r="K78" s="511">
        <v>5216375</v>
      </c>
    </row>
    <row r="79" spans="1:11" x14ac:dyDescent="0.35">
      <c r="A79" s="509" t="s">
        <v>779</v>
      </c>
      <c r="B79" s="533" t="s">
        <v>690</v>
      </c>
      <c r="C79" s="533" t="s">
        <v>690</v>
      </c>
      <c r="D79" s="533" t="s">
        <v>690</v>
      </c>
      <c r="E79" s="533" t="s">
        <v>690</v>
      </c>
      <c r="F79" s="511">
        <v>53000</v>
      </c>
      <c r="G79" s="511">
        <v>49000</v>
      </c>
      <c r="H79" s="511">
        <v>49000</v>
      </c>
      <c r="I79" s="511">
        <v>57000</v>
      </c>
      <c r="J79" s="511">
        <v>63000</v>
      </c>
      <c r="K79" s="511">
        <v>93000</v>
      </c>
    </row>
    <row r="80" spans="1:11" x14ac:dyDescent="0.35">
      <c r="A80" s="509" t="s">
        <v>780</v>
      </c>
      <c r="B80" s="511">
        <v>96000</v>
      </c>
      <c r="C80" s="511">
        <v>62000</v>
      </c>
      <c r="D80" s="511">
        <v>105000</v>
      </c>
      <c r="E80" s="511">
        <v>54000</v>
      </c>
      <c r="F80" s="511">
        <v>-69000</v>
      </c>
      <c r="G80" s="511">
        <v>-137000</v>
      </c>
      <c r="H80" s="511">
        <v>49000</v>
      </c>
      <c r="I80" s="511">
        <v>-25000</v>
      </c>
      <c r="J80" s="511">
        <v>50000</v>
      </c>
      <c r="K80" s="511">
        <v>-38000</v>
      </c>
    </row>
    <row r="81" spans="1:11" ht="13.15" x14ac:dyDescent="0.35">
      <c r="A81" s="517" t="s">
        <v>781</v>
      </c>
      <c r="B81" s="533"/>
      <c r="C81" s="533"/>
      <c r="D81" s="533"/>
      <c r="E81" s="533"/>
      <c r="F81" s="533"/>
      <c r="G81" s="533"/>
      <c r="H81" s="533"/>
      <c r="I81" s="533"/>
      <c r="J81" s="533"/>
      <c r="K81" s="533"/>
    </row>
    <row r="82" spans="1:11" x14ac:dyDescent="0.35">
      <c r="A82" s="509" t="s">
        <v>550</v>
      </c>
      <c r="B82" s="511">
        <v>5082000</v>
      </c>
      <c r="C82" s="511">
        <v>5232000</v>
      </c>
      <c r="D82" s="511">
        <v>5567000</v>
      </c>
      <c r="E82" s="511">
        <v>6350000</v>
      </c>
      <c r="F82" s="511">
        <v>6020000</v>
      </c>
      <c r="G82" s="511">
        <v>5530000</v>
      </c>
      <c r="H82" s="511">
        <v>5692000</v>
      </c>
      <c r="I82" s="511">
        <v>6501000</v>
      </c>
      <c r="J82" s="511">
        <v>6507000</v>
      </c>
      <c r="K82" s="511">
        <v>7394000</v>
      </c>
    </row>
    <row r="83" spans="1:11" x14ac:dyDescent="0.35">
      <c r="A83" s="509" t="s">
        <v>551</v>
      </c>
      <c r="B83" s="511">
        <v>340000</v>
      </c>
      <c r="C83" s="511">
        <v>309000</v>
      </c>
      <c r="D83" s="511">
        <v>291000</v>
      </c>
      <c r="E83" s="511">
        <v>345000</v>
      </c>
      <c r="F83" s="511">
        <v>50000</v>
      </c>
      <c r="G83" s="511">
        <v>27000</v>
      </c>
      <c r="H83" s="511">
        <v>25000</v>
      </c>
      <c r="I83" s="511">
        <v>26000</v>
      </c>
      <c r="J83" s="511">
        <v>19000</v>
      </c>
      <c r="K83" s="511">
        <v>16000</v>
      </c>
    </row>
    <row r="84" spans="1:11" x14ac:dyDescent="0.35">
      <c r="A84" s="509" t="s">
        <v>552</v>
      </c>
      <c r="B84" s="511">
        <v>74729</v>
      </c>
      <c r="C84" s="511">
        <v>53042</v>
      </c>
      <c r="D84" s="511">
        <v>49852</v>
      </c>
      <c r="E84" s="511">
        <v>67488</v>
      </c>
      <c r="F84" s="511">
        <v>8826</v>
      </c>
      <c r="G84" s="511">
        <v>4093</v>
      </c>
      <c r="H84" s="511">
        <v>3263</v>
      </c>
      <c r="I84" s="511">
        <v>3995</v>
      </c>
      <c r="J84" s="511">
        <v>4717</v>
      </c>
      <c r="K84" s="511">
        <v>4875</v>
      </c>
    </row>
    <row r="85" spans="1:11" x14ac:dyDescent="0.35">
      <c r="A85" s="509" t="s">
        <v>553</v>
      </c>
      <c r="B85" s="511">
        <v>265271</v>
      </c>
      <c r="C85" s="511">
        <v>255958</v>
      </c>
      <c r="D85" s="511">
        <v>241148</v>
      </c>
      <c r="E85" s="511">
        <v>277512</v>
      </c>
      <c r="F85" s="511">
        <v>41174</v>
      </c>
      <c r="G85" s="511">
        <v>22907</v>
      </c>
      <c r="H85" s="511">
        <v>21737</v>
      </c>
      <c r="I85" s="511">
        <v>22005</v>
      </c>
      <c r="J85" s="511">
        <v>14283</v>
      </c>
      <c r="K85" s="511">
        <v>11125</v>
      </c>
    </row>
    <row r="86" spans="1:11" x14ac:dyDescent="0.35">
      <c r="A86" s="509" t="s">
        <v>554</v>
      </c>
      <c r="B86" s="511">
        <v>206000</v>
      </c>
      <c r="C86" s="511">
        <v>250000</v>
      </c>
      <c r="D86" s="511">
        <v>263000</v>
      </c>
      <c r="E86" s="511">
        <v>284000</v>
      </c>
      <c r="F86" s="511">
        <v>252000</v>
      </c>
      <c r="G86" s="511">
        <v>274000</v>
      </c>
      <c r="H86" s="511">
        <v>244000</v>
      </c>
      <c r="I86" s="511">
        <v>234000</v>
      </c>
      <c r="J86" s="511">
        <v>260000</v>
      </c>
      <c r="K86" s="511">
        <v>278000</v>
      </c>
    </row>
    <row r="87" spans="1:11" ht="13.15" x14ac:dyDescent="0.35">
      <c r="A87" s="517" t="s">
        <v>782</v>
      </c>
      <c r="B87" s="529">
        <v>206000</v>
      </c>
      <c r="C87" s="529">
        <v>250000</v>
      </c>
      <c r="D87" s="529">
        <v>263000</v>
      </c>
      <c r="E87" s="529">
        <v>284000</v>
      </c>
      <c r="F87" s="529">
        <v>252000</v>
      </c>
      <c r="G87" s="529">
        <v>274000</v>
      </c>
      <c r="H87" s="529">
        <v>244000</v>
      </c>
      <c r="I87" s="529">
        <v>234000</v>
      </c>
      <c r="J87" s="529">
        <v>260000</v>
      </c>
      <c r="K87" s="529">
        <v>278000</v>
      </c>
    </row>
    <row r="88" spans="1:11" x14ac:dyDescent="0.35">
      <c r="A88" s="509" t="s">
        <v>783</v>
      </c>
      <c r="B88" s="533" t="s">
        <v>784</v>
      </c>
      <c r="C88" s="533" t="s">
        <v>784</v>
      </c>
      <c r="D88" s="533" t="s">
        <v>845</v>
      </c>
      <c r="E88" s="533" t="s">
        <v>784</v>
      </c>
      <c r="F88" s="533" t="s">
        <v>845</v>
      </c>
      <c r="G88" s="533" t="s">
        <v>845</v>
      </c>
      <c r="H88" s="533" t="s">
        <v>784</v>
      </c>
      <c r="I88" s="533" t="s">
        <v>868</v>
      </c>
      <c r="J88" s="533" t="s">
        <v>868</v>
      </c>
      <c r="K88" s="533" t="s">
        <v>785</v>
      </c>
    </row>
    <row r="89" spans="1:11" x14ac:dyDescent="0.35">
      <c r="A89" s="509" t="s">
        <v>786</v>
      </c>
      <c r="B89" s="533" t="s">
        <v>787</v>
      </c>
      <c r="C89" s="533" t="s">
        <v>787</v>
      </c>
      <c r="D89" s="533" t="s">
        <v>787</v>
      </c>
      <c r="E89" s="533" t="s">
        <v>787</v>
      </c>
      <c r="F89" s="533" t="s">
        <v>787</v>
      </c>
      <c r="G89" s="533" t="s">
        <v>787</v>
      </c>
      <c r="H89" s="533" t="s">
        <v>787</v>
      </c>
      <c r="I89" s="533" t="s">
        <v>787</v>
      </c>
      <c r="J89" s="533" t="s">
        <v>787</v>
      </c>
      <c r="K89" s="533" t="s">
        <v>787</v>
      </c>
    </row>
    <row r="90" spans="1:11" ht="13.15" x14ac:dyDescent="0.35">
      <c r="A90" s="517" t="s">
        <v>870</v>
      </c>
      <c r="B90" s="533"/>
      <c r="C90" s="533"/>
      <c r="D90" s="533"/>
      <c r="E90" s="533"/>
      <c r="F90" s="533"/>
      <c r="G90" s="533"/>
      <c r="H90" s="533"/>
      <c r="I90" s="533"/>
      <c r="J90" s="533"/>
      <c r="K90" s="533"/>
    </row>
    <row r="91" spans="1:11" x14ac:dyDescent="0.35">
      <c r="A91" s="509" t="s">
        <v>906</v>
      </c>
      <c r="B91" s="511">
        <v>25602256</v>
      </c>
      <c r="C91" s="511">
        <v>15867615</v>
      </c>
      <c r="D91" s="511">
        <v>12065802</v>
      </c>
      <c r="E91" s="511">
        <v>7889020</v>
      </c>
      <c r="F91" s="511">
        <v>6849573</v>
      </c>
      <c r="G91" s="511">
        <v>3822020</v>
      </c>
      <c r="H91" s="511">
        <v>2579270</v>
      </c>
      <c r="I91" s="511">
        <v>2337968</v>
      </c>
      <c r="J91" s="511">
        <v>1837969</v>
      </c>
      <c r="K91" s="511">
        <v>1333013</v>
      </c>
    </row>
    <row r="92" spans="1:11" x14ac:dyDescent="0.35">
      <c r="A92" s="509" t="s">
        <v>871</v>
      </c>
      <c r="B92" s="511">
        <v>435000</v>
      </c>
      <c r="C92" s="511">
        <v>402750</v>
      </c>
      <c r="D92" s="511">
        <v>378040</v>
      </c>
      <c r="E92" s="511">
        <v>220000</v>
      </c>
      <c r="F92" s="511">
        <v>220000</v>
      </c>
      <c r="G92" s="533" t="s">
        <v>690</v>
      </c>
      <c r="H92" s="533" t="s">
        <v>690</v>
      </c>
      <c r="I92" s="533" t="s">
        <v>690</v>
      </c>
      <c r="J92" s="533" t="s">
        <v>690</v>
      </c>
      <c r="K92" s="533" t="s">
        <v>690</v>
      </c>
    </row>
    <row r="93" spans="1:11" x14ac:dyDescent="0.35">
      <c r="A93" s="509" t="s">
        <v>907</v>
      </c>
      <c r="B93" s="511">
        <v>9033607</v>
      </c>
      <c r="C93" s="511">
        <v>3441429</v>
      </c>
      <c r="D93" s="511">
        <v>3796788</v>
      </c>
      <c r="E93" s="511">
        <v>1192838</v>
      </c>
      <c r="F93" s="511">
        <v>2816123</v>
      </c>
      <c r="G93" s="511">
        <v>868655</v>
      </c>
      <c r="H93" s="511">
        <v>190076</v>
      </c>
      <c r="I93" s="511">
        <v>490373</v>
      </c>
      <c r="J93" s="511">
        <v>504956</v>
      </c>
      <c r="K93" s="511">
        <v>398569</v>
      </c>
    </row>
    <row r="94" spans="1:11" x14ac:dyDescent="0.35">
      <c r="A94" s="509" t="s">
        <v>908</v>
      </c>
      <c r="B94" s="511">
        <v>1136034</v>
      </c>
      <c r="C94" s="511">
        <v>763134</v>
      </c>
      <c r="D94" s="511">
        <v>758034</v>
      </c>
      <c r="E94" s="511">
        <v>66609</v>
      </c>
      <c r="F94" s="511">
        <v>431430</v>
      </c>
      <c r="G94" s="511">
        <v>374095</v>
      </c>
      <c r="H94" s="511">
        <v>51226</v>
      </c>
      <c r="I94" s="511">
        <v>9626</v>
      </c>
      <c r="J94" s="533" t="s">
        <v>690</v>
      </c>
      <c r="K94" s="533" t="s">
        <v>690</v>
      </c>
    </row>
    <row r="95" spans="1:11" x14ac:dyDescent="0.35">
      <c r="A95" s="509" t="s">
        <v>872</v>
      </c>
      <c r="B95" s="511">
        <v>15867615</v>
      </c>
      <c r="C95" s="511">
        <v>12065802</v>
      </c>
      <c r="D95" s="511">
        <v>7889020</v>
      </c>
      <c r="E95" s="511">
        <v>6849573</v>
      </c>
      <c r="F95" s="511">
        <v>3822020</v>
      </c>
      <c r="G95" s="511">
        <v>2579270</v>
      </c>
      <c r="H95" s="511">
        <v>2337968</v>
      </c>
      <c r="I95" s="511">
        <v>1837969</v>
      </c>
      <c r="J95" s="511">
        <v>1333013</v>
      </c>
      <c r="K95" s="511">
        <v>934444</v>
      </c>
    </row>
    <row r="96" spans="1:11" x14ac:dyDescent="0.35">
      <c r="A96" s="509" t="s">
        <v>873</v>
      </c>
      <c r="B96" s="533">
        <v>60.03</v>
      </c>
      <c r="C96" s="533">
        <v>59.03</v>
      </c>
      <c r="D96" s="533">
        <v>60.08</v>
      </c>
      <c r="E96" s="533">
        <v>61.81</v>
      </c>
      <c r="F96" s="533">
        <v>70.58</v>
      </c>
      <c r="G96" s="533">
        <v>75.61</v>
      </c>
      <c r="H96" s="533">
        <v>77.13</v>
      </c>
      <c r="I96" s="533">
        <v>78.64</v>
      </c>
      <c r="J96" s="533">
        <v>80.53</v>
      </c>
      <c r="K96" s="533">
        <v>80.16</v>
      </c>
    </row>
    <row r="97" spans="1:12" x14ac:dyDescent="0.35">
      <c r="A97" s="509" t="s">
        <v>909</v>
      </c>
      <c r="B97" s="533">
        <v>89.38</v>
      </c>
      <c r="C97" s="533">
        <v>75.900000000000006</v>
      </c>
      <c r="D97" s="533">
        <v>88.97</v>
      </c>
      <c r="E97" s="533">
        <v>65.84</v>
      </c>
      <c r="F97" s="533">
        <v>76.709999999999994</v>
      </c>
      <c r="G97" s="533" t="s">
        <v>690</v>
      </c>
      <c r="H97" s="533" t="s">
        <v>690</v>
      </c>
      <c r="I97" s="533" t="s">
        <v>690</v>
      </c>
      <c r="J97" s="533" t="s">
        <v>690</v>
      </c>
      <c r="K97" s="533" t="s">
        <v>690</v>
      </c>
    </row>
    <row r="98" spans="1:12" ht="13.15" x14ac:dyDescent="0.35">
      <c r="A98" s="517" t="s">
        <v>874</v>
      </c>
      <c r="B98" s="533"/>
      <c r="C98" s="533"/>
      <c r="D98" s="533"/>
      <c r="E98" s="533"/>
      <c r="F98" s="533"/>
      <c r="G98" s="533"/>
      <c r="H98" s="533"/>
      <c r="I98" s="533"/>
      <c r="J98" s="533"/>
      <c r="K98" s="533"/>
    </row>
    <row r="99" spans="1:12" x14ac:dyDescent="0.35">
      <c r="A99" s="509" t="s">
        <v>910</v>
      </c>
      <c r="B99" s="511">
        <v>25602256</v>
      </c>
      <c r="C99" s="511">
        <v>15867615</v>
      </c>
      <c r="D99" s="511">
        <v>12065802</v>
      </c>
      <c r="E99" s="511">
        <v>7889020</v>
      </c>
      <c r="F99" s="511">
        <v>6849573</v>
      </c>
      <c r="G99" s="511">
        <v>3822020</v>
      </c>
      <c r="H99" s="511">
        <v>2579270</v>
      </c>
      <c r="I99" s="511">
        <v>2337968</v>
      </c>
      <c r="J99" s="511">
        <v>1837969</v>
      </c>
      <c r="K99" s="511">
        <v>1333013</v>
      </c>
    </row>
    <row r="100" spans="1:12" x14ac:dyDescent="0.35">
      <c r="A100" s="509" t="s">
        <v>875</v>
      </c>
      <c r="B100" s="511">
        <v>435000</v>
      </c>
      <c r="C100" s="511">
        <v>402750</v>
      </c>
      <c r="D100" s="511">
        <v>378040</v>
      </c>
      <c r="E100" s="511">
        <v>220000</v>
      </c>
      <c r="F100" s="511">
        <v>220000</v>
      </c>
      <c r="G100" s="533" t="s">
        <v>690</v>
      </c>
      <c r="H100" s="533" t="s">
        <v>690</v>
      </c>
      <c r="I100" s="533" t="s">
        <v>690</v>
      </c>
      <c r="J100" s="533" t="s">
        <v>690</v>
      </c>
      <c r="K100" s="533" t="s">
        <v>690</v>
      </c>
    </row>
    <row r="101" spans="1:12" x14ac:dyDescent="0.35">
      <c r="A101" s="509" t="s">
        <v>911</v>
      </c>
      <c r="B101" s="511">
        <v>9033607</v>
      </c>
      <c r="C101" s="511">
        <v>3441429</v>
      </c>
      <c r="D101" s="511">
        <v>3796788</v>
      </c>
      <c r="E101" s="511">
        <v>1192838</v>
      </c>
      <c r="F101" s="511">
        <v>2816123</v>
      </c>
      <c r="G101" s="511">
        <v>868655</v>
      </c>
      <c r="H101" s="511">
        <v>190076</v>
      </c>
      <c r="I101" s="511">
        <v>490373</v>
      </c>
      <c r="J101" s="511">
        <v>504956</v>
      </c>
      <c r="K101" s="511">
        <v>398569</v>
      </c>
    </row>
    <row r="102" spans="1:12" x14ac:dyDescent="0.35">
      <c r="A102" s="509" t="s">
        <v>912</v>
      </c>
      <c r="B102" s="511">
        <v>1136034</v>
      </c>
      <c r="C102" s="511">
        <v>763134</v>
      </c>
      <c r="D102" s="511">
        <v>758034</v>
      </c>
      <c r="E102" s="511">
        <v>66609</v>
      </c>
      <c r="F102" s="511">
        <v>431430</v>
      </c>
      <c r="G102" s="511">
        <v>374095</v>
      </c>
      <c r="H102" s="511">
        <v>51226</v>
      </c>
      <c r="I102" s="511">
        <v>9626</v>
      </c>
      <c r="J102" s="533" t="s">
        <v>690</v>
      </c>
      <c r="K102" s="533" t="s">
        <v>690</v>
      </c>
    </row>
    <row r="103" spans="1:12" x14ac:dyDescent="0.35">
      <c r="A103" s="509" t="s">
        <v>876</v>
      </c>
      <c r="B103" s="511">
        <v>15867615</v>
      </c>
      <c r="C103" s="511">
        <v>12065802</v>
      </c>
      <c r="D103" s="511">
        <v>7889020</v>
      </c>
      <c r="E103" s="511">
        <v>6849573</v>
      </c>
      <c r="F103" s="511">
        <v>3822020</v>
      </c>
      <c r="G103" s="511">
        <v>2579270</v>
      </c>
      <c r="H103" s="511">
        <v>2337968</v>
      </c>
      <c r="I103" s="511">
        <v>1837969</v>
      </c>
      <c r="J103" s="511">
        <v>1333013</v>
      </c>
      <c r="K103" s="511">
        <v>934444</v>
      </c>
    </row>
    <row r="104" spans="1:12" ht="13.15" x14ac:dyDescent="0.35">
      <c r="A104" s="517" t="s">
        <v>788</v>
      </c>
      <c r="B104" s="533"/>
      <c r="C104" s="533"/>
      <c r="D104" s="533"/>
      <c r="E104" s="533"/>
      <c r="F104" s="533"/>
      <c r="G104" s="533"/>
      <c r="H104" s="533"/>
      <c r="I104" s="533"/>
      <c r="J104" s="533"/>
      <c r="K104" s="533"/>
    </row>
    <row r="105" spans="1:12" x14ac:dyDescent="0.35">
      <c r="A105" s="509" t="s">
        <v>913</v>
      </c>
      <c r="B105" s="511">
        <v>187000</v>
      </c>
      <c r="C105" s="511">
        <v>219000</v>
      </c>
      <c r="D105" s="511">
        <v>238000</v>
      </c>
      <c r="E105" s="511">
        <v>248000</v>
      </c>
      <c r="F105" s="511">
        <v>247000</v>
      </c>
      <c r="G105" s="511">
        <v>222000</v>
      </c>
      <c r="H105" s="511">
        <v>193000</v>
      </c>
      <c r="I105" s="511">
        <v>206000</v>
      </c>
      <c r="J105" s="511">
        <v>231000</v>
      </c>
      <c r="K105" s="511">
        <v>260000</v>
      </c>
    </row>
    <row r="106" spans="1:12" x14ac:dyDescent="0.35">
      <c r="A106" s="509" t="s">
        <v>877</v>
      </c>
      <c r="B106" s="511">
        <v>6000</v>
      </c>
      <c r="C106" s="511">
        <v>6000</v>
      </c>
      <c r="D106" s="511">
        <v>4000</v>
      </c>
      <c r="E106" s="533" t="s">
        <v>690</v>
      </c>
      <c r="F106" s="533" t="s">
        <v>690</v>
      </c>
      <c r="G106" s="533" t="s">
        <v>690</v>
      </c>
      <c r="H106" s="533" t="s">
        <v>690</v>
      </c>
      <c r="I106" s="533" t="s">
        <v>690</v>
      </c>
      <c r="J106" s="533" t="s">
        <v>690</v>
      </c>
      <c r="K106" s="533" t="s">
        <v>690</v>
      </c>
    </row>
    <row r="107" spans="1:12" x14ac:dyDescent="0.35">
      <c r="A107" s="509" t="s">
        <v>789</v>
      </c>
      <c r="B107" s="511">
        <v>206000</v>
      </c>
      <c r="C107" s="511">
        <v>250000</v>
      </c>
      <c r="D107" s="511">
        <v>263000</v>
      </c>
      <c r="E107" s="511">
        <v>284000</v>
      </c>
      <c r="F107" s="511">
        <v>252000</v>
      </c>
      <c r="G107" s="511">
        <v>274000</v>
      </c>
      <c r="H107" s="511">
        <v>244000</v>
      </c>
      <c r="I107" s="511">
        <v>234000</v>
      </c>
      <c r="J107" s="511">
        <v>260000</v>
      </c>
      <c r="K107" s="511">
        <v>278000</v>
      </c>
    </row>
    <row r="108" spans="1:12" ht="13.15" x14ac:dyDescent="0.35">
      <c r="A108" s="517" t="s">
        <v>878</v>
      </c>
      <c r="B108" s="533"/>
      <c r="C108" s="533"/>
      <c r="D108" s="533"/>
      <c r="E108" s="533"/>
      <c r="F108" s="533"/>
      <c r="G108" s="533"/>
      <c r="H108" s="533"/>
      <c r="I108" s="533"/>
      <c r="J108" s="533"/>
      <c r="K108" s="533"/>
    </row>
    <row r="109" spans="1:12" x14ac:dyDescent="0.35">
      <c r="A109" s="509" t="s">
        <v>879</v>
      </c>
      <c r="B109" s="511">
        <v>15000</v>
      </c>
      <c r="C109" s="511">
        <v>17000</v>
      </c>
      <c r="D109" s="511">
        <v>20000</v>
      </c>
      <c r="E109" s="511">
        <v>21000</v>
      </c>
      <c r="F109" s="511">
        <v>14000</v>
      </c>
      <c r="G109" s="511">
        <v>11000</v>
      </c>
      <c r="H109" s="511">
        <v>14000</v>
      </c>
      <c r="I109" s="511">
        <v>17000</v>
      </c>
      <c r="J109" s="511">
        <v>26000</v>
      </c>
      <c r="K109" s="511">
        <v>51000</v>
      </c>
    </row>
    <row r="110" spans="1:12" x14ac:dyDescent="0.35">
      <c r="A110" s="514"/>
    </row>
    <row r="111" spans="1:12" x14ac:dyDescent="0.35">
      <c r="A111" s="535"/>
      <c r="B111" s="535"/>
      <c r="C111" s="535"/>
      <c r="D111" s="535"/>
    </row>
    <row r="112" spans="1:12" ht="12.75" customHeight="1" x14ac:dyDescent="0.5">
      <c r="A112" s="521" t="s">
        <v>933</v>
      </c>
      <c r="B112" s="521"/>
      <c r="C112" s="521"/>
      <c r="D112" s="521"/>
      <c r="E112" s="521"/>
      <c r="F112" s="521"/>
      <c r="G112" s="521"/>
      <c r="H112" s="521"/>
      <c r="I112" s="521"/>
      <c r="J112" s="521"/>
      <c r="K112" s="521"/>
      <c r="L112" s="521"/>
    </row>
    <row r="113" spans="1:11" x14ac:dyDescent="0.35">
      <c r="A113" s="509" t="s">
        <v>930</v>
      </c>
    </row>
    <row r="115" spans="1:11" x14ac:dyDescent="0.35">
      <c r="A115" s="509" t="s">
        <v>665</v>
      </c>
      <c r="B115" s="514"/>
    </row>
    <row r="116" spans="1:11" x14ac:dyDescent="0.35">
      <c r="A116" s="509" t="s">
        <v>666</v>
      </c>
      <c r="B116" s="514"/>
    </row>
    <row r="117" spans="1:11" x14ac:dyDescent="0.35">
      <c r="A117" s="509" t="s">
        <v>667</v>
      </c>
      <c r="B117" s="514"/>
    </row>
    <row r="118" spans="1:11" x14ac:dyDescent="0.35">
      <c r="A118" s="509" t="s">
        <v>730</v>
      </c>
      <c r="B118" s="514"/>
    </row>
    <row r="119" spans="1:11" x14ac:dyDescent="0.35">
      <c r="A119" s="509" t="s">
        <v>668</v>
      </c>
      <c r="B119" s="514"/>
    </row>
    <row r="120" spans="1:11" x14ac:dyDescent="0.35">
      <c r="A120" s="509" t="s">
        <v>731</v>
      </c>
      <c r="B120" s="514"/>
    </row>
    <row r="121" spans="1:11" x14ac:dyDescent="0.35">
      <c r="A121" s="509" t="s">
        <v>732</v>
      </c>
      <c r="B121" s="514"/>
    </row>
    <row r="122" spans="1:11" x14ac:dyDescent="0.35">
      <c r="A122" s="534"/>
      <c r="B122" s="534"/>
      <c r="C122" s="534"/>
      <c r="D122" s="534"/>
      <c r="E122" s="534"/>
      <c r="F122" s="534"/>
      <c r="G122" s="534"/>
      <c r="H122" s="534"/>
      <c r="I122" s="534"/>
      <c r="J122" s="534"/>
      <c r="K122" s="534"/>
    </row>
    <row r="123" spans="1:11" x14ac:dyDescent="0.35">
      <c r="A123" s="520" t="s">
        <v>670</v>
      </c>
      <c r="B123" s="519" t="s">
        <v>733</v>
      </c>
      <c r="C123" s="519" t="s">
        <v>720</v>
      </c>
      <c r="D123" s="519" t="s">
        <v>671</v>
      </c>
      <c r="E123" s="519" t="s">
        <v>672</v>
      </c>
      <c r="F123" s="519" t="s">
        <v>673</v>
      </c>
      <c r="G123" s="519" t="s">
        <v>674</v>
      </c>
      <c r="H123" s="519" t="s">
        <v>675</v>
      </c>
      <c r="I123" s="519" t="s">
        <v>676</v>
      </c>
      <c r="J123" s="519" t="s">
        <v>677</v>
      </c>
      <c r="K123" s="519" t="s">
        <v>734</v>
      </c>
    </row>
    <row r="124" spans="1:11" ht="25.5" x14ac:dyDescent="0.35">
      <c r="A124" s="509" t="s">
        <v>73</v>
      </c>
      <c r="B124" s="533" t="s">
        <v>735</v>
      </c>
      <c r="C124" s="533" t="s">
        <v>735</v>
      </c>
      <c r="D124" s="533" t="s">
        <v>735</v>
      </c>
      <c r="E124" s="533" t="s">
        <v>735</v>
      </c>
      <c r="F124" s="533" t="s">
        <v>735</v>
      </c>
      <c r="G124" s="533" t="s">
        <v>735</v>
      </c>
      <c r="H124" s="533" t="s">
        <v>735</v>
      </c>
      <c r="I124" s="533" t="s">
        <v>735</v>
      </c>
      <c r="J124" s="533" t="s">
        <v>735</v>
      </c>
      <c r="K124" s="533" t="s">
        <v>735</v>
      </c>
    </row>
    <row r="125" spans="1:11" x14ac:dyDescent="0.35">
      <c r="A125" s="509" t="s">
        <v>678</v>
      </c>
      <c r="B125" s="533" t="s">
        <v>736</v>
      </c>
      <c r="C125" s="533" t="s">
        <v>737</v>
      </c>
      <c r="D125" s="533" t="s">
        <v>679</v>
      </c>
      <c r="E125" s="533" t="s">
        <v>680</v>
      </c>
      <c r="F125" s="533" t="s">
        <v>681</v>
      </c>
      <c r="G125" s="533" t="s">
        <v>682</v>
      </c>
      <c r="H125" s="533" t="s">
        <v>683</v>
      </c>
      <c r="I125" s="533" t="s">
        <v>684</v>
      </c>
      <c r="J125" s="533" t="s">
        <v>685</v>
      </c>
      <c r="K125" s="533" t="s">
        <v>738</v>
      </c>
    </row>
    <row r="126" spans="1:11" x14ac:dyDescent="0.35">
      <c r="A126" s="509" t="s">
        <v>739</v>
      </c>
      <c r="B126" s="537">
        <v>43284</v>
      </c>
      <c r="C126" s="537">
        <v>43680</v>
      </c>
      <c r="D126" s="537">
        <v>43954</v>
      </c>
      <c r="E126" s="537">
        <v>44289</v>
      </c>
      <c r="F126" s="533" t="s">
        <v>931</v>
      </c>
      <c r="G126" s="533" t="s">
        <v>898</v>
      </c>
      <c r="H126" s="533" t="s">
        <v>899</v>
      </c>
      <c r="I126" s="533" t="s">
        <v>932</v>
      </c>
      <c r="J126" s="533" t="s">
        <v>932</v>
      </c>
      <c r="K126" s="533" t="s">
        <v>932</v>
      </c>
    </row>
    <row r="127" spans="1:11" x14ac:dyDescent="0.35">
      <c r="A127" s="509" t="s">
        <v>745</v>
      </c>
      <c r="B127" s="533">
        <v>1</v>
      </c>
      <c r="C127" s="533">
        <v>1</v>
      </c>
      <c r="D127" s="533">
        <v>1</v>
      </c>
      <c r="E127" s="533">
        <v>1</v>
      </c>
      <c r="F127" s="533">
        <v>1</v>
      </c>
      <c r="G127" s="533">
        <v>1</v>
      </c>
      <c r="H127" s="533">
        <v>1</v>
      </c>
      <c r="I127" s="533">
        <v>1</v>
      </c>
      <c r="J127" s="533">
        <v>1</v>
      </c>
      <c r="K127" s="533">
        <v>1</v>
      </c>
    </row>
    <row r="128" spans="1:11" x14ac:dyDescent="0.35">
      <c r="A128" s="509" t="s">
        <v>746</v>
      </c>
      <c r="B128" s="533">
        <v>1</v>
      </c>
      <c r="C128" s="533">
        <v>1</v>
      </c>
      <c r="D128" s="533">
        <v>1</v>
      </c>
      <c r="E128" s="533">
        <v>1</v>
      </c>
      <c r="F128" s="533">
        <v>1</v>
      </c>
      <c r="G128" s="533">
        <v>1</v>
      </c>
      <c r="H128" s="533">
        <v>1</v>
      </c>
      <c r="I128" s="533">
        <v>1</v>
      </c>
      <c r="J128" s="533">
        <v>1</v>
      </c>
      <c r="K128" s="533">
        <v>1</v>
      </c>
    </row>
    <row r="129" spans="1:11" x14ac:dyDescent="0.35">
      <c r="A129" s="509" t="s">
        <v>73</v>
      </c>
      <c r="B129" s="533"/>
      <c r="C129" s="533"/>
      <c r="D129" s="533"/>
      <c r="E129" s="533"/>
      <c r="F129" s="533"/>
      <c r="G129" s="533"/>
      <c r="H129" s="533"/>
      <c r="I129" s="533"/>
      <c r="J129" s="533"/>
      <c r="K129" s="533"/>
    </row>
    <row r="130" spans="1:11" ht="13.15" x14ac:dyDescent="0.35">
      <c r="A130" s="517" t="s">
        <v>791</v>
      </c>
      <c r="B130" s="533"/>
      <c r="C130" s="533"/>
      <c r="D130" s="533"/>
      <c r="E130" s="533"/>
      <c r="F130" s="533"/>
      <c r="G130" s="533"/>
      <c r="H130" s="533"/>
      <c r="I130" s="533"/>
      <c r="J130" s="533"/>
      <c r="K130" s="533"/>
    </row>
    <row r="131" spans="1:11" x14ac:dyDescent="0.35">
      <c r="A131" s="509" t="s">
        <v>792</v>
      </c>
      <c r="B131" s="511">
        <v>4287000</v>
      </c>
      <c r="C131" s="511">
        <v>4709000</v>
      </c>
      <c r="D131" s="511">
        <v>8416000</v>
      </c>
      <c r="E131" s="511">
        <v>4306000</v>
      </c>
      <c r="F131" s="511">
        <v>2754000</v>
      </c>
      <c r="G131" s="511">
        <v>12294000</v>
      </c>
      <c r="H131" s="511">
        <v>6223000</v>
      </c>
      <c r="I131" s="511">
        <v>8371000</v>
      </c>
      <c r="J131" s="511">
        <v>5400000</v>
      </c>
      <c r="K131" s="511">
        <v>5560000</v>
      </c>
    </row>
    <row r="132" spans="1:11" x14ac:dyDescent="0.35">
      <c r="A132" s="509" t="s">
        <v>556</v>
      </c>
      <c r="B132" s="511">
        <v>612000</v>
      </c>
      <c r="C132" s="511">
        <v>1129000</v>
      </c>
      <c r="D132" s="511">
        <v>1121000</v>
      </c>
      <c r="E132" s="511">
        <v>1151000</v>
      </c>
      <c r="F132" s="511">
        <v>1426000</v>
      </c>
      <c r="G132" s="511">
        <v>1479000</v>
      </c>
      <c r="H132" s="511">
        <v>1380000</v>
      </c>
      <c r="I132" s="511">
        <v>1180000</v>
      </c>
      <c r="J132" s="511">
        <v>1022000</v>
      </c>
      <c r="K132" s="511">
        <v>1016000</v>
      </c>
    </row>
    <row r="133" spans="1:11" x14ac:dyDescent="0.35">
      <c r="A133" s="509" t="s">
        <v>560</v>
      </c>
      <c r="B133" s="511">
        <v>2651000</v>
      </c>
      <c r="C133" s="511">
        <v>1712000</v>
      </c>
      <c r="D133" s="511">
        <v>1886000</v>
      </c>
      <c r="E133" s="511">
        <v>2188000</v>
      </c>
      <c r="F133" s="511">
        <v>2167000</v>
      </c>
      <c r="G133" s="511">
        <v>1707000</v>
      </c>
      <c r="H133" s="511">
        <v>1621000</v>
      </c>
      <c r="I133" s="511">
        <v>1873000</v>
      </c>
      <c r="J133" s="511">
        <v>2225000</v>
      </c>
      <c r="K133" s="511">
        <v>2094000</v>
      </c>
    </row>
    <row r="134" spans="1:11" x14ac:dyDescent="0.35">
      <c r="A134" s="509" t="s">
        <v>793</v>
      </c>
      <c r="B134" s="511">
        <v>3263000</v>
      </c>
      <c r="C134" s="511">
        <v>2841000</v>
      </c>
      <c r="D134" s="511">
        <v>3007000</v>
      </c>
      <c r="E134" s="511">
        <v>3339000</v>
      </c>
      <c r="F134" s="511">
        <v>3593000</v>
      </c>
      <c r="G134" s="511">
        <v>3186000</v>
      </c>
      <c r="H134" s="511">
        <v>3001000</v>
      </c>
      <c r="I134" s="511">
        <v>3053000</v>
      </c>
      <c r="J134" s="511">
        <v>3247000</v>
      </c>
      <c r="K134" s="511">
        <v>3110000</v>
      </c>
    </row>
    <row r="135" spans="1:11" x14ac:dyDescent="0.35">
      <c r="A135" s="509" t="s">
        <v>561</v>
      </c>
      <c r="B135" s="511">
        <v>108000</v>
      </c>
      <c r="C135" s="511">
        <v>104000</v>
      </c>
      <c r="D135" s="511">
        <v>112000</v>
      </c>
      <c r="E135" s="511">
        <v>115000</v>
      </c>
      <c r="F135" s="511">
        <v>127000</v>
      </c>
      <c r="G135" s="511">
        <v>112000</v>
      </c>
      <c r="H135" s="511">
        <v>119000</v>
      </c>
      <c r="I135" s="511">
        <v>97000</v>
      </c>
      <c r="J135" s="511">
        <v>120000</v>
      </c>
      <c r="K135" s="511">
        <v>106000</v>
      </c>
    </row>
    <row r="136" spans="1:11" x14ac:dyDescent="0.35">
      <c r="A136" s="509" t="s">
        <v>642</v>
      </c>
      <c r="B136" s="511">
        <v>7000</v>
      </c>
      <c r="C136" s="511">
        <v>5000</v>
      </c>
      <c r="D136" s="511">
        <v>38000</v>
      </c>
      <c r="E136" s="511">
        <v>22000</v>
      </c>
      <c r="F136" s="511">
        <v>31000</v>
      </c>
      <c r="G136" s="511">
        <v>36000</v>
      </c>
      <c r="H136" s="511">
        <v>56000</v>
      </c>
      <c r="I136" s="511">
        <v>113000</v>
      </c>
      <c r="J136" s="511">
        <v>36000</v>
      </c>
      <c r="K136" s="511">
        <v>58000</v>
      </c>
    </row>
    <row r="137" spans="1:11" x14ac:dyDescent="0.35">
      <c r="A137" s="509" t="s">
        <v>562</v>
      </c>
      <c r="B137" s="511">
        <v>-136000</v>
      </c>
      <c r="C137" s="511">
        <v>-327000</v>
      </c>
      <c r="D137" s="511">
        <v>-59000</v>
      </c>
      <c r="E137" s="511">
        <v>-728000</v>
      </c>
      <c r="F137" s="511">
        <v>-595000</v>
      </c>
      <c r="G137" s="511">
        <v>-1012000</v>
      </c>
      <c r="H137" s="511">
        <v>-357000</v>
      </c>
      <c r="I137" s="511">
        <v>-470000</v>
      </c>
      <c r="J137" s="511">
        <v>-103000</v>
      </c>
      <c r="K137" s="511">
        <v>-298000</v>
      </c>
    </row>
    <row r="138" spans="1:11" x14ac:dyDescent="0.35">
      <c r="A138" s="509" t="s">
        <v>563</v>
      </c>
      <c r="B138" s="533" t="s">
        <v>690</v>
      </c>
      <c r="C138" s="533" t="s">
        <v>690</v>
      </c>
      <c r="D138" s="533" t="s">
        <v>690</v>
      </c>
      <c r="E138" s="533" t="s">
        <v>690</v>
      </c>
      <c r="F138" s="533" t="s">
        <v>690</v>
      </c>
      <c r="G138" s="511">
        <v>-6880000</v>
      </c>
      <c r="H138" s="533" t="s">
        <v>690</v>
      </c>
      <c r="I138" s="533" t="s">
        <v>690</v>
      </c>
      <c r="J138" s="533" t="s">
        <v>690</v>
      </c>
      <c r="K138" s="533" t="s">
        <v>690</v>
      </c>
    </row>
    <row r="139" spans="1:11" x14ac:dyDescent="0.35">
      <c r="A139" s="509" t="s">
        <v>564</v>
      </c>
      <c r="B139" s="511">
        <v>540000</v>
      </c>
      <c r="C139" s="511">
        <v>356000</v>
      </c>
      <c r="D139" s="511">
        <v>567000</v>
      </c>
      <c r="E139" s="511">
        <v>825000</v>
      </c>
      <c r="F139" s="511">
        <v>3725000</v>
      </c>
      <c r="G139" s="511">
        <v>373000</v>
      </c>
      <c r="H139" s="511">
        <v>231000</v>
      </c>
      <c r="I139" s="511">
        <v>-42000</v>
      </c>
      <c r="J139" s="511">
        <v>1062000</v>
      </c>
      <c r="K139" s="511">
        <v>370000</v>
      </c>
    </row>
    <row r="140" spans="1:11" x14ac:dyDescent="0.35">
      <c r="A140" s="509" t="s">
        <v>565</v>
      </c>
      <c r="B140" s="511">
        <v>115000</v>
      </c>
      <c r="C140" s="511">
        <v>-85000</v>
      </c>
      <c r="D140" s="511">
        <v>-47000</v>
      </c>
      <c r="E140" s="511">
        <v>-471000</v>
      </c>
      <c r="F140" s="511">
        <v>-192000</v>
      </c>
      <c r="G140" s="511">
        <v>-339000</v>
      </c>
      <c r="H140" s="511">
        <v>-15000</v>
      </c>
      <c r="I140" s="511">
        <v>-45000</v>
      </c>
      <c r="J140" s="511">
        <v>293000</v>
      </c>
      <c r="K140" s="511">
        <v>82000</v>
      </c>
    </row>
    <row r="141" spans="1:11" x14ac:dyDescent="0.35">
      <c r="A141" s="509" t="s">
        <v>566</v>
      </c>
      <c r="B141" s="511">
        <v>193000</v>
      </c>
      <c r="C141" s="511">
        <v>241000</v>
      </c>
      <c r="D141" s="511">
        <v>263000</v>
      </c>
      <c r="E141" s="511">
        <v>284000</v>
      </c>
      <c r="F141" s="511">
        <v>252000</v>
      </c>
      <c r="G141" s="511">
        <v>274000</v>
      </c>
      <c r="H141" s="511">
        <v>244000</v>
      </c>
      <c r="I141" s="511">
        <v>234000</v>
      </c>
      <c r="J141" s="511">
        <v>260000</v>
      </c>
      <c r="K141" s="511">
        <v>278000</v>
      </c>
    </row>
    <row r="142" spans="1:11" x14ac:dyDescent="0.35">
      <c r="A142" s="509" t="s">
        <v>653</v>
      </c>
      <c r="B142" s="511">
        <v>630000</v>
      </c>
      <c r="C142" s="511">
        <v>-314000</v>
      </c>
      <c r="D142" s="511">
        <v>-4643000</v>
      </c>
      <c r="E142" s="511">
        <v>13000</v>
      </c>
      <c r="F142" s="511">
        <v>101000</v>
      </c>
      <c r="G142" s="533" t="s">
        <v>690</v>
      </c>
      <c r="H142" s="533" t="s">
        <v>690</v>
      </c>
      <c r="I142" s="511">
        <v>888000</v>
      </c>
      <c r="J142" s="511">
        <v>987000</v>
      </c>
      <c r="K142" s="511">
        <v>474000</v>
      </c>
    </row>
    <row r="143" spans="1:11" x14ac:dyDescent="0.35">
      <c r="A143" s="509" t="s">
        <v>567</v>
      </c>
      <c r="B143" s="511">
        <v>-1142000</v>
      </c>
      <c r="C143" s="511">
        <v>-522000</v>
      </c>
      <c r="D143" s="511">
        <v>-422000</v>
      </c>
      <c r="E143" s="511">
        <v>-878000</v>
      </c>
      <c r="F143" s="511">
        <v>-1662000</v>
      </c>
      <c r="G143" s="511">
        <v>-301000</v>
      </c>
      <c r="H143" s="511">
        <v>-389000</v>
      </c>
      <c r="I143" s="511">
        <v>-879000</v>
      </c>
      <c r="J143" s="511">
        <v>-1457000</v>
      </c>
      <c r="K143" s="511">
        <v>-44000</v>
      </c>
    </row>
    <row r="144" spans="1:11" x14ac:dyDescent="0.35">
      <c r="A144" s="509" t="s">
        <v>568</v>
      </c>
      <c r="B144" s="511">
        <v>-493000</v>
      </c>
      <c r="C144" s="511">
        <v>168000</v>
      </c>
      <c r="D144" s="511">
        <v>-529000</v>
      </c>
      <c r="E144" s="511">
        <v>-35000</v>
      </c>
      <c r="F144" s="511">
        <v>-462000</v>
      </c>
      <c r="G144" s="511">
        <v>-134000</v>
      </c>
      <c r="H144" s="511">
        <v>185000</v>
      </c>
      <c r="I144" s="511">
        <v>-500000</v>
      </c>
      <c r="J144" s="511">
        <v>-472000</v>
      </c>
      <c r="K144" s="511">
        <v>-28000</v>
      </c>
    </row>
    <row r="145" spans="1:11" x14ac:dyDescent="0.35">
      <c r="A145" s="509" t="s">
        <v>569</v>
      </c>
      <c r="B145" s="511">
        <v>-466000</v>
      </c>
      <c r="C145" s="511">
        <v>-326000</v>
      </c>
      <c r="D145" s="511">
        <v>-144000</v>
      </c>
      <c r="E145" s="511">
        <v>-701000</v>
      </c>
      <c r="F145" s="511">
        <v>-547000</v>
      </c>
      <c r="G145" s="511">
        <v>-593000</v>
      </c>
      <c r="H145" s="511">
        <v>-357000</v>
      </c>
      <c r="I145" s="511">
        <v>-918000</v>
      </c>
      <c r="J145" s="511">
        <v>-866000</v>
      </c>
      <c r="K145" s="511">
        <v>-477000</v>
      </c>
    </row>
    <row r="146" spans="1:11" x14ac:dyDescent="0.35">
      <c r="A146" s="509" t="s">
        <v>570</v>
      </c>
      <c r="B146" s="511">
        <v>241000</v>
      </c>
      <c r="C146" s="511">
        <v>447000</v>
      </c>
      <c r="D146" s="511">
        <v>577000</v>
      </c>
      <c r="E146" s="511">
        <v>270000</v>
      </c>
      <c r="F146" s="511">
        <v>169000</v>
      </c>
      <c r="G146" s="511">
        <v>86000</v>
      </c>
      <c r="H146" s="511">
        <v>451000</v>
      </c>
      <c r="I146" s="511">
        <v>340000</v>
      </c>
      <c r="J146" s="511">
        <v>258000</v>
      </c>
      <c r="K146" s="511">
        <v>789000</v>
      </c>
    </row>
    <row r="147" spans="1:11" x14ac:dyDescent="0.35">
      <c r="A147" s="509" t="s">
        <v>626</v>
      </c>
      <c r="B147" s="511">
        <v>1773000</v>
      </c>
      <c r="C147" s="511">
        <v>541000</v>
      </c>
      <c r="D147" s="511">
        <v>243000</v>
      </c>
      <c r="E147" s="511">
        <v>-814000</v>
      </c>
      <c r="F147" s="511">
        <v>421000</v>
      </c>
      <c r="G147" s="511">
        <v>316000</v>
      </c>
      <c r="H147" s="511">
        <v>1130000</v>
      </c>
      <c r="I147" s="511">
        <v>284000</v>
      </c>
      <c r="J147" s="511">
        <v>1493000</v>
      </c>
      <c r="K147" s="511">
        <v>-899000</v>
      </c>
    </row>
    <row r="148" spans="1:11" x14ac:dyDescent="0.35">
      <c r="A148" s="509" t="s">
        <v>794</v>
      </c>
      <c r="B148" s="511">
        <v>8920000</v>
      </c>
      <c r="C148" s="511">
        <v>7838000</v>
      </c>
      <c r="D148" s="511">
        <v>7379000</v>
      </c>
      <c r="E148" s="511">
        <v>5547000</v>
      </c>
      <c r="F148" s="511">
        <v>7715000</v>
      </c>
      <c r="G148" s="511">
        <v>7418000</v>
      </c>
      <c r="H148" s="511">
        <v>10522000</v>
      </c>
      <c r="I148" s="511">
        <v>10526000</v>
      </c>
      <c r="J148" s="511">
        <v>10258000</v>
      </c>
      <c r="K148" s="511">
        <v>9081000</v>
      </c>
    </row>
    <row r="149" spans="1:11" ht="13.15" x14ac:dyDescent="0.35">
      <c r="A149" s="517" t="s">
        <v>795</v>
      </c>
      <c r="B149" s="533"/>
      <c r="C149" s="533"/>
      <c r="D149" s="533"/>
      <c r="E149" s="533"/>
      <c r="F149" s="533"/>
      <c r="G149" s="533"/>
      <c r="H149" s="533"/>
      <c r="I149" s="533"/>
      <c r="J149" s="533"/>
      <c r="K149" s="533"/>
    </row>
    <row r="150" spans="1:11" x14ac:dyDescent="0.35">
      <c r="A150" s="509" t="s">
        <v>571</v>
      </c>
      <c r="B150" s="511">
        <v>-1203000</v>
      </c>
      <c r="C150" s="511">
        <v>-1219000</v>
      </c>
      <c r="D150" s="511">
        <v>-1388000</v>
      </c>
      <c r="E150" s="511">
        <v>-1415000</v>
      </c>
      <c r="F150" s="511">
        <v>-1323000</v>
      </c>
      <c r="G150" s="511">
        <v>-1254000</v>
      </c>
      <c r="H150" s="511">
        <v>-1478000</v>
      </c>
      <c r="I150" s="511">
        <v>-2103000</v>
      </c>
      <c r="J150" s="511">
        <v>-2906000</v>
      </c>
      <c r="K150" s="511">
        <v>-3195000</v>
      </c>
    </row>
    <row r="151" spans="1:11" x14ac:dyDescent="0.35">
      <c r="A151" s="509" t="s">
        <v>572</v>
      </c>
      <c r="B151" s="511">
        <v>211000</v>
      </c>
      <c r="C151" s="511">
        <v>209000</v>
      </c>
      <c r="D151" s="511">
        <v>535000</v>
      </c>
      <c r="E151" s="511">
        <v>2163000</v>
      </c>
      <c r="F151" s="511">
        <v>1224000</v>
      </c>
      <c r="G151" s="511">
        <v>918000</v>
      </c>
      <c r="H151" s="511">
        <v>676000</v>
      </c>
      <c r="I151" s="511">
        <v>1340000</v>
      </c>
      <c r="J151" s="511">
        <v>807000</v>
      </c>
      <c r="K151" s="511">
        <v>1461000</v>
      </c>
    </row>
    <row r="152" spans="1:11" x14ac:dyDescent="0.35">
      <c r="A152" s="509" t="s">
        <v>573</v>
      </c>
      <c r="B152" s="511">
        <v>-103000</v>
      </c>
      <c r="C152" s="511">
        <v>-311000</v>
      </c>
      <c r="D152" s="511">
        <v>-1151000</v>
      </c>
      <c r="E152" s="511">
        <v>-12857000</v>
      </c>
      <c r="F152" s="511">
        <v>-488000</v>
      </c>
      <c r="G152" s="511">
        <v>-5336000</v>
      </c>
      <c r="H152" s="511">
        <v>-5594000</v>
      </c>
      <c r="I152" s="511">
        <v>-987000</v>
      </c>
      <c r="J152" s="511">
        <v>-2535000</v>
      </c>
      <c r="K152" s="511">
        <v>-1901000</v>
      </c>
    </row>
    <row r="153" spans="1:11" x14ac:dyDescent="0.35">
      <c r="A153" s="509" t="s">
        <v>574</v>
      </c>
      <c r="B153" s="511">
        <v>-1569000</v>
      </c>
      <c r="C153" s="511">
        <v>-864000</v>
      </c>
      <c r="D153" s="511">
        <v>-568000</v>
      </c>
      <c r="E153" s="511">
        <v>-562000</v>
      </c>
      <c r="F153" s="511">
        <v>-464000</v>
      </c>
      <c r="G153" s="511">
        <v>-829000</v>
      </c>
      <c r="H153" s="511">
        <v>-565000</v>
      </c>
      <c r="I153" s="533" t="s">
        <v>690</v>
      </c>
      <c r="J153" s="533" t="s">
        <v>690</v>
      </c>
      <c r="K153" s="533" t="s">
        <v>690</v>
      </c>
    </row>
    <row r="154" spans="1:11" x14ac:dyDescent="0.35">
      <c r="A154" s="509" t="s">
        <v>575</v>
      </c>
      <c r="B154" s="511">
        <v>-259000</v>
      </c>
      <c r="C154" s="511">
        <v>-223000</v>
      </c>
      <c r="D154" s="511">
        <v>-61000</v>
      </c>
      <c r="E154" s="511">
        <v>-137000</v>
      </c>
      <c r="F154" s="511">
        <v>-38000</v>
      </c>
      <c r="G154" s="511">
        <v>10233000</v>
      </c>
      <c r="H154" s="511">
        <v>-269000</v>
      </c>
      <c r="I154" s="511">
        <v>-353000</v>
      </c>
      <c r="J154" s="511">
        <v>-92000</v>
      </c>
      <c r="K154" s="511">
        <v>-623000</v>
      </c>
    </row>
    <row r="155" spans="1:11" x14ac:dyDescent="0.35">
      <c r="A155" s="509" t="s">
        <v>654</v>
      </c>
      <c r="B155" s="511">
        <v>-88000</v>
      </c>
      <c r="C155" s="533" t="s">
        <v>690</v>
      </c>
      <c r="D155" s="533" t="s">
        <v>690</v>
      </c>
      <c r="E155" s="533" t="s">
        <v>690</v>
      </c>
      <c r="F155" s="533" t="s">
        <v>690</v>
      </c>
      <c r="G155" s="533" t="s">
        <v>690</v>
      </c>
      <c r="H155" s="533" t="s">
        <v>690</v>
      </c>
      <c r="I155" s="533" t="s">
        <v>690</v>
      </c>
      <c r="J155" s="533" t="s">
        <v>690</v>
      </c>
      <c r="K155" s="533" t="s">
        <v>690</v>
      </c>
    </row>
    <row r="156" spans="1:11" x14ac:dyDescent="0.35">
      <c r="A156" s="509" t="s">
        <v>576</v>
      </c>
      <c r="B156" s="511">
        <v>-246000</v>
      </c>
      <c r="C156" s="511">
        <v>-103000</v>
      </c>
      <c r="D156" s="511">
        <v>-263000</v>
      </c>
      <c r="E156" s="511">
        <v>-58000</v>
      </c>
      <c r="F156" s="511">
        <v>-94000</v>
      </c>
      <c r="G156" s="511">
        <v>-113000</v>
      </c>
      <c r="H156" s="511">
        <v>-68000</v>
      </c>
      <c r="I156" s="511">
        <v>28000</v>
      </c>
      <c r="J156" s="511">
        <v>-1474000</v>
      </c>
      <c r="K156" s="511">
        <v>-149000</v>
      </c>
    </row>
    <row r="157" spans="1:11" x14ac:dyDescent="0.35">
      <c r="A157" s="509" t="s">
        <v>796</v>
      </c>
      <c r="B157" s="511">
        <v>-3257000</v>
      </c>
      <c r="C157" s="511">
        <v>-2511000</v>
      </c>
      <c r="D157" s="511">
        <v>-2896000</v>
      </c>
      <c r="E157" s="511">
        <v>-12866000</v>
      </c>
      <c r="F157" s="511">
        <v>-1183000</v>
      </c>
      <c r="G157" s="511">
        <v>3619000</v>
      </c>
      <c r="H157" s="511">
        <v>-7298000</v>
      </c>
      <c r="I157" s="511">
        <v>-2075000</v>
      </c>
      <c r="J157" s="511">
        <v>-6200000</v>
      </c>
      <c r="K157" s="511">
        <v>-4407000</v>
      </c>
    </row>
    <row r="158" spans="1:11" ht="13.15" x14ac:dyDescent="0.35">
      <c r="A158" s="517" t="s">
        <v>797</v>
      </c>
      <c r="B158" s="533"/>
      <c r="C158" s="533"/>
      <c r="D158" s="533"/>
      <c r="E158" s="533"/>
      <c r="F158" s="533"/>
      <c r="G158" s="533"/>
      <c r="H158" s="533"/>
      <c r="I158" s="533"/>
      <c r="J158" s="533"/>
      <c r="K158" s="533"/>
    </row>
    <row r="159" spans="1:11" x14ac:dyDescent="0.35">
      <c r="A159" s="509" t="s">
        <v>577</v>
      </c>
      <c r="B159" s="533" t="s">
        <v>690</v>
      </c>
      <c r="C159" s="511">
        <v>96000</v>
      </c>
      <c r="D159" s="511">
        <v>30000</v>
      </c>
      <c r="E159" s="533" t="s">
        <v>690</v>
      </c>
      <c r="F159" s="533" t="s">
        <v>690</v>
      </c>
      <c r="G159" s="511">
        <v>282000</v>
      </c>
      <c r="H159" s="533" t="s">
        <v>690</v>
      </c>
      <c r="I159" s="511">
        <v>216000</v>
      </c>
      <c r="J159" s="511">
        <v>751000</v>
      </c>
      <c r="K159" s="511">
        <v>59000</v>
      </c>
    </row>
    <row r="160" spans="1:11" x14ac:dyDescent="0.35">
      <c r="A160" s="509" t="s">
        <v>578</v>
      </c>
      <c r="B160" s="511">
        <v>2253000</v>
      </c>
      <c r="C160" s="511">
        <v>4773000</v>
      </c>
      <c r="D160" s="511">
        <v>41000</v>
      </c>
      <c r="E160" s="511">
        <v>9677000</v>
      </c>
      <c r="F160" s="511">
        <v>1997000</v>
      </c>
      <c r="G160" s="511">
        <v>2019000</v>
      </c>
      <c r="H160" s="533" t="s">
        <v>690</v>
      </c>
      <c r="I160" s="511">
        <v>1549000</v>
      </c>
      <c r="J160" s="511">
        <v>48000</v>
      </c>
      <c r="K160" s="533" t="s">
        <v>690</v>
      </c>
    </row>
    <row r="161" spans="1:11" x14ac:dyDescent="0.35">
      <c r="A161" s="509" t="s">
        <v>798</v>
      </c>
      <c r="B161" s="511">
        <v>2253000</v>
      </c>
      <c r="C161" s="511">
        <v>4869000</v>
      </c>
      <c r="D161" s="511">
        <v>71000</v>
      </c>
      <c r="E161" s="511">
        <v>9677000</v>
      </c>
      <c r="F161" s="511">
        <v>1997000</v>
      </c>
      <c r="G161" s="511">
        <v>2301000</v>
      </c>
      <c r="H161" s="533" t="s">
        <v>690</v>
      </c>
      <c r="I161" s="511">
        <v>1765000</v>
      </c>
      <c r="J161" s="511">
        <v>799000</v>
      </c>
      <c r="K161" s="511">
        <v>59000</v>
      </c>
    </row>
    <row r="162" spans="1:11" x14ac:dyDescent="0.35">
      <c r="A162" s="509" t="s">
        <v>579</v>
      </c>
      <c r="B162" s="511">
        <v>-199000</v>
      </c>
      <c r="C162" s="533" t="s">
        <v>690</v>
      </c>
      <c r="D162" s="533" t="s">
        <v>690</v>
      </c>
      <c r="E162" s="511">
        <v>-168000</v>
      </c>
      <c r="F162" s="511">
        <v>-154000</v>
      </c>
      <c r="G162" s="533" t="s">
        <v>690</v>
      </c>
      <c r="H162" s="511">
        <v>-414000</v>
      </c>
      <c r="I162" s="533" t="s">
        <v>690</v>
      </c>
      <c r="J162" s="533" t="s">
        <v>690</v>
      </c>
      <c r="K162" s="533" t="s">
        <v>690</v>
      </c>
    </row>
    <row r="163" spans="1:11" x14ac:dyDescent="0.35">
      <c r="A163" s="509" t="s">
        <v>580</v>
      </c>
      <c r="B163" s="511">
        <v>-708000</v>
      </c>
      <c r="C163" s="511">
        <v>-2576000</v>
      </c>
      <c r="D163" s="511">
        <v>-2368000</v>
      </c>
      <c r="E163" s="511">
        <v>-787000</v>
      </c>
      <c r="F163" s="511">
        <v>-2334000</v>
      </c>
      <c r="G163" s="511">
        <v>-4186000</v>
      </c>
      <c r="H163" s="511">
        <v>-2390000</v>
      </c>
      <c r="I163" s="511">
        <v>-2998000</v>
      </c>
      <c r="J163" s="511">
        <v>-3936000</v>
      </c>
      <c r="K163" s="511">
        <v>-953000</v>
      </c>
    </row>
    <row r="164" spans="1:11" x14ac:dyDescent="0.35">
      <c r="A164" s="509" t="s">
        <v>799</v>
      </c>
      <c r="B164" s="511">
        <v>-907000</v>
      </c>
      <c r="C164" s="511">
        <v>-2576000</v>
      </c>
      <c r="D164" s="511">
        <v>-2368000</v>
      </c>
      <c r="E164" s="511">
        <v>-955000</v>
      </c>
      <c r="F164" s="511">
        <v>-2488000</v>
      </c>
      <c r="G164" s="511">
        <v>-4186000</v>
      </c>
      <c r="H164" s="511">
        <v>-2804000</v>
      </c>
      <c r="I164" s="511">
        <v>-2998000</v>
      </c>
      <c r="J164" s="511">
        <v>-3936000</v>
      </c>
      <c r="K164" s="511">
        <v>-953000</v>
      </c>
    </row>
    <row r="165" spans="1:11" x14ac:dyDescent="0.35">
      <c r="A165" s="509" t="s">
        <v>581</v>
      </c>
      <c r="B165" s="511">
        <v>574000</v>
      </c>
      <c r="C165" s="511">
        <v>305000</v>
      </c>
      <c r="D165" s="511">
        <v>319000</v>
      </c>
      <c r="E165" s="511">
        <v>177000</v>
      </c>
      <c r="F165" s="511">
        <v>162000</v>
      </c>
      <c r="G165" s="511">
        <v>203000</v>
      </c>
      <c r="H165" s="511">
        <v>186000</v>
      </c>
      <c r="I165" s="511">
        <v>188000</v>
      </c>
      <c r="J165" s="511">
        <v>195000</v>
      </c>
      <c r="K165" s="511">
        <v>187000</v>
      </c>
    </row>
    <row r="166" spans="1:11" x14ac:dyDescent="0.35">
      <c r="A166" s="509" t="s">
        <v>582</v>
      </c>
      <c r="B166" s="511">
        <v>-1784000</v>
      </c>
      <c r="C166" s="511">
        <v>-2908000</v>
      </c>
      <c r="D166" s="511">
        <v>-2162000</v>
      </c>
      <c r="E166" s="511">
        <v>-1101000</v>
      </c>
      <c r="F166" s="511">
        <v>-9000</v>
      </c>
      <c r="G166" s="511">
        <v>-822000</v>
      </c>
      <c r="H166" s="511">
        <v>-382000</v>
      </c>
      <c r="I166" s="511">
        <v>-497000</v>
      </c>
      <c r="J166" s="511">
        <v>-593000</v>
      </c>
      <c r="K166" s="511">
        <v>-302000</v>
      </c>
    </row>
    <row r="167" spans="1:11" x14ac:dyDescent="0.35">
      <c r="A167" s="509" t="s">
        <v>583</v>
      </c>
      <c r="B167" s="511">
        <v>-3694000</v>
      </c>
      <c r="C167" s="511">
        <v>-3759000</v>
      </c>
      <c r="D167" s="511">
        <v>-3710000</v>
      </c>
      <c r="E167" s="511">
        <v>-3773000</v>
      </c>
      <c r="F167" s="511">
        <v>-3834000</v>
      </c>
      <c r="G167" s="511">
        <v>-3937000</v>
      </c>
      <c r="H167" s="511">
        <v>-4008000</v>
      </c>
      <c r="I167" s="511">
        <v>-4168000</v>
      </c>
      <c r="J167" s="511">
        <v>-4454000</v>
      </c>
      <c r="K167" s="511">
        <v>-4704000</v>
      </c>
    </row>
    <row r="168" spans="1:11" x14ac:dyDescent="0.35">
      <c r="A168" s="509" t="s">
        <v>800</v>
      </c>
      <c r="B168" s="511">
        <v>-3694000</v>
      </c>
      <c r="C168" s="511">
        <v>-3759000</v>
      </c>
      <c r="D168" s="511">
        <v>-3710000</v>
      </c>
      <c r="E168" s="511">
        <v>-3773000</v>
      </c>
      <c r="F168" s="511">
        <v>-3834000</v>
      </c>
      <c r="G168" s="511">
        <v>-3937000</v>
      </c>
      <c r="H168" s="511">
        <v>-4008000</v>
      </c>
      <c r="I168" s="511">
        <v>-4168000</v>
      </c>
      <c r="J168" s="511">
        <v>-4454000</v>
      </c>
      <c r="K168" s="511">
        <v>-4704000</v>
      </c>
    </row>
    <row r="169" spans="1:11" x14ac:dyDescent="0.35">
      <c r="A169" s="509" t="s">
        <v>584</v>
      </c>
      <c r="B169" s="511">
        <v>-43000</v>
      </c>
      <c r="C169" s="511">
        <v>-32000</v>
      </c>
      <c r="D169" s="511">
        <v>3483000</v>
      </c>
      <c r="E169" s="511">
        <v>-97000</v>
      </c>
      <c r="F169" s="511">
        <v>133000</v>
      </c>
      <c r="G169" s="511">
        <v>-44000</v>
      </c>
      <c r="H169" s="511">
        <v>-48000</v>
      </c>
      <c r="I169" s="511">
        <v>-111000</v>
      </c>
      <c r="J169" s="511">
        <v>-63000</v>
      </c>
      <c r="K169" s="511">
        <v>-50000</v>
      </c>
    </row>
    <row r="170" spans="1:11" x14ac:dyDescent="0.35">
      <c r="A170" s="509" t="s">
        <v>801</v>
      </c>
      <c r="B170" s="511">
        <v>-3601000</v>
      </c>
      <c r="C170" s="511">
        <v>-4101000</v>
      </c>
      <c r="D170" s="511">
        <v>-4367000</v>
      </c>
      <c r="E170" s="511">
        <v>3928000</v>
      </c>
      <c r="F170" s="511">
        <v>-4039000</v>
      </c>
      <c r="G170" s="511">
        <v>-6485000</v>
      </c>
      <c r="H170" s="511">
        <v>-7056000</v>
      </c>
      <c r="I170" s="511">
        <v>-5821000</v>
      </c>
      <c r="J170" s="511">
        <v>-8052000</v>
      </c>
      <c r="K170" s="511">
        <v>-5763000</v>
      </c>
    </row>
    <row r="171" spans="1:11" ht="13.15" x14ac:dyDescent="0.35">
      <c r="A171" s="517" t="s">
        <v>802</v>
      </c>
      <c r="B171" s="533"/>
      <c r="C171" s="533"/>
      <c r="D171" s="533"/>
      <c r="E171" s="533"/>
      <c r="F171" s="533"/>
      <c r="G171" s="533"/>
      <c r="H171" s="533"/>
      <c r="I171" s="533"/>
      <c r="J171" s="533"/>
      <c r="K171" s="533"/>
    </row>
    <row r="172" spans="1:11" x14ac:dyDescent="0.35">
      <c r="A172" s="509" t="s">
        <v>541</v>
      </c>
      <c r="B172" s="511">
        <v>-232000</v>
      </c>
      <c r="C172" s="511">
        <v>-101000</v>
      </c>
      <c r="D172" s="511">
        <v>-74000</v>
      </c>
      <c r="E172" s="511">
        <v>1000</v>
      </c>
      <c r="F172" s="511">
        <v>9000</v>
      </c>
      <c r="G172" s="511">
        <v>-64000</v>
      </c>
      <c r="H172" s="511">
        <v>15000</v>
      </c>
      <c r="I172" s="511">
        <v>8000</v>
      </c>
      <c r="J172" s="511">
        <v>-32000</v>
      </c>
      <c r="K172" s="511">
        <v>-13000</v>
      </c>
    </row>
    <row r="173" spans="1:11" x14ac:dyDescent="0.35">
      <c r="A173" s="509" t="s">
        <v>542</v>
      </c>
      <c r="B173" s="511">
        <v>-23000</v>
      </c>
      <c r="C173" s="533" t="s">
        <v>690</v>
      </c>
      <c r="D173" s="533" t="s">
        <v>690</v>
      </c>
      <c r="E173" s="533" t="s">
        <v>690</v>
      </c>
      <c r="F173" s="533" t="s">
        <v>690</v>
      </c>
      <c r="G173" s="533" t="s">
        <v>690</v>
      </c>
      <c r="H173" s="533" t="s">
        <v>690</v>
      </c>
      <c r="I173" s="533" t="s">
        <v>690</v>
      </c>
      <c r="J173" s="533" t="s">
        <v>690</v>
      </c>
      <c r="K173" s="511">
        <v>-167000</v>
      </c>
    </row>
    <row r="174" spans="1:11" x14ac:dyDescent="0.35">
      <c r="A174" s="509" t="s">
        <v>803</v>
      </c>
      <c r="B174" s="511">
        <v>1807000</v>
      </c>
      <c r="C174" s="511">
        <v>1125000</v>
      </c>
      <c r="D174" s="511">
        <v>42000</v>
      </c>
      <c r="E174" s="511">
        <v>-3390000</v>
      </c>
      <c r="F174" s="511">
        <v>2502000</v>
      </c>
      <c r="G174" s="511">
        <v>4488000</v>
      </c>
      <c r="H174" s="511">
        <v>-3817000</v>
      </c>
      <c r="I174" s="511">
        <v>2638000</v>
      </c>
      <c r="J174" s="511">
        <v>-4026000</v>
      </c>
      <c r="K174" s="511">
        <v>-1269000</v>
      </c>
    </row>
    <row r="175" spans="1:11" ht="13.15" x14ac:dyDescent="0.35">
      <c r="A175" s="517" t="s">
        <v>770</v>
      </c>
      <c r="B175" s="533"/>
      <c r="C175" s="533"/>
      <c r="D175" s="533"/>
      <c r="E175" s="533"/>
      <c r="F175" s="533"/>
      <c r="G175" s="533"/>
      <c r="H175" s="533"/>
      <c r="I175" s="533"/>
      <c r="J175" s="533"/>
      <c r="K175" s="533"/>
    </row>
    <row r="176" spans="1:11" x14ac:dyDescent="0.35">
      <c r="A176" s="509" t="s">
        <v>804</v>
      </c>
      <c r="B176" s="511">
        <v>404000</v>
      </c>
      <c r="C176" s="511">
        <v>401000</v>
      </c>
      <c r="D176" s="511">
        <v>255000</v>
      </c>
      <c r="E176" s="511">
        <v>313000</v>
      </c>
      <c r="F176" s="511">
        <v>379000</v>
      </c>
      <c r="G176" s="511">
        <v>315000</v>
      </c>
      <c r="H176" s="511">
        <v>334000</v>
      </c>
      <c r="I176" s="511">
        <v>380000</v>
      </c>
      <c r="J176" s="511">
        <v>559000</v>
      </c>
      <c r="K176" s="511">
        <v>587000</v>
      </c>
    </row>
    <row r="177" spans="1:12" x14ac:dyDescent="0.35">
      <c r="A177" s="509" t="s">
        <v>805</v>
      </c>
      <c r="B177" s="511">
        <v>1706000</v>
      </c>
      <c r="C177" s="511">
        <v>2096000</v>
      </c>
      <c r="D177" s="511">
        <v>1734000</v>
      </c>
      <c r="E177" s="511">
        <v>2058000</v>
      </c>
      <c r="F177" s="511">
        <v>1695000</v>
      </c>
      <c r="G177" s="511">
        <v>2051000</v>
      </c>
      <c r="H177" s="511">
        <v>1280000</v>
      </c>
      <c r="I177" s="511">
        <v>2452000</v>
      </c>
      <c r="J177" s="511">
        <v>2623000</v>
      </c>
      <c r="K177" s="511">
        <v>3291000</v>
      </c>
    </row>
    <row r="178" spans="1:12" x14ac:dyDescent="0.35">
      <c r="A178" s="509" t="s">
        <v>806</v>
      </c>
      <c r="B178" s="511">
        <v>2273875</v>
      </c>
      <c r="C178" s="511">
        <v>5746750</v>
      </c>
      <c r="D178" s="511">
        <v>10834375</v>
      </c>
      <c r="E178" s="511">
        <v>4167625</v>
      </c>
      <c r="F178" s="511">
        <v>5110250</v>
      </c>
      <c r="G178" s="511">
        <v>6284000</v>
      </c>
      <c r="H178" s="511">
        <v>7335875</v>
      </c>
      <c r="I178" s="511">
        <v>8513875</v>
      </c>
      <c r="J178" s="511">
        <v>7172500</v>
      </c>
      <c r="K178" s="511">
        <v>-4943500</v>
      </c>
    </row>
    <row r="179" spans="1:12" x14ac:dyDescent="0.35">
      <c r="A179" s="509" t="s">
        <v>807</v>
      </c>
      <c r="B179" s="511">
        <v>2533875</v>
      </c>
      <c r="C179" s="511">
        <v>5971750</v>
      </c>
      <c r="D179" s="511">
        <v>11050625</v>
      </c>
      <c r="E179" s="511">
        <v>4462000</v>
      </c>
      <c r="F179" s="511">
        <v>5450250</v>
      </c>
      <c r="G179" s="511">
        <v>6570875</v>
      </c>
      <c r="H179" s="511">
        <v>7562125</v>
      </c>
      <c r="I179" s="511">
        <v>8765125</v>
      </c>
      <c r="J179" s="511">
        <v>7540625</v>
      </c>
      <c r="K179" s="511">
        <v>-4542875</v>
      </c>
    </row>
    <row r="180" spans="1:12" x14ac:dyDescent="0.35">
      <c r="A180" s="509" t="s">
        <v>808</v>
      </c>
      <c r="B180" s="511">
        <v>2628000</v>
      </c>
      <c r="C180" s="511">
        <v>-161000</v>
      </c>
      <c r="D180" s="511">
        <v>-5079000</v>
      </c>
      <c r="E180" s="511">
        <v>1064000</v>
      </c>
      <c r="F180" s="511">
        <v>986000</v>
      </c>
      <c r="G180" s="511">
        <v>-345000</v>
      </c>
      <c r="H180" s="511">
        <v>-888000</v>
      </c>
      <c r="I180" s="511">
        <v>-996000</v>
      </c>
      <c r="J180" s="511">
        <v>-1744000</v>
      </c>
      <c r="K180" s="511">
        <v>10385000</v>
      </c>
    </row>
    <row r="181" spans="1:12" x14ac:dyDescent="0.35">
      <c r="A181" s="509" t="s">
        <v>809</v>
      </c>
      <c r="B181" s="511">
        <v>1346000</v>
      </c>
      <c r="C181" s="511">
        <v>2293000</v>
      </c>
      <c r="D181" s="511">
        <v>-2297000</v>
      </c>
      <c r="E181" s="511">
        <v>8722000</v>
      </c>
      <c r="F181" s="511">
        <v>-491000</v>
      </c>
      <c r="G181" s="511">
        <v>-1885000</v>
      </c>
      <c r="H181" s="511">
        <v>-2804000</v>
      </c>
      <c r="I181" s="511">
        <v>-1233000</v>
      </c>
      <c r="J181" s="511">
        <v>-3137000</v>
      </c>
      <c r="K181" s="511">
        <v>-894000</v>
      </c>
    </row>
    <row r="182" spans="1:12" x14ac:dyDescent="0.35">
      <c r="A182" s="509" t="s">
        <v>881</v>
      </c>
      <c r="B182" s="533" t="s">
        <v>690</v>
      </c>
      <c r="C182" s="533" t="s">
        <v>690</v>
      </c>
      <c r="D182" s="533" t="s">
        <v>690</v>
      </c>
      <c r="E182" s="533" t="s">
        <v>690</v>
      </c>
      <c r="F182" s="533" t="s">
        <v>690</v>
      </c>
      <c r="G182" s="533" t="s">
        <v>690</v>
      </c>
      <c r="H182" s="533" t="s">
        <v>690</v>
      </c>
      <c r="I182" s="511">
        <v>42000</v>
      </c>
      <c r="J182" s="511">
        <v>-1250000</v>
      </c>
      <c r="K182" s="511">
        <v>-109000</v>
      </c>
    </row>
    <row r="183" spans="1:12" x14ac:dyDescent="0.35">
      <c r="A183" s="509" t="s">
        <v>882</v>
      </c>
      <c r="B183" s="533" t="s">
        <v>690</v>
      </c>
      <c r="C183" s="533" t="s">
        <v>690</v>
      </c>
      <c r="D183" s="533" t="s">
        <v>690</v>
      </c>
      <c r="E183" s="533" t="s">
        <v>690</v>
      </c>
      <c r="F183" s="533" t="s">
        <v>690</v>
      </c>
      <c r="G183" s="533" t="s">
        <v>690</v>
      </c>
      <c r="H183" s="533" t="s">
        <v>690</v>
      </c>
      <c r="I183" s="511">
        <v>-14000</v>
      </c>
      <c r="J183" s="511">
        <v>-4000</v>
      </c>
      <c r="K183" s="511">
        <v>-12000</v>
      </c>
    </row>
    <row r="184" spans="1:12" x14ac:dyDescent="0.35">
      <c r="A184" s="509" t="s">
        <v>783</v>
      </c>
      <c r="B184" s="533" t="s">
        <v>868</v>
      </c>
      <c r="C184" s="533" t="s">
        <v>845</v>
      </c>
      <c r="D184" s="533" t="s">
        <v>845</v>
      </c>
      <c r="E184" s="533" t="s">
        <v>810</v>
      </c>
      <c r="F184" s="533" t="s">
        <v>845</v>
      </c>
      <c r="G184" s="533" t="s">
        <v>845</v>
      </c>
      <c r="H184" s="533" t="s">
        <v>810</v>
      </c>
      <c r="I184" s="533" t="s">
        <v>868</v>
      </c>
      <c r="J184" s="533" t="s">
        <v>868</v>
      </c>
      <c r="K184" s="533" t="s">
        <v>785</v>
      </c>
    </row>
    <row r="185" spans="1:12" x14ac:dyDescent="0.35">
      <c r="A185" s="509" t="s">
        <v>786</v>
      </c>
      <c r="B185" s="533" t="s">
        <v>787</v>
      </c>
      <c r="C185" s="533" t="s">
        <v>787</v>
      </c>
      <c r="D185" s="533" t="s">
        <v>787</v>
      </c>
      <c r="E185" s="533" t="s">
        <v>787</v>
      </c>
      <c r="F185" s="533" t="s">
        <v>787</v>
      </c>
      <c r="G185" s="533" t="s">
        <v>787</v>
      </c>
      <c r="H185" s="533" t="s">
        <v>787</v>
      </c>
      <c r="I185" s="533" t="s">
        <v>787</v>
      </c>
      <c r="J185" s="533" t="s">
        <v>787</v>
      </c>
      <c r="K185" s="533" t="s">
        <v>787</v>
      </c>
    </row>
    <row r="188" spans="1:12" x14ac:dyDescent="0.35">
      <c r="A188" s="535"/>
      <c r="B188" s="535"/>
      <c r="C188" s="535"/>
      <c r="D188" s="535"/>
    </row>
    <row r="189" spans="1:12" ht="12.75" customHeight="1" x14ac:dyDescent="0.5">
      <c r="A189" s="521" t="s">
        <v>934</v>
      </c>
      <c r="B189" s="521"/>
      <c r="C189" s="521"/>
      <c r="D189" s="521"/>
      <c r="E189" s="521"/>
      <c r="F189" s="521"/>
      <c r="G189" s="521"/>
      <c r="H189" s="521"/>
      <c r="I189" s="521"/>
      <c r="J189" s="521"/>
      <c r="K189" s="521"/>
      <c r="L189" s="521"/>
    </row>
    <row r="190" spans="1:12" x14ac:dyDescent="0.35">
      <c r="A190" s="509" t="s">
        <v>930</v>
      </c>
    </row>
    <row r="192" spans="1:12" x14ac:dyDescent="0.35">
      <c r="A192" s="509" t="s">
        <v>665</v>
      </c>
      <c r="B192" s="514"/>
    </row>
    <row r="193" spans="1:11" x14ac:dyDescent="0.35">
      <c r="A193" s="509" t="s">
        <v>666</v>
      </c>
      <c r="B193" s="514"/>
    </row>
    <row r="194" spans="1:11" x14ac:dyDescent="0.35">
      <c r="A194" s="509" t="s">
        <v>667</v>
      </c>
      <c r="B194" s="514"/>
    </row>
    <row r="195" spans="1:11" x14ac:dyDescent="0.35">
      <c r="A195" s="509" t="s">
        <v>730</v>
      </c>
      <c r="B195" s="514"/>
    </row>
    <row r="196" spans="1:11" x14ac:dyDescent="0.35">
      <c r="A196" s="509" t="s">
        <v>668</v>
      </c>
      <c r="B196" s="514"/>
    </row>
    <row r="197" spans="1:11" x14ac:dyDescent="0.35">
      <c r="A197" s="509" t="s">
        <v>731</v>
      </c>
      <c r="B197" s="514"/>
    </row>
    <row r="198" spans="1:11" x14ac:dyDescent="0.35">
      <c r="A198" s="509" t="s">
        <v>732</v>
      </c>
      <c r="B198" s="514"/>
    </row>
    <row r="199" spans="1:11" x14ac:dyDescent="0.35">
      <c r="A199" s="534"/>
      <c r="B199" s="534"/>
      <c r="C199" s="534"/>
      <c r="D199" s="534"/>
      <c r="E199" s="534"/>
      <c r="F199" s="534"/>
      <c r="G199" s="534"/>
      <c r="H199" s="534"/>
      <c r="I199" s="534"/>
      <c r="J199" s="534"/>
      <c r="K199" s="534"/>
    </row>
    <row r="200" spans="1:11" x14ac:dyDescent="0.35">
      <c r="A200" s="520" t="s">
        <v>670</v>
      </c>
      <c r="B200" s="519" t="s">
        <v>733</v>
      </c>
      <c r="C200" s="519" t="s">
        <v>720</v>
      </c>
      <c r="D200" s="519" t="s">
        <v>671</v>
      </c>
      <c r="E200" s="519" t="s">
        <v>672</v>
      </c>
      <c r="F200" s="519" t="s">
        <v>673</v>
      </c>
      <c r="G200" s="519" t="s">
        <v>674</v>
      </c>
      <c r="H200" s="519" t="s">
        <v>675</v>
      </c>
      <c r="I200" s="519" t="s">
        <v>676</v>
      </c>
      <c r="J200" s="519" t="s">
        <v>677</v>
      </c>
      <c r="K200" s="519" t="s">
        <v>734</v>
      </c>
    </row>
    <row r="201" spans="1:11" ht="25.5" x14ac:dyDescent="0.35">
      <c r="A201" s="509" t="s">
        <v>73</v>
      </c>
      <c r="B201" s="533" t="s">
        <v>735</v>
      </c>
      <c r="C201" s="533" t="s">
        <v>735</v>
      </c>
      <c r="D201" s="533" t="s">
        <v>735</v>
      </c>
      <c r="E201" s="533" t="s">
        <v>735</v>
      </c>
      <c r="F201" s="533" t="s">
        <v>735</v>
      </c>
      <c r="G201" s="533" t="s">
        <v>735</v>
      </c>
      <c r="H201" s="533" t="s">
        <v>735</v>
      </c>
      <c r="I201" s="533" t="s">
        <v>735</v>
      </c>
      <c r="J201" s="533" t="s">
        <v>735</v>
      </c>
      <c r="K201" s="533" t="s">
        <v>735</v>
      </c>
    </row>
    <row r="202" spans="1:11" x14ac:dyDescent="0.35">
      <c r="A202" s="509" t="s">
        <v>678</v>
      </c>
      <c r="B202" s="533" t="s">
        <v>736</v>
      </c>
      <c r="C202" s="533" t="s">
        <v>737</v>
      </c>
      <c r="D202" s="533" t="s">
        <v>679</v>
      </c>
      <c r="E202" s="533" t="s">
        <v>680</v>
      </c>
      <c r="F202" s="533" t="s">
        <v>681</v>
      </c>
      <c r="G202" s="533" t="s">
        <v>682</v>
      </c>
      <c r="H202" s="533" t="s">
        <v>683</v>
      </c>
      <c r="I202" s="533" t="s">
        <v>684</v>
      </c>
      <c r="J202" s="533" t="s">
        <v>685</v>
      </c>
      <c r="K202" s="533" t="s">
        <v>738</v>
      </c>
    </row>
    <row r="203" spans="1:11" x14ac:dyDescent="0.35">
      <c r="A203" s="509" t="s">
        <v>739</v>
      </c>
      <c r="B203" s="537">
        <v>43284</v>
      </c>
      <c r="C203" s="537">
        <v>43680</v>
      </c>
      <c r="D203" s="537">
        <v>43954</v>
      </c>
      <c r="E203" s="537">
        <v>44289</v>
      </c>
      <c r="F203" s="533" t="s">
        <v>931</v>
      </c>
      <c r="G203" s="533" t="s">
        <v>898</v>
      </c>
      <c r="H203" s="533" t="s">
        <v>899</v>
      </c>
      <c r="I203" s="533" t="s">
        <v>932</v>
      </c>
      <c r="J203" s="533" t="s">
        <v>932</v>
      </c>
      <c r="K203" s="533" t="s">
        <v>932</v>
      </c>
    </row>
    <row r="204" spans="1:11" x14ac:dyDescent="0.35">
      <c r="A204" s="509" t="s">
        <v>745</v>
      </c>
      <c r="B204" s="533">
        <v>1</v>
      </c>
      <c r="C204" s="533">
        <v>1</v>
      </c>
      <c r="D204" s="533">
        <v>1</v>
      </c>
      <c r="E204" s="533">
        <v>1</v>
      </c>
      <c r="F204" s="533">
        <v>1</v>
      </c>
      <c r="G204" s="533">
        <v>1</v>
      </c>
      <c r="H204" s="533">
        <v>1</v>
      </c>
      <c r="I204" s="533">
        <v>1</v>
      </c>
      <c r="J204" s="533">
        <v>1</v>
      </c>
      <c r="K204" s="533">
        <v>1</v>
      </c>
    </row>
    <row r="205" spans="1:11" x14ac:dyDescent="0.35">
      <c r="A205" s="509" t="s">
        <v>746</v>
      </c>
      <c r="B205" s="533">
        <v>1</v>
      </c>
      <c r="C205" s="533">
        <v>1</v>
      </c>
      <c r="D205" s="533">
        <v>1</v>
      </c>
      <c r="E205" s="533">
        <v>1</v>
      </c>
      <c r="F205" s="533">
        <v>1</v>
      </c>
      <c r="G205" s="533">
        <v>1</v>
      </c>
      <c r="H205" s="533">
        <v>1</v>
      </c>
      <c r="I205" s="533">
        <v>1</v>
      </c>
      <c r="J205" s="533">
        <v>1</v>
      </c>
      <c r="K205" s="533">
        <v>1</v>
      </c>
    </row>
    <row r="206" spans="1:11" x14ac:dyDescent="0.35">
      <c r="A206" s="509" t="s">
        <v>812</v>
      </c>
      <c r="B206" s="533" t="s">
        <v>686</v>
      </c>
      <c r="C206" s="533" t="s">
        <v>686</v>
      </c>
      <c r="D206" s="533" t="s">
        <v>686</v>
      </c>
      <c r="E206" s="533" t="s">
        <v>686</v>
      </c>
      <c r="F206" s="533" t="s">
        <v>686</v>
      </c>
      <c r="G206" s="533" t="s">
        <v>686</v>
      </c>
      <c r="H206" s="533" t="s">
        <v>686</v>
      </c>
      <c r="I206" s="533" t="s">
        <v>686</v>
      </c>
      <c r="J206" s="533" t="s">
        <v>686</v>
      </c>
      <c r="K206" s="533" t="s">
        <v>686</v>
      </c>
    </row>
    <row r="207" spans="1:11" x14ac:dyDescent="0.35">
      <c r="A207" s="509" t="s">
        <v>73</v>
      </c>
      <c r="B207" s="533"/>
      <c r="C207" s="533"/>
      <c r="D207" s="533"/>
      <c r="E207" s="533"/>
      <c r="F207" s="533"/>
      <c r="G207" s="533"/>
      <c r="H207" s="533"/>
      <c r="I207" s="533"/>
      <c r="J207" s="533"/>
      <c r="K207" s="533"/>
    </row>
    <row r="208" spans="1:11" ht="13.15" x14ac:dyDescent="0.35">
      <c r="A208" s="517" t="s">
        <v>814</v>
      </c>
      <c r="B208" s="533"/>
      <c r="C208" s="533"/>
      <c r="D208" s="533"/>
      <c r="E208" s="533"/>
      <c r="F208" s="533"/>
      <c r="G208" s="533"/>
      <c r="H208" s="533"/>
      <c r="I208" s="533"/>
      <c r="J208" s="533"/>
      <c r="K208" s="533"/>
    </row>
    <row r="209" spans="1:11" x14ac:dyDescent="0.35">
      <c r="A209" s="509" t="s">
        <v>599</v>
      </c>
      <c r="B209" s="511">
        <v>9148000</v>
      </c>
      <c r="C209" s="511">
        <v>10273000</v>
      </c>
      <c r="D209" s="511">
        <v>10315000</v>
      </c>
      <c r="E209" s="511">
        <v>6925000</v>
      </c>
      <c r="F209" s="511">
        <v>9427000</v>
      </c>
      <c r="G209" s="511">
        <v>13915000</v>
      </c>
      <c r="H209" s="511">
        <v>10098000</v>
      </c>
      <c r="I209" s="511">
        <v>12736000</v>
      </c>
      <c r="J209" s="511">
        <v>8710000</v>
      </c>
      <c r="K209" s="511">
        <v>7441000</v>
      </c>
    </row>
    <row r="210" spans="1:11" x14ac:dyDescent="0.35">
      <c r="A210" s="509" t="s">
        <v>646</v>
      </c>
      <c r="B210" s="511">
        <v>39000</v>
      </c>
      <c r="C210" s="511">
        <v>3000</v>
      </c>
      <c r="D210" s="533" t="s">
        <v>690</v>
      </c>
      <c r="E210" s="511">
        <v>30000</v>
      </c>
      <c r="F210" s="511">
        <v>4000</v>
      </c>
      <c r="G210" s="533" t="s">
        <v>690</v>
      </c>
      <c r="H210" s="511">
        <v>11000</v>
      </c>
      <c r="I210" s="511">
        <v>146000</v>
      </c>
      <c r="J210" s="511">
        <v>112000</v>
      </c>
      <c r="K210" s="511">
        <v>115000</v>
      </c>
    </row>
    <row r="211" spans="1:11" x14ac:dyDescent="0.35">
      <c r="A211" s="509" t="s">
        <v>815</v>
      </c>
      <c r="B211" s="511">
        <v>9187000</v>
      </c>
      <c r="C211" s="511">
        <v>10276000</v>
      </c>
      <c r="D211" s="511">
        <v>10315000</v>
      </c>
      <c r="E211" s="511">
        <v>6955000</v>
      </c>
      <c r="F211" s="511">
        <v>9431000</v>
      </c>
      <c r="G211" s="511">
        <v>13915000</v>
      </c>
      <c r="H211" s="511">
        <v>10109000</v>
      </c>
      <c r="I211" s="511">
        <v>12882000</v>
      </c>
      <c r="J211" s="511">
        <v>8822000</v>
      </c>
      <c r="K211" s="511">
        <v>7556000</v>
      </c>
    </row>
    <row r="212" spans="1:11" x14ac:dyDescent="0.35">
      <c r="A212" s="509" t="s">
        <v>602</v>
      </c>
      <c r="B212" s="511">
        <v>7386000</v>
      </c>
      <c r="C212" s="511">
        <v>7311000</v>
      </c>
      <c r="D212" s="511">
        <v>7216000</v>
      </c>
      <c r="E212" s="511">
        <v>7260000</v>
      </c>
      <c r="F212" s="511">
        <v>7937000</v>
      </c>
      <c r="G212" s="511">
        <v>7491000</v>
      </c>
      <c r="H212" s="511">
        <v>7568000</v>
      </c>
      <c r="I212" s="511">
        <v>8424000</v>
      </c>
      <c r="J212" s="511">
        <v>8433000</v>
      </c>
      <c r="K212" s="511">
        <v>7677000</v>
      </c>
    </row>
    <row r="213" spans="1:11" x14ac:dyDescent="0.35">
      <c r="A213" s="509" t="s">
        <v>603</v>
      </c>
      <c r="B213" s="511">
        <v>1467000</v>
      </c>
      <c r="C213" s="511">
        <v>705000</v>
      </c>
      <c r="D213" s="511">
        <v>627000</v>
      </c>
      <c r="E213" s="511">
        <v>2085000</v>
      </c>
      <c r="F213" s="511">
        <v>2146000</v>
      </c>
      <c r="G213" s="511">
        <v>2462000</v>
      </c>
      <c r="H213" s="511">
        <v>2219000</v>
      </c>
      <c r="I213" s="511">
        <v>2323000</v>
      </c>
      <c r="J213" s="511">
        <v>2607000</v>
      </c>
      <c r="K213" s="511">
        <v>2952000</v>
      </c>
    </row>
    <row r="214" spans="1:11" x14ac:dyDescent="0.35">
      <c r="A214" s="509" t="s">
        <v>816</v>
      </c>
      <c r="B214" s="511">
        <v>8853000</v>
      </c>
      <c r="C214" s="511">
        <v>8016000</v>
      </c>
      <c r="D214" s="511">
        <v>7843000</v>
      </c>
      <c r="E214" s="511">
        <v>9345000</v>
      </c>
      <c r="F214" s="511">
        <v>10083000</v>
      </c>
      <c r="G214" s="511">
        <v>9953000</v>
      </c>
      <c r="H214" s="511">
        <v>9787000</v>
      </c>
      <c r="I214" s="511">
        <v>10747000</v>
      </c>
      <c r="J214" s="511">
        <v>11040000</v>
      </c>
      <c r="K214" s="511">
        <v>10629000</v>
      </c>
    </row>
    <row r="215" spans="1:11" x14ac:dyDescent="0.35">
      <c r="A215" s="509" t="s">
        <v>605</v>
      </c>
      <c r="B215" s="511">
        <v>6516000</v>
      </c>
      <c r="C215" s="511">
        <v>6896000</v>
      </c>
      <c r="D215" s="511">
        <v>6818000</v>
      </c>
      <c r="E215" s="511">
        <v>7477000</v>
      </c>
      <c r="F215" s="511">
        <v>7994000</v>
      </c>
      <c r="G215" s="511">
        <v>8352000</v>
      </c>
      <c r="H215" s="511">
        <v>8715000</v>
      </c>
      <c r="I215" s="511">
        <v>8960000</v>
      </c>
      <c r="J215" s="511">
        <v>9666000</v>
      </c>
      <c r="K215" s="511">
        <v>9431000</v>
      </c>
    </row>
    <row r="216" spans="1:11" x14ac:dyDescent="0.35">
      <c r="A216" s="509" t="s">
        <v>606</v>
      </c>
      <c r="B216" s="511">
        <v>300000</v>
      </c>
      <c r="C216" s="511">
        <v>333000</v>
      </c>
      <c r="D216" s="511">
        <v>336000</v>
      </c>
      <c r="E216" s="511">
        <v>469000</v>
      </c>
      <c r="F216" s="511">
        <v>493000</v>
      </c>
      <c r="G216" s="511">
        <v>525000</v>
      </c>
      <c r="H216" s="511">
        <v>615000</v>
      </c>
      <c r="I216" s="511">
        <v>714000</v>
      </c>
      <c r="J216" s="511">
        <v>768000</v>
      </c>
      <c r="K216" s="511">
        <v>895000</v>
      </c>
    </row>
    <row r="217" spans="1:11" x14ac:dyDescent="0.35">
      <c r="A217" s="509" t="s">
        <v>284</v>
      </c>
      <c r="B217" s="511">
        <v>5824000</v>
      </c>
      <c r="C217" s="511">
        <v>7591000</v>
      </c>
      <c r="D217" s="511">
        <v>1076000</v>
      </c>
      <c r="E217" s="511">
        <v>401000</v>
      </c>
      <c r="F217" s="511">
        <v>935000</v>
      </c>
      <c r="G217" s="511">
        <v>1041000</v>
      </c>
      <c r="H217" s="511">
        <v>1427000</v>
      </c>
      <c r="I217" s="511">
        <v>808000</v>
      </c>
      <c r="J217" s="511">
        <v>374000</v>
      </c>
      <c r="K217" s="511">
        <v>14077000</v>
      </c>
    </row>
    <row r="218" spans="1:11" x14ac:dyDescent="0.35">
      <c r="A218" s="509" t="s">
        <v>817</v>
      </c>
      <c r="B218" s="511">
        <v>30680000</v>
      </c>
      <c r="C218" s="511">
        <v>33112000</v>
      </c>
      <c r="D218" s="511">
        <v>26388000</v>
      </c>
      <c r="E218" s="511">
        <v>24647000</v>
      </c>
      <c r="F218" s="511">
        <v>28936000</v>
      </c>
      <c r="G218" s="511">
        <v>33786000</v>
      </c>
      <c r="H218" s="511">
        <v>30653000</v>
      </c>
      <c r="I218" s="511">
        <v>34111000</v>
      </c>
      <c r="J218" s="511">
        <v>30670000</v>
      </c>
      <c r="K218" s="511">
        <v>42588000</v>
      </c>
    </row>
    <row r="219" spans="1:11" x14ac:dyDescent="0.35">
      <c r="A219" s="509" t="s">
        <v>818</v>
      </c>
      <c r="B219" s="511">
        <v>21109000</v>
      </c>
      <c r="C219" s="511">
        <v>21877000</v>
      </c>
      <c r="D219" s="511">
        <v>21978000</v>
      </c>
      <c r="E219" s="511">
        <v>22697000</v>
      </c>
      <c r="F219" s="511">
        <v>25151000</v>
      </c>
      <c r="G219" s="511">
        <v>24880000</v>
      </c>
      <c r="H219" s="511">
        <v>27555000</v>
      </c>
      <c r="I219" s="511">
        <v>26796000</v>
      </c>
      <c r="J219" s="511">
        <v>27442000</v>
      </c>
      <c r="K219" s="511">
        <v>26674000</v>
      </c>
    </row>
    <row r="220" spans="1:11" x14ac:dyDescent="0.35">
      <c r="A220" s="509" t="s">
        <v>819</v>
      </c>
      <c r="B220" s="511">
        <v>-11166000</v>
      </c>
      <c r="C220" s="511">
        <v>-11858000</v>
      </c>
      <c r="D220" s="511">
        <v>-12399000</v>
      </c>
      <c r="E220" s="511">
        <v>-13046000</v>
      </c>
      <c r="F220" s="511">
        <v>-14134000</v>
      </c>
      <c r="G220" s="511">
        <v>-14317000</v>
      </c>
      <c r="H220" s="511">
        <v>-15579000</v>
      </c>
      <c r="I220" s="511">
        <v>-15112000</v>
      </c>
      <c r="J220" s="511">
        <v>-15628000</v>
      </c>
      <c r="K220" s="511">
        <v>-15073000</v>
      </c>
    </row>
    <row r="221" spans="1:11" ht="13.15" x14ac:dyDescent="0.35">
      <c r="A221" s="517" t="s">
        <v>885</v>
      </c>
      <c r="B221" s="529">
        <v>9943000</v>
      </c>
      <c r="C221" s="529">
        <v>10019000</v>
      </c>
      <c r="D221" s="529">
        <v>9579000</v>
      </c>
      <c r="E221" s="529">
        <v>9651000</v>
      </c>
      <c r="F221" s="529">
        <v>11017000</v>
      </c>
      <c r="G221" s="529">
        <v>10563000</v>
      </c>
      <c r="H221" s="529">
        <v>11976000</v>
      </c>
      <c r="I221" s="529">
        <v>11684000</v>
      </c>
      <c r="J221" s="529">
        <v>11814000</v>
      </c>
      <c r="K221" s="529">
        <v>11601000</v>
      </c>
    </row>
    <row r="222" spans="1:11" x14ac:dyDescent="0.35">
      <c r="A222" s="509" t="s">
        <v>595</v>
      </c>
      <c r="B222" s="511">
        <v>4561000</v>
      </c>
      <c r="C222" s="511">
        <v>2892000</v>
      </c>
      <c r="D222" s="511">
        <v>5379000</v>
      </c>
      <c r="E222" s="511">
        <v>5531000</v>
      </c>
      <c r="F222" s="511">
        <v>5266000</v>
      </c>
      <c r="G222" s="511">
        <v>2105000</v>
      </c>
      <c r="H222" s="511">
        <v>2422000</v>
      </c>
      <c r="I222" s="511">
        <v>2765000</v>
      </c>
      <c r="J222" s="511">
        <v>2666000</v>
      </c>
      <c r="K222" s="511">
        <v>3259000</v>
      </c>
    </row>
    <row r="223" spans="1:11" x14ac:dyDescent="0.35">
      <c r="A223" s="509" t="s">
        <v>453</v>
      </c>
      <c r="B223" s="511">
        <v>39557000</v>
      </c>
      <c r="C223" s="511">
        <v>40287000</v>
      </c>
      <c r="D223" s="511">
        <v>40264000</v>
      </c>
      <c r="E223" s="511">
        <v>44235000</v>
      </c>
      <c r="F223" s="511">
        <v>44519000</v>
      </c>
      <c r="G223" s="511">
        <v>44364000</v>
      </c>
      <c r="H223" s="511">
        <v>48056000</v>
      </c>
      <c r="I223" s="511">
        <v>49892000</v>
      </c>
      <c r="J223" s="511">
        <v>49404000</v>
      </c>
      <c r="K223" s="511">
        <v>43384000</v>
      </c>
    </row>
    <row r="224" spans="1:11" x14ac:dyDescent="0.35">
      <c r="A224" s="509" t="s">
        <v>596</v>
      </c>
      <c r="B224" s="511">
        <v>10473000</v>
      </c>
      <c r="C224" s="511">
        <v>9520000</v>
      </c>
      <c r="D224" s="511">
        <v>11605000</v>
      </c>
      <c r="E224" s="511">
        <v>17145000</v>
      </c>
      <c r="F224" s="511">
        <v>14175000</v>
      </c>
      <c r="G224" s="511">
        <v>12249000</v>
      </c>
      <c r="H224" s="511">
        <v>13677000</v>
      </c>
      <c r="I224" s="511">
        <v>15414000</v>
      </c>
      <c r="J224" s="511">
        <v>18281000</v>
      </c>
      <c r="K224" s="511">
        <v>14260000</v>
      </c>
    </row>
    <row r="225" spans="1:11" x14ac:dyDescent="0.35">
      <c r="A225" s="509" t="s">
        <v>644</v>
      </c>
      <c r="B225" s="511">
        <v>671000</v>
      </c>
      <c r="C225" s="533" t="s">
        <v>690</v>
      </c>
      <c r="D225" s="511">
        <v>699000</v>
      </c>
      <c r="E225" s="511">
        <v>464000</v>
      </c>
      <c r="F225" s="511">
        <v>521000</v>
      </c>
      <c r="G225" s="511">
        <v>537000</v>
      </c>
      <c r="H225" s="511">
        <v>485000</v>
      </c>
      <c r="I225" s="511">
        <v>452000</v>
      </c>
      <c r="J225" s="511">
        <v>591000</v>
      </c>
      <c r="K225" s="511">
        <v>502000</v>
      </c>
    </row>
    <row r="226" spans="1:11" x14ac:dyDescent="0.35">
      <c r="A226" s="509" t="s">
        <v>597</v>
      </c>
      <c r="B226" s="511">
        <v>4714000</v>
      </c>
      <c r="C226" s="511">
        <v>4670000</v>
      </c>
      <c r="D226" s="511">
        <v>4291000</v>
      </c>
      <c r="E226" s="511">
        <v>4613000</v>
      </c>
      <c r="F226" s="511">
        <v>5391000</v>
      </c>
      <c r="G226" s="511">
        <v>4176000</v>
      </c>
      <c r="H226" s="511">
        <v>4598000</v>
      </c>
      <c r="I226" s="511">
        <v>5381000</v>
      </c>
      <c r="J226" s="511">
        <v>6427000</v>
      </c>
      <c r="K226" s="511">
        <v>7967000</v>
      </c>
    </row>
    <row r="227" spans="1:11" x14ac:dyDescent="0.35">
      <c r="A227" s="509" t="s">
        <v>645</v>
      </c>
      <c r="B227" s="511">
        <v>1553000</v>
      </c>
      <c r="C227" s="511">
        <v>1359000</v>
      </c>
      <c r="D227" s="511">
        <v>1475000</v>
      </c>
      <c r="E227" s="511">
        <v>4744000</v>
      </c>
      <c r="F227" s="511">
        <v>2334000</v>
      </c>
      <c r="G227" s="511">
        <v>6092000</v>
      </c>
      <c r="H227" s="511">
        <v>7730000</v>
      </c>
      <c r="I227" s="511">
        <v>6226000</v>
      </c>
      <c r="J227" s="511">
        <v>6038000</v>
      </c>
      <c r="K227" s="511">
        <v>8369000</v>
      </c>
    </row>
    <row r="228" spans="1:11" x14ac:dyDescent="0.35">
      <c r="A228" s="509" t="s">
        <v>598</v>
      </c>
      <c r="B228" s="511">
        <v>169000</v>
      </c>
      <c r="C228" s="511">
        <v>2820000</v>
      </c>
      <c r="D228" s="511">
        <v>133000</v>
      </c>
      <c r="E228" s="511">
        <v>378000</v>
      </c>
      <c r="F228" s="511">
        <v>471000</v>
      </c>
      <c r="G228" s="511">
        <v>541000</v>
      </c>
      <c r="H228" s="511">
        <v>645000</v>
      </c>
      <c r="I228" s="511">
        <v>797000</v>
      </c>
      <c r="J228" s="511">
        <v>573000</v>
      </c>
      <c r="K228" s="511">
        <v>868000</v>
      </c>
    </row>
    <row r="229" spans="1:11" x14ac:dyDescent="0.35">
      <c r="A229" s="509" t="s">
        <v>287</v>
      </c>
      <c r="B229" s="511">
        <v>102321000</v>
      </c>
      <c r="C229" s="511">
        <v>104679000</v>
      </c>
      <c r="D229" s="511">
        <v>99813000</v>
      </c>
      <c r="E229" s="511">
        <v>111408000</v>
      </c>
      <c r="F229" s="511">
        <v>112630000</v>
      </c>
      <c r="G229" s="511">
        <v>114413000</v>
      </c>
      <c r="H229" s="511">
        <v>120242000</v>
      </c>
      <c r="I229" s="511">
        <v>126722000</v>
      </c>
      <c r="J229" s="511">
        <v>126464000</v>
      </c>
      <c r="K229" s="511">
        <v>132798000</v>
      </c>
    </row>
    <row r="230" spans="1:11" ht="13.15" x14ac:dyDescent="0.35">
      <c r="A230" s="517" t="s">
        <v>820</v>
      </c>
      <c r="B230" s="533"/>
      <c r="C230" s="533"/>
      <c r="D230" s="533"/>
      <c r="E230" s="533"/>
      <c r="F230" s="533"/>
      <c r="G230" s="533"/>
      <c r="H230" s="533"/>
      <c r="I230" s="533"/>
      <c r="J230" s="533"/>
      <c r="K230" s="533"/>
    </row>
    <row r="231" spans="1:11" x14ac:dyDescent="0.35">
      <c r="A231" s="509" t="s">
        <v>616</v>
      </c>
      <c r="B231" s="511">
        <v>3817000</v>
      </c>
      <c r="C231" s="511">
        <v>4297000</v>
      </c>
      <c r="D231" s="511">
        <v>4633000</v>
      </c>
      <c r="E231" s="511">
        <v>5041000</v>
      </c>
      <c r="F231" s="511">
        <v>5313000</v>
      </c>
      <c r="G231" s="511">
        <v>5295000</v>
      </c>
      <c r="H231" s="511">
        <v>6180000</v>
      </c>
      <c r="I231" s="511">
        <v>6813000</v>
      </c>
      <c r="J231" s="511">
        <v>7328000</v>
      </c>
      <c r="K231" s="511">
        <v>7551000</v>
      </c>
    </row>
    <row r="232" spans="1:11" x14ac:dyDescent="0.35">
      <c r="A232" s="509" t="s">
        <v>617</v>
      </c>
      <c r="B232" s="511">
        <v>1920000</v>
      </c>
      <c r="C232" s="511">
        <v>1967000</v>
      </c>
      <c r="D232" s="511">
        <v>1922000</v>
      </c>
      <c r="E232" s="511">
        <v>2382000</v>
      </c>
      <c r="F232" s="511">
        <v>2339000</v>
      </c>
      <c r="G232" s="511">
        <v>2389000</v>
      </c>
      <c r="H232" s="511">
        <v>2554000</v>
      </c>
      <c r="I232" s="511">
        <v>2578000</v>
      </c>
      <c r="J232" s="511">
        <v>2501000</v>
      </c>
      <c r="K232" s="511">
        <v>2366000</v>
      </c>
    </row>
    <row r="233" spans="1:11" x14ac:dyDescent="0.35">
      <c r="A233" s="509" t="s">
        <v>651</v>
      </c>
      <c r="B233" s="511">
        <v>242000</v>
      </c>
      <c r="C233" s="511">
        <v>203000</v>
      </c>
      <c r="D233" s="511">
        <v>237000</v>
      </c>
      <c r="E233" s="511">
        <v>269000</v>
      </c>
      <c r="F233" s="511">
        <v>307000</v>
      </c>
      <c r="G233" s="511">
        <v>285000</v>
      </c>
      <c r="H233" s="511">
        <v>189000</v>
      </c>
      <c r="I233" s="511">
        <v>164000</v>
      </c>
      <c r="J233" s="511">
        <v>203000</v>
      </c>
      <c r="K233" s="511">
        <v>200000</v>
      </c>
    </row>
    <row r="234" spans="1:11" x14ac:dyDescent="0.35">
      <c r="A234" s="509" t="s">
        <v>652</v>
      </c>
      <c r="B234" s="511">
        <v>3180000</v>
      </c>
      <c r="C234" s="511">
        <v>1544000</v>
      </c>
      <c r="D234" s="511">
        <v>1027000</v>
      </c>
      <c r="E234" s="511">
        <v>2360000</v>
      </c>
      <c r="F234" s="511">
        <v>4249000</v>
      </c>
      <c r="G234" s="511">
        <v>2482000</v>
      </c>
      <c r="H234" s="511">
        <v>2995000</v>
      </c>
      <c r="I234" s="511">
        <v>4010000</v>
      </c>
      <c r="J234" s="511">
        <v>1843000</v>
      </c>
      <c r="K234" s="511">
        <v>4016000</v>
      </c>
    </row>
    <row r="235" spans="1:11" x14ac:dyDescent="0.35">
      <c r="A235" s="509" t="s">
        <v>618</v>
      </c>
      <c r="B235" s="511">
        <v>18000</v>
      </c>
      <c r="C235" s="511">
        <v>19000</v>
      </c>
      <c r="D235" s="511">
        <v>11000</v>
      </c>
      <c r="E235" s="511">
        <v>4000</v>
      </c>
      <c r="F235" s="511">
        <v>261000</v>
      </c>
      <c r="G235" s="511">
        <v>232000</v>
      </c>
      <c r="H235" s="511">
        <v>269000</v>
      </c>
      <c r="I235" s="511">
        <v>277000</v>
      </c>
      <c r="J235" s="511">
        <v>275000</v>
      </c>
      <c r="K235" s="511">
        <v>261000</v>
      </c>
    </row>
    <row r="236" spans="1:11" x14ac:dyDescent="0.35">
      <c r="A236" s="509" t="s">
        <v>619</v>
      </c>
      <c r="B236" s="511">
        <v>1044000</v>
      </c>
      <c r="C236" s="511">
        <v>1134000</v>
      </c>
      <c r="D236" s="511">
        <v>1180000</v>
      </c>
      <c r="E236" s="511">
        <v>392000</v>
      </c>
      <c r="F236" s="511">
        <v>258000</v>
      </c>
      <c r="G236" s="511">
        <v>604000</v>
      </c>
      <c r="H236" s="511">
        <v>309000</v>
      </c>
      <c r="I236" s="511">
        <v>574000</v>
      </c>
      <c r="J236" s="511">
        <v>597000</v>
      </c>
      <c r="K236" s="511">
        <v>697000</v>
      </c>
    </row>
    <row r="237" spans="1:11" x14ac:dyDescent="0.35">
      <c r="A237" s="509" t="s">
        <v>620</v>
      </c>
      <c r="B237" s="533" t="s">
        <v>690</v>
      </c>
      <c r="C237" s="533" t="s">
        <v>690</v>
      </c>
      <c r="D237" s="533" t="s">
        <v>690</v>
      </c>
      <c r="E237" s="533" t="s">
        <v>690</v>
      </c>
      <c r="F237" s="533" t="s">
        <v>690</v>
      </c>
      <c r="G237" s="511">
        <v>252000</v>
      </c>
      <c r="H237" s="511">
        <v>321000</v>
      </c>
      <c r="I237" s="511">
        <v>269000</v>
      </c>
      <c r="J237" s="533" t="s">
        <v>690</v>
      </c>
      <c r="K237" s="533" t="s">
        <v>690</v>
      </c>
    </row>
    <row r="238" spans="1:11" x14ac:dyDescent="0.35">
      <c r="A238" s="509" t="s">
        <v>297</v>
      </c>
      <c r="B238" s="511">
        <v>7587000</v>
      </c>
      <c r="C238" s="511">
        <v>8474000</v>
      </c>
      <c r="D238" s="511">
        <v>6453000</v>
      </c>
      <c r="E238" s="511">
        <v>6928000</v>
      </c>
      <c r="F238" s="511">
        <v>7660000</v>
      </c>
      <c r="G238" s="511">
        <v>7741000</v>
      </c>
      <c r="H238" s="511">
        <v>8478000</v>
      </c>
      <c r="I238" s="511">
        <v>9289000</v>
      </c>
      <c r="J238" s="511">
        <v>11460000</v>
      </c>
      <c r="K238" s="511">
        <v>14071000</v>
      </c>
    </row>
    <row r="239" spans="1:11" x14ac:dyDescent="0.35">
      <c r="A239" s="509" t="s">
        <v>821</v>
      </c>
      <c r="B239" s="511">
        <v>17808000</v>
      </c>
      <c r="C239" s="511">
        <v>17638000</v>
      </c>
      <c r="D239" s="511">
        <v>15463000</v>
      </c>
      <c r="E239" s="511">
        <v>17376000</v>
      </c>
      <c r="F239" s="511">
        <v>20387000</v>
      </c>
      <c r="G239" s="511">
        <v>19280000</v>
      </c>
      <c r="H239" s="511">
        <v>21295000</v>
      </c>
      <c r="I239" s="511">
        <v>23974000</v>
      </c>
      <c r="J239" s="511">
        <v>24207000</v>
      </c>
      <c r="K239" s="511">
        <v>29162000</v>
      </c>
    </row>
    <row r="240" spans="1:11" x14ac:dyDescent="0.35">
      <c r="A240" s="509" t="s">
        <v>612</v>
      </c>
      <c r="B240" s="511">
        <v>13069000</v>
      </c>
      <c r="C240" s="511">
        <v>16781000</v>
      </c>
      <c r="D240" s="511">
        <v>14306000</v>
      </c>
      <c r="E240" s="511">
        <v>21989000</v>
      </c>
      <c r="F240" s="511">
        <v>20131000</v>
      </c>
      <c r="G240" s="511">
        <v>19745000</v>
      </c>
      <c r="H240" s="511">
        <v>17123000</v>
      </c>
      <c r="I240" s="511">
        <v>14857000</v>
      </c>
      <c r="J240" s="511">
        <v>14347000</v>
      </c>
      <c r="K240" s="511">
        <v>11791000</v>
      </c>
    </row>
    <row r="241" spans="1:11" x14ac:dyDescent="0.35">
      <c r="A241" s="509" t="s">
        <v>613</v>
      </c>
      <c r="B241" s="511">
        <v>49000</v>
      </c>
      <c r="C241" s="511">
        <v>34000</v>
      </c>
      <c r="D241" s="511">
        <v>20000</v>
      </c>
      <c r="E241" s="511">
        <v>18000</v>
      </c>
      <c r="F241" s="511">
        <v>987000</v>
      </c>
      <c r="G241" s="511">
        <v>931000</v>
      </c>
      <c r="H241" s="511">
        <v>1839000</v>
      </c>
      <c r="I241" s="511">
        <v>1904000</v>
      </c>
      <c r="J241" s="511">
        <v>1755000</v>
      </c>
      <c r="K241" s="511">
        <v>1645000</v>
      </c>
    </row>
    <row r="242" spans="1:11" x14ac:dyDescent="0.35">
      <c r="A242" s="509" t="s">
        <v>649</v>
      </c>
      <c r="B242" s="511">
        <v>4308000</v>
      </c>
      <c r="C242" s="511">
        <v>4377000</v>
      </c>
      <c r="D242" s="511">
        <v>3959000</v>
      </c>
      <c r="E242" s="511">
        <v>3522000</v>
      </c>
      <c r="F242" s="511">
        <v>3599000</v>
      </c>
      <c r="G242" s="511">
        <v>3276000</v>
      </c>
      <c r="H242" s="511">
        <v>2947000</v>
      </c>
      <c r="I242" s="511">
        <v>2039000</v>
      </c>
      <c r="J242" s="511">
        <v>2214000</v>
      </c>
      <c r="K242" s="511">
        <v>1992000</v>
      </c>
    </row>
    <row r="243" spans="1:11" x14ac:dyDescent="0.35">
      <c r="A243" s="509" t="s">
        <v>650</v>
      </c>
      <c r="B243" s="511">
        <v>2895000</v>
      </c>
      <c r="C243" s="511">
        <v>2292000</v>
      </c>
      <c r="D243" s="511">
        <v>1605000</v>
      </c>
      <c r="E243" s="511">
        <v>3414000</v>
      </c>
      <c r="F243" s="511">
        <v>2294000</v>
      </c>
      <c r="G243" s="511">
        <v>1770000</v>
      </c>
      <c r="H243" s="511">
        <v>1617000</v>
      </c>
      <c r="I243" s="511">
        <v>1841000</v>
      </c>
      <c r="J243" s="511">
        <v>1857000</v>
      </c>
      <c r="K243" s="511">
        <v>2166000</v>
      </c>
    </row>
    <row r="244" spans="1:11" x14ac:dyDescent="0.35">
      <c r="A244" s="509" t="s">
        <v>615</v>
      </c>
      <c r="B244" s="511">
        <v>5982000</v>
      </c>
      <c r="C244" s="511">
        <v>5835000</v>
      </c>
      <c r="D244" s="511">
        <v>6221000</v>
      </c>
      <c r="E244" s="511">
        <v>6054000</v>
      </c>
      <c r="F244" s="511">
        <v>6002000</v>
      </c>
      <c r="G244" s="511">
        <v>6159000</v>
      </c>
      <c r="H244" s="511">
        <v>6390000</v>
      </c>
      <c r="I244" s="511">
        <v>6955000</v>
      </c>
      <c r="J244" s="511">
        <v>7731000</v>
      </c>
      <c r="K244" s="511">
        <v>8185000</v>
      </c>
    </row>
    <row r="245" spans="1:11" x14ac:dyDescent="0.35">
      <c r="A245" s="509" t="s">
        <v>822</v>
      </c>
      <c r="B245" s="511">
        <v>44111000</v>
      </c>
      <c r="C245" s="511">
        <v>46957000</v>
      </c>
      <c r="D245" s="511">
        <v>41574000</v>
      </c>
      <c r="E245" s="511">
        <v>52373000</v>
      </c>
      <c r="F245" s="511">
        <v>53400000</v>
      </c>
      <c r="G245" s="511">
        <v>51161000</v>
      </c>
      <c r="H245" s="511">
        <v>51211000</v>
      </c>
      <c r="I245" s="511">
        <v>51570000</v>
      </c>
      <c r="J245" s="511">
        <v>52111000</v>
      </c>
      <c r="K245" s="511">
        <v>54941000</v>
      </c>
    </row>
    <row r="246" spans="1:11" ht="13.15" x14ac:dyDescent="0.35">
      <c r="A246" s="517" t="s">
        <v>823</v>
      </c>
      <c r="B246" s="533"/>
      <c r="C246" s="533"/>
      <c r="D246" s="533"/>
      <c r="E246" s="533"/>
      <c r="F246" s="533"/>
      <c r="G246" s="533"/>
      <c r="H246" s="533"/>
      <c r="I246" s="533"/>
      <c r="J246" s="533"/>
      <c r="K246" s="533"/>
    </row>
    <row r="247" spans="1:11" x14ac:dyDescent="0.35">
      <c r="A247" s="509" t="s">
        <v>608</v>
      </c>
      <c r="B247" s="511">
        <v>2611000</v>
      </c>
      <c r="C247" s="511">
        <v>2584000</v>
      </c>
      <c r="D247" s="511">
        <v>2508000</v>
      </c>
      <c r="E247" s="511">
        <v>2495000</v>
      </c>
      <c r="F247" s="511">
        <v>2508000</v>
      </c>
      <c r="G247" s="511">
        <v>2518000</v>
      </c>
      <c r="H247" s="511">
        <v>2527000</v>
      </c>
      <c r="I247" s="511">
        <v>2522000</v>
      </c>
      <c r="J247" s="511">
        <v>2530000</v>
      </c>
      <c r="K247" s="511">
        <v>2526000</v>
      </c>
    </row>
    <row r="248" spans="1:11" x14ac:dyDescent="0.35">
      <c r="A248" s="509" t="s">
        <v>609</v>
      </c>
      <c r="B248" s="511">
        <v>52010000</v>
      </c>
      <c r="C248" s="511">
        <v>51475000</v>
      </c>
      <c r="D248" s="511">
        <v>58000</v>
      </c>
      <c r="E248" s="511">
        <v>13000</v>
      </c>
      <c r="F248" s="511">
        <v>147000</v>
      </c>
      <c r="G248" s="511">
        <v>362000</v>
      </c>
      <c r="H248" s="511">
        <v>532000</v>
      </c>
      <c r="I248" s="511">
        <v>125000</v>
      </c>
      <c r="J248" s="511">
        <v>313000</v>
      </c>
      <c r="K248" s="533" t="s">
        <v>690</v>
      </c>
    </row>
    <row r="249" spans="1:11" x14ac:dyDescent="0.35">
      <c r="A249" s="509" t="s">
        <v>647</v>
      </c>
      <c r="B249" s="511">
        <v>-298000</v>
      </c>
      <c r="C249" s="511">
        <v>-1503000</v>
      </c>
      <c r="D249" s="511">
        <v>-14000</v>
      </c>
      <c r="E249" s="511">
        <v>-153000</v>
      </c>
      <c r="F249" s="511">
        <v>-9000</v>
      </c>
      <c r="G249" s="511">
        <v>-705000</v>
      </c>
      <c r="H249" s="511">
        <v>-939000</v>
      </c>
      <c r="I249" s="511">
        <v>-706000</v>
      </c>
      <c r="J249" s="511">
        <v>-1184000</v>
      </c>
      <c r="K249" s="511">
        <v>-840000</v>
      </c>
    </row>
    <row r="250" spans="1:11" x14ac:dyDescent="0.35">
      <c r="A250" s="509" t="s">
        <v>611</v>
      </c>
      <c r="B250" s="511">
        <v>3726000</v>
      </c>
      <c r="C250" s="511">
        <v>4996000</v>
      </c>
      <c r="D250" s="511">
        <v>55518000</v>
      </c>
      <c r="E250" s="511">
        <v>56521000</v>
      </c>
      <c r="F250" s="511">
        <v>56410000</v>
      </c>
      <c r="G250" s="511">
        <v>60931000</v>
      </c>
      <c r="H250" s="511">
        <v>66561000</v>
      </c>
      <c r="I250" s="511">
        <v>72843000</v>
      </c>
      <c r="J250" s="511">
        <v>72381000</v>
      </c>
      <c r="K250" s="511">
        <v>75821000</v>
      </c>
    </row>
    <row r="251" spans="1:11" x14ac:dyDescent="0.35">
      <c r="A251" s="509" t="s">
        <v>824</v>
      </c>
      <c r="B251" s="511">
        <v>58049000</v>
      </c>
      <c r="C251" s="511">
        <v>57552000</v>
      </c>
      <c r="D251" s="511">
        <v>58070000</v>
      </c>
      <c r="E251" s="511">
        <v>58876000</v>
      </c>
      <c r="F251" s="511">
        <v>59056000</v>
      </c>
      <c r="G251" s="511">
        <v>63106000</v>
      </c>
      <c r="H251" s="511">
        <v>68681000</v>
      </c>
      <c r="I251" s="511">
        <v>74784000</v>
      </c>
      <c r="J251" s="511">
        <v>74040000</v>
      </c>
      <c r="K251" s="511">
        <v>77507000</v>
      </c>
    </row>
    <row r="252" spans="1:11" x14ac:dyDescent="0.35">
      <c r="A252" s="509" t="s">
        <v>648</v>
      </c>
      <c r="B252" s="511">
        <v>161000</v>
      </c>
      <c r="C252" s="511">
        <v>170000</v>
      </c>
      <c r="D252" s="511">
        <v>169000</v>
      </c>
      <c r="E252" s="511">
        <v>159000</v>
      </c>
      <c r="F252" s="511">
        <v>174000</v>
      </c>
      <c r="G252" s="511">
        <v>146000</v>
      </c>
      <c r="H252" s="511">
        <v>350000</v>
      </c>
      <c r="I252" s="511">
        <v>368000</v>
      </c>
      <c r="J252" s="511">
        <v>313000</v>
      </c>
      <c r="K252" s="511">
        <v>350000</v>
      </c>
    </row>
    <row r="253" spans="1:11" x14ac:dyDescent="0.35">
      <c r="A253" s="509" t="s">
        <v>825</v>
      </c>
      <c r="B253" s="511">
        <v>58210000</v>
      </c>
      <c r="C253" s="511">
        <v>57722000</v>
      </c>
      <c r="D253" s="511">
        <v>58239000</v>
      </c>
      <c r="E253" s="511">
        <v>59035000</v>
      </c>
      <c r="F253" s="511">
        <v>59230000</v>
      </c>
      <c r="G253" s="511">
        <v>63252000</v>
      </c>
      <c r="H253" s="511">
        <v>69031000</v>
      </c>
      <c r="I253" s="511">
        <v>75152000</v>
      </c>
      <c r="J253" s="511">
        <v>74353000</v>
      </c>
      <c r="K253" s="511">
        <v>77857000</v>
      </c>
    </row>
    <row r="254" spans="1:11" x14ac:dyDescent="0.35">
      <c r="A254" s="509" t="s">
        <v>826</v>
      </c>
      <c r="B254" s="511">
        <v>102321000</v>
      </c>
      <c r="C254" s="511">
        <v>104679000</v>
      </c>
      <c r="D254" s="511">
        <v>99813000</v>
      </c>
      <c r="E254" s="511">
        <v>111408000</v>
      </c>
      <c r="F254" s="511">
        <v>112630000</v>
      </c>
      <c r="G254" s="511">
        <v>114413000</v>
      </c>
      <c r="H254" s="511">
        <v>120242000</v>
      </c>
      <c r="I254" s="511">
        <v>126722000</v>
      </c>
      <c r="J254" s="511">
        <v>126464000</v>
      </c>
      <c r="K254" s="511">
        <v>132798000</v>
      </c>
    </row>
    <row r="255" spans="1:11" ht="13.15" x14ac:dyDescent="0.35">
      <c r="A255" s="517" t="s">
        <v>827</v>
      </c>
      <c r="B255" s="533"/>
      <c r="C255" s="533"/>
      <c r="D255" s="533"/>
      <c r="E255" s="533"/>
      <c r="F255" s="533"/>
      <c r="G255" s="533"/>
      <c r="H255" s="533"/>
      <c r="I255" s="533"/>
      <c r="J255" s="533"/>
      <c r="K255" s="533"/>
    </row>
    <row r="256" spans="1:11" x14ac:dyDescent="0.35">
      <c r="A256" s="509" t="s">
        <v>828</v>
      </c>
      <c r="B256" s="511">
        <v>1301696759</v>
      </c>
      <c r="C256" s="511">
        <v>1272022324</v>
      </c>
      <c r="D256" s="511">
        <v>1248361484</v>
      </c>
      <c r="E256" s="511">
        <v>1245552720</v>
      </c>
      <c r="F256" s="511">
        <v>1250960152</v>
      </c>
      <c r="G256" s="511">
        <v>1248931984</v>
      </c>
      <c r="H256" s="511">
        <v>1248565742</v>
      </c>
      <c r="I256" s="511">
        <v>1248640262</v>
      </c>
      <c r="J256" s="511">
        <v>1248557653</v>
      </c>
      <c r="K256" s="511">
        <v>1253591640</v>
      </c>
    </row>
    <row r="257" spans="1:11" x14ac:dyDescent="0.35">
      <c r="A257" s="509" t="s">
        <v>829</v>
      </c>
      <c r="B257" s="511">
        <v>1301696759</v>
      </c>
      <c r="C257" s="511">
        <v>1272022324</v>
      </c>
      <c r="D257" s="511">
        <v>1253819904</v>
      </c>
      <c r="E257" s="511">
        <v>1245454385</v>
      </c>
      <c r="F257" s="511">
        <v>1253826630</v>
      </c>
      <c r="G257" s="511">
        <v>1250690553</v>
      </c>
      <c r="H257" s="511">
        <v>1252542734</v>
      </c>
      <c r="I257" s="511">
        <v>1252640466</v>
      </c>
      <c r="J257" s="511">
        <v>1251349581</v>
      </c>
      <c r="K257" s="511">
        <v>1253591640</v>
      </c>
    </row>
    <row r="258" spans="1:11" x14ac:dyDescent="0.35">
      <c r="A258" s="509" t="s">
        <v>830</v>
      </c>
      <c r="B258" s="533">
        <v>44.6</v>
      </c>
      <c r="C258" s="533">
        <v>45.24</v>
      </c>
      <c r="D258" s="533">
        <v>46.31</v>
      </c>
      <c r="E258" s="533">
        <v>47.27</v>
      </c>
      <c r="F258" s="533">
        <v>47.1</v>
      </c>
      <c r="G258" s="533">
        <v>50.46</v>
      </c>
      <c r="H258" s="533">
        <v>54.83</v>
      </c>
      <c r="I258" s="533">
        <v>59.7</v>
      </c>
      <c r="J258" s="533">
        <v>59.17</v>
      </c>
      <c r="K258" s="533">
        <v>61.83</v>
      </c>
    </row>
    <row r="259" spans="1:11" x14ac:dyDescent="0.35">
      <c r="A259" s="509" t="s">
        <v>831</v>
      </c>
      <c r="B259" s="511">
        <v>8019000</v>
      </c>
      <c r="C259" s="511">
        <v>7745000</v>
      </c>
      <c r="D259" s="511">
        <v>6201000</v>
      </c>
      <c r="E259" s="511">
        <v>-2504000</v>
      </c>
      <c r="F259" s="511">
        <v>362000</v>
      </c>
      <c r="G259" s="511">
        <v>6493000</v>
      </c>
      <c r="H259" s="511">
        <v>6948000</v>
      </c>
      <c r="I259" s="511">
        <v>9478000</v>
      </c>
      <c r="J259" s="511">
        <v>6355000</v>
      </c>
      <c r="K259" s="511">
        <v>19863000</v>
      </c>
    </row>
    <row r="260" spans="1:11" x14ac:dyDescent="0.35">
      <c r="A260" s="509" t="s">
        <v>832</v>
      </c>
      <c r="B260" s="533">
        <v>6.16</v>
      </c>
      <c r="C260" s="533">
        <v>6.09</v>
      </c>
      <c r="D260" s="533">
        <v>4.95</v>
      </c>
      <c r="E260" s="533">
        <v>-2.0099999999999998</v>
      </c>
      <c r="F260" s="533">
        <v>0.28999999999999998</v>
      </c>
      <c r="G260" s="533">
        <v>5.19</v>
      </c>
      <c r="H260" s="533">
        <v>5.55</v>
      </c>
      <c r="I260" s="533">
        <v>7.57</v>
      </c>
      <c r="J260" s="533">
        <v>5.08</v>
      </c>
      <c r="K260" s="533">
        <v>15.85</v>
      </c>
    </row>
    <row r="261" spans="1:11" x14ac:dyDescent="0.35">
      <c r="A261" s="509" t="s">
        <v>833</v>
      </c>
      <c r="B261" s="511">
        <v>16558000</v>
      </c>
      <c r="C261" s="511">
        <v>18581000</v>
      </c>
      <c r="D261" s="511">
        <v>15601000</v>
      </c>
      <c r="E261" s="511">
        <v>24640000</v>
      </c>
      <c r="F261" s="511">
        <v>25935000</v>
      </c>
      <c r="G261" s="511">
        <v>23675000</v>
      </c>
      <c r="H261" s="511">
        <v>22415000</v>
      </c>
      <c r="I261" s="511">
        <v>21212000</v>
      </c>
      <c r="J261" s="511">
        <v>18423000</v>
      </c>
      <c r="K261" s="511">
        <v>17913000</v>
      </c>
    </row>
    <row r="262" spans="1:11" x14ac:dyDescent="0.35">
      <c r="A262" s="509" t="s">
        <v>44</v>
      </c>
      <c r="B262" s="511">
        <v>7371000</v>
      </c>
      <c r="C262" s="511">
        <v>8305000</v>
      </c>
      <c r="D262" s="511">
        <v>5286000</v>
      </c>
      <c r="E262" s="511">
        <v>17685000</v>
      </c>
      <c r="F262" s="511">
        <v>16504000</v>
      </c>
      <c r="G262" s="511">
        <v>9760000</v>
      </c>
      <c r="H262" s="511">
        <v>12306000</v>
      </c>
      <c r="I262" s="511">
        <v>8330000</v>
      </c>
      <c r="J262" s="511">
        <v>9601000</v>
      </c>
      <c r="K262" s="511">
        <v>10357000</v>
      </c>
    </row>
    <row r="263" spans="1:11" x14ac:dyDescent="0.35">
      <c r="A263" s="509" t="s">
        <v>834</v>
      </c>
      <c r="B263" s="511">
        <v>4259000</v>
      </c>
      <c r="C263" s="511">
        <v>4347000</v>
      </c>
      <c r="D263" s="511">
        <v>3906000</v>
      </c>
      <c r="E263" s="511">
        <v>3445000</v>
      </c>
      <c r="F263" s="511">
        <v>3443000</v>
      </c>
      <c r="G263" s="511">
        <v>3098000</v>
      </c>
      <c r="H263" s="511">
        <v>2524000</v>
      </c>
      <c r="I263" s="511">
        <v>1752000</v>
      </c>
      <c r="J263" s="511">
        <v>1937000</v>
      </c>
      <c r="K263" s="511">
        <v>1832000</v>
      </c>
    </row>
    <row r="264" spans="1:11" x14ac:dyDescent="0.35">
      <c r="A264" s="509" t="s">
        <v>835</v>
      </c>
      <c r="B264" s="511">
        <v>2720000</v>
      </c>
      <c r="C264" s="511">
        <v>2472000</v>
      </c>
      <c r="D264" s="511">
        <v>2328000</v>
      </c>
      <c r="E264" s="511">
        <v>2760000</v>
      </c>
      <c r="F264" s="511">
        <v>400000</v>
      </c>
      <c r="G264" s="511">
        <v>216000</v>
      </c>
      <c r="H264" s="511">
        <v>200000</v>
      </c>
      <c r="I264" s="511">
        <v>208000</v>
      </c>
      <c r="J264" s="511">
        <v>152000</v>
      </c>
      <c r="K264" s="511">
        <v>128000</v>
      </c>
    </row>
    <row r="265" spans="1:11" x14ac:dyDescent="0.35">
      <c r="A265" s="509" t="s">
        <v>648</v>
      </c>
      <c r="B265" s="511">
        <v>161000</v>
      </c>
      <c r="C265" s="511">
        <v>170000</v>
      </c>
      <c r="D265" s="511">
        <v>169000</v>
      </c>
      <c r="E265" s="511">
        <v>159000</v>
      </c>
      <c r="F265" s="511">
        <v>174000</v>
      </c>
      <c r="G265" s="511">
        <v>146000</v>
      </c>
      <c r="H265" s="511">
        <v>350000</v>
      </c>
      <c r="I265" s="511">
        <v>368000</v>
      </c>
      <c r="J265" s="511">
        <v>313000</v>
      </c>
      <c r="K265" s="511">
        <v>350000</v>
      </c>
    </row>
    <row r="266" spans="1:11" x14ac:dyDescent="0.35">
      <c r="A266" s="509" t="s">
        <v>836</v>
      </c>
      <c r="B266" s="511">
        <v>2676000</v>
      </c>
      <c r="C266" s="511">
        <v>2892000</v>
      </c>
      <c r="D266" s="511">
        <v>2847000</v>
      </c>
      <c r="E266" s="511">
        <v>3402000</v>
      </c>
      <c r="F266" s="511">
        <v>3591000</v>
      </c>
      <c r="G266" s="511">
        <v>201000</v>
      </c>
      <c r="H266" s="511">
        <v>250000</v>
      </c>
      <c r="I266" s="511">
        <v>677000</v>
      </c>
      <c r="J266" s="511">
        <v>424000</v>
      </c>
      <c r="K266" s="511">
        <v>316000</v>
      </c>
    </row>
    <row r="267" spans="1:11" x14ac:dyDescent="0.35">
      <c r="A267" s="509" t="s">
        <v>837</v>
      </c>
      <c r="B267" s="511">
        <v>1050000</v>
      </c>
      <c r="C267" s="511">
        <v>1053000</v>
      </c>
      <c r="D267" s="511">
        <v>1041000</v>
      </c>
      <c r="E267" s="511">
        <v>1099000</v>
      </c>
      <c r="F267" s="511">
        <v>1163000</v>
      </c>
      <c r="G267" s="511">
        <v>1051000</v>
      </c>
      <c r="H267" s="511">
        <v>1344000</v>
      </c>
      <c r="I267" s="511">
        <v>1613000</v>
      </c>
      <c r="J267" s="511">
        <v>1676000</v>
      </c>
      <c r="K267" s="511">
        <v>1588000</v>
      </c>
    </row>
    <row r="268" spans="1:11" x14ac:dyDescent="0.35">
      <c r="A268" s="509" t="s">
        <v>838</v>
      </c>
      <c r="B268" s="511">
        <v>4043000</v>
      </c>
      <c r="C268" s="511">
        <v>4512000</v>
      </c>
      <c r="D268" s="511">
        <v>4348000</v>
      </c>
      <c r="E268" s="511">
        <v>4637000</v>
      </c>
      <c r="F268" s="511">
        <v>5104000</v>
      </c>
      <c r="G268" s="511">
        <v>5398000</v>
      </c>
      <c r="H268" s="511">
        <v>5579000</v>
      </c>
      <c r="I268" s="511">
        <v>5663000</v>
      </c>
      <c r="J268" s="511">
        <v>5869000</v>
      </c>
      <c r="K268" s="511">
        <v>5777000</v>
      </c>
    </row>
    <row r="269" spans="1:11" x14ac:dyDescent="0.35">
      <c r="A269" s="509" t="s">
        <v>839</v>
      </c>
      <c r="B269" s="511">
        <v>2282000</v>
      </c>
      <c r="C269" s="511">
        <v>2345000</v>
      </c>
      <c r="D269" s="511">
        <v>2342000</v>
      </c>
      <c r="E269" s="511">
        <v>2533000</v>
      </c>
      <c r="F269" s="511">
        <v>2629000</v>
      </c>
      <c r="G269" s="511">
        <v>2739000</v>
      </c>
      <c r="H269" s="511">
        <v>2696000</v>
      </c>
      <c r="I269" s="511">
        <v>2748000</v>
      </c>
      <c r="J269" s="511">
        <v>3045000</v>
      </c>
      <c r="K269" s="511">
        <v>2899000</v>
      </c>
    </row>
    <row r="270" spans="1:11" x14ac:dyDescent="0.35">
      <c r="A270" s="509" t="s">
        <v>840</v>
      </c>
      <c r="B270" s="511">
        <v>333000</v>
      </c>
      <c r="C270" s="511">
        <v>324000</v>
      </c>
      <c r="D270" s="511">
        <v>314000</v>
      </c>
      <c r="E270" s="511">
        <v>283000</v>
      </c>
      <c r="F270" s="511">
        <v>255000</v>
      </c>
      <c r="G270" s="511">
        <v>236000</v>
      </c>
      <c r="H270" s="511">
        <v>240000</v>
      </c>
      <c r="I270" s="511">
        <v>237000</v>
      </c>
      <c r="J270" s="511">
        <v>228000</v>
      </c>
      <c r="K270" s="511">
        <v>201000</v>
      </c>
    </row>
    <row r="271" spans="1:11" x14ac:dyDescent="0.35">
      <c r="A271" s="509" t="s">
        <v>917</v>
      </c>
      <c r="B271" s="511">
        <v>6631000</v>
      </c>
      <c r="C271" s="511">
        <v>6856000</v>
      </c>
      <c r="D271" s="511">
        <v>6666000</v>
      </c>
      <c r="E271" s="511">
        <v>6883000</v>
      </c>
      <c r="F271" s="511">
        <v>7282000</v>
      </c>
      <c r="G271" s="511">
        <v>6828000</v>
      </c>
      <c r="H271" s="511">
        <v>7170000</v>
      </c>
      <c r="I271" s="511">
        <v>7328000</v>
      </c>
      <c r="J271" s="511">
        <v>7681000</v>
      </c>
      <c r="K271" s="511">
        <v>7444000</v>
      </c>
    </row>
    <row r="272" spans="1:11" x14ac:dyDescent="0.35">
      <c r="A272" s="509" t="s">
        <v>841</v>
      </c>
      <c r="B272" s="511">
        <v>12081000</v>
      </c>
      <c r="C272" s="511">
        <v>12447000</v>
      </c>
      <c r="D272" s="511">
        <v>12595000</v>
      </c>
      <c r="E272" s="511">
        <v>13047000</v>
      </c>
      <c r="F272" s="511">
        <v>13640000</v>
      </c>
      <c r="G272" s="511">
        <v>13651000</v>
      </c>
      <c r="H272" s="511">
        <v>14303000</v>
      </c>
      <c r="I272" s="511">
        <v>13363000</v>
      </c>
      <c r="J272" s="511">
        <v>13412000</v>
      </c>
      <c r="K272" s="511">
        <v>12843000</v>
      </c>
    </row>
    <row r="273" spans="1:11" x14ac:dyDescent="0.35">
      <c r="A273" s="509" t="s">
        <v>842</v>
      </c>
      <c r="B273" s="511">
        <v>1952000</v>
      </c>
      <c r="C273" s="511">
        <v>2137000</v>
      </c>
      <c r="D273" s="511">
        <v>2288000</v>
      </c>
      <c r="E273" s="511">
        <v>2484000</v>
      </c>
      <c r="F273" s="511">
        <v>2391000</v>
      </c>
      <c r="G273" s="511">
        <v>2454000</v>
      </c>
      <c r="H273" s="511">
        <v>3097000</v>
      </c>
      <c r="I273" s="511">
        <v>2996000</v>
      </c>
      <c r="J273" s="511">
        <v>3449000</v>
      </c>
      <c r="K273" s="511">
        <v>3573000</v>
      </c>
    </row>
    <row r="274" spans="1:11" x14ac:dyDescent="0.35">
      <c r="A274" s="509" t="s">
        <v>843</v>
      </c>
      <c r="B274" s="511">
        <v>115631</v>
      </c>
      <c r="C274" s="511">
        <v>106859</v>
      </c>
      <c r="D274" s="511">
        <v>106566</v>
      </c>
      <c r="E274" s="511">
        <v>104226</v>
      </c>
      <c r="F274" s="511">
        <v>100409</v>
      </c>
      <c r="G274" s="511">
        <v>99412</v>
      </c>
      <c r="H274" s="511">
        <v>95442</v>
      </c>
      <c r="I274" s="511">
        <v>91573</v>
      </c>
      <c r="J274" s="511">
        <v>86088</v>
      </c>
      <c r="K274" s="511">
        <v>82878</v>
      </c>
    </row>
    <row r="275" spans="1:11" x14ac:dyDescent="0.35">
      <c r="A275" s="509" t="s">
        <v>886</v>
      </c>
      <c r="B275" s="511">
        <v>112000</v>
      </c>
      <c r="C275" s="511">
        <v>113000</v>
      </c>
      <c r="D275" s="511">
        <v>115000</v>
      </c>
      <c r="E275" s="533" t="s">
        <v>690</v>
      </c>
      <c r="F275" s="533" t="s">
        <v>690</v>
      </c>
      <c r="G275" s="533" t="s">
        <v>690</v>
      </c>
      <c r="H275" s="533" t="s">
        <v>690</v>
      </c>
      <c r="I275" s="533" t="s">
        <v>690</v>
      </c>
      <c r="J275" s="533" t="s">
        <v>690</v>
      </c>
      <c r="K275" s="533" t="s">
        <v>690</v>
      </c>
    </row>
    <row r="276" spans="1:11" x14ac:dyDescent="0.35">
      <c r="A276" s="509" t="s">
        <v>887</v>
      </c>
      <c r="B276" s="511">
        <v>-69000</v>
      </c>
      <c r="C276" s="511">
        <v>-79000</v>
      </c>
      <c r="D276" s="511">
        <v>-87000</v>
      </c>
      <c r="E276" s="533" t="s">
        <v>690</v>
      </c>
      <c r="F276" s="533" t="s">
        <v>690</v>
      </c>
      <c r="G276" s="533" t="s">
        <v>690</v>
      </c>
      <c r="H276" s="533" t="s">
        <v>690</v>
      </c>
      <c r="I276" s="533" t="s">
        <v>690</v>
      </c>
      <c r="J276" s="533" t="s">
        <v>690</v>
      </c>
      <c r="K276" s="533" t="s">
        <v>690</v>
      </c>
    </row>
    <row r="277" spans="1:11" x14ac:dyDescent="0.35">
      <c r="A277" s="509" t="s">
        <v>844</v>
      </c>
      <c r="B277" s="511">
        <v>167000</v>
      </c>
      <c r="C277" s="511">
        <v>195000</v>
      </c>
      <c r="D277" s="511">
        <v>189000</v>
      </c>
      <c r="E277" s="511">
        <v>170000</v>
      </c>
      <c r="F277" s="511">
        <v>153000</v>
      </c>
      <c r="G277" s="511">
        <v>142000</v>
      </c>
      <c r="H277" s="511">
        <v>137000</v>
      </c>
      <c r="I277" s="511">
        <v>113000</v>
      </c>
      <c r="J277" s="511">
        <v>95000</v>
      </c>
      <c r="K277" s="511">
        <v>100000</v>
      </c>
    </row>
    <row r="278" spans="1:11" x14ac:dyDescent="0.35">
      <c r="A278" s="509" t="s">
        <v>783</v>
      </c>
      <c r="B278" s="533" t="s">
        <v>810</v>
      </c>
      <c r="C278" s="533" t="s">
        <v>845</v>
      </c>
      <c r="D278" s="533" t="s">
        <v>845</v>
      </c>
      <c r="E278" s="533" t="s">
        <v>810</v>
      </c>
      <c r="F278" s="533" t="s">
        <v>845</v>
      </c>
      <c r="G278" s="533" t="s">
        <v>845</v>
      </c>
      <c r="H278" s="533" t="s">
        <v>810</v>
      </c>
      <c r="I278" s="533" t="s">
        <v>810</v>
      </c>
      <c r="J278" s="533" t="s">
        <v>810</v>
      </c>
      <c r="K278" s="533" t="s">
        <v>785</v>
      </c>
    </row>
    <row r="279" spans="1:11" x14ac:dyDescent="0.35">
      <c r="A279" s="509" t="s">
        <v>786</v>
      </c>
      <c r="B279" s="533" t="s">
        <v>787</v>
      </c>
      <c r="C279" s="533" t="s">
        <v>787</v>
      </c>
      <c r="D279" s="533" t="s">
        <v>787</v>
      </c>
      <c r="E279" s="533" t="s">
        <v>787</v>
      </c>
      <c r="F279" s="533" t="s">
        <v>787</v>
      </c>
      <c r="G279" s="533" t="s">
        <v>787</v>
      </c>
      <c r="H279" s="533" t="s">
        <v>787</v>
      </c>
      <c r="I279" s="533" t="s">
        <v>787</v>
      </c>
      <c r="J279" s="533" t="s">
        <v>787</v>
      </c>
      <c r="K279" s="533" t="s">
        <v>787</v>
      </c>
    </row>
    <row r="280" spans="1:11" ht="13.15" x14ac:dyDescent="0.35">
      <c r="A280" s="517" t="s">
        <v>846</v>
      </c>
      <c r="B280" s="533"/>
      <c r="C280" s="533"/>
      <c r="D280" s="533"/>
      <c r="E280" s="533"/>
      <c r="F280" s="533"/>
      <c r="G280" s="533"/>
      <c r="H280" s="533"/>
      <c r="I280" s="533"/>
      <c r="J280" s="533"/>
      <c r="K280" s="533"/>
    </row>
    <row r="281" spans="1:11" x14ac:dyDescent="0.35">
      <c r="A281" s="509" t="s">
        <v>935</v>
      </c>
      <c r="B281" s="511">
        <v>15000</v>
      </c>
      <c r="C281" s="511">
        <v>36000</v>
      </c>
      <c r="D281" s="511">
        <v>33000</v>
      </c>
      <c r="E281" s="511">
        <v>7000</v>
      </c>
      <c r="F281" s="511">
        <v>8000</v>
      </c>
      <c r="G281" s="511">
        <v>53000</v>
      </c>
      <c r="H281" s="511">
        <v>43000</v>
      </c>
      <c r="I281" s="533" t="s">
        <v>690</v>
      </c>
      <c r="J281" s="511">
        <v>6000</v>
      </c>
      <c r="K281" s="511">
        <v>1000</v>
      </c>
    </row>
    <row r="282" spans="1:11" x14ac:dyDescent="0.35">
      <c r="A282" s="509" t="s">
        <v>936</v>
      </c>
      <c r="B282" s="511">
        <v>49000</v>
      </c>
      <c r="C282" s="511">
        <v>40000</v>
      </c>
      <c r="D282" s="511">
        <v>6000</v>
      </c>
      <c r="E282" s="511">
        <v>6000</v>
      </c>
      <c r="F282" s="511">
        <v>88000</v>
      </c>
      <c r="G282" s="511">
        <v>37000</v>
      </c>
      <c r="H282" s="511">
        <v>8000</v>
      </c>
      <c r="I282" s="511">
        <v>3000</v>
      </c>
      <c r="J282" s="511">
        <v>7000</v>
      </c>
      <c r="K282" s="511">
        <v>17000</v>
      </c>
    </row>
    <row r="283" spans="1:11" x14ac:dyDescent="0.35">
      <c r="A283" s="509" t="s">
        <v>937</v>
      </c>
      <c r="B283" s="511">
        <v>165000</v>
      </c>
      <c r="C283" s="511">
        <v>19000</v>
      </c>
      <c r="D283" s="511">
        <v>24000</v>
      </c>
      <c r="E283" s="511">
        <v>75000</v>
      </c>
      <c r="F283" s="511">
        <v>52000</v>
      </c>
      <c r="G283" s="511">
        <v>36000</v>
      </c>
      <c r="H283" s="511">
        <v>18000</v>
      </c>
      <c r="I283" s="511">
        <v>21000</v>
      </c>
      <c r="J283" s="511">
        <v>34000</v>
      </c>
      <c r="K283" s="511">
        <v>12000</v>
      </c>
    </row>
    <row r="284" spans="1:11" x14ac:dyDescent="0.35">
      <c r="A284" s="509" t="s">
        <v>938</v>
      </c>
      <c r="B284" s="511">
        <v>28000</v>
      </c>
      <c r="C284" s="511">
        <v>25000</v>
      </c>
      <c r="D284" s="511">
        <v>55000</v>
      </c>
      <c r="E284" s="511">
        <v>64000</v>
      </c>
      <c r="F284" s="511">
        <v>29000</v>
      </c>
      <c r="G284" s="511">
        <v>10000</v>
      </c>
      <c r="H284" s="511">
        <v>56000</v>
      </c>
      <c r="I284" s="511">
        <v>28000</v>
      </c>
      <c r="J284" s="511">
        <v>23000</v>
      </c>
      <c r="K284" s="511">
        <v>30000</v>
      </c>
    </row>
    <row r="285" spans="1:11" x14ac:dyDescent="0.35">
      <c r="A285" s="509" t="s">
        <v>939</v>
      </c>
      <c r="B285" s="511">
        <v>26000</v>
      </c>
      <c r="C285" s="511">
        <v>71000</v>
      </c>
      <c r="D285" s="511">
        <v>43000</v>
      </c>
      <c r="E285" s="511">
        <v>37000</v>
      </c>
      <c r="F285" s="511">
        <v>54000</v>
      </c>
      <c r="G285" s="511">
        <v>38000</v>
      </c>
      <c r="H285" s="511">
        <v>85000</v>
      </c>
      <c r="I285" s="511">
        <v>102000</v>
      </c>
      <c r="J285" s="511">
        <v>126000</v>
      </c>
      <c r="K285" s="511">
        <v>187000</v>
      </c>
    </row>
    <row r="286" spans="1:11" x14ac:dyDescent="0.35">
      <c r="A286" s="509" t="s">
        <v>847</v>
      </c>
      <c r="B286" s="511">
        <v>4926000</v>
      </c>
      <c r="C286" s="511">
        <v>4985000</v>
      </c>
      <c r="D286" s="511">
        <v>5003000</v>
      </c>
      <c r="E286" s="511">
        <v>5911000</v>
      </c>
      <c r="F286" s="511">
        <v>6170000</v>
      </c>
      <c r="G286" s="511">
        <v>6341000</v>
      </c>
      <c r="H286" s="511">
        <v>7434000</v>
      </c>
      <c r="I286" s="511">
        <v>8349000</v>
      </c>
      <c r="J286" s="511">
        <v>8737000</v>
      </c>
      <c r="K286" s="511">
        <v>9565000</v>
      </c>
    </row>
    <row r="287" spans="1:11" x14ac:dyDescent="0.35">
      <c r="A287" s="509" t="s">
        <v>849</v>
      </c>
      <c r="B287" s="511">
        <v>5209000</v>
      </c>
      <c r="C287" s="511">
        <v>5176000</v>
      </c>
      <c r="D287" s="511">
        <v>5164000</v>
      </c>
      <c r="E287" s="511">
        <v>6100000</v>
      </c>
      <c r="F287" s="511">
        <v>6401000</v>
      </c>
      <c r="G287" s="511">
        <v>6515000</v>
      </c>
      <c r="H287" s="511">
        <v>7644000</v>
      </c>
      <c r="I287" s="511">
        <v>8503000</v>
      </c>
      <c r="J287" s="511">
        <v>8933000</v>
      </c>
      <c r="K287" s="511">
        <v>9812000</v>
      </c>
    </row>
    <row r="288" spans="1:11" ht="13.15" x14ac:dyDescent="0.35">
      <c r="A288" s="517" t="s">
        <v>850</v>
      </c>
      <c r="B288" s="533"/>
      <c r="C288" s="533"/>
      <c r="D288" s="533"/>
      <c r="E288" s="533"/>
      <c r="F288" s="533"/>
      <c r="G288" s="533"/>
      <c r="H288" s="533"/>
      <c r="I288" s="533"/>
      <c r="J288" s="533"/>
      <c r="K288" s="533"/>
    </row>
    <row r="289" spans="1:11" x14ac:dyDescent="0.35">
      <c r="A289" s="509" t="s">
        <v>851</v>
      </c>
      <c r="B289" s="511">
        <v>6825000</v>
      </c>
      <c r="C289" s="511">
        <v>7564000</v>
      </c>
      <c r="D289" s="511">
        <v>9324000</v>
      </c>
      <c r="E289" s="511">
        <v>4771000</v>
      </c>
      <c r="F289" s="511">
        <v>6263000</v>
      </c>
      <c r="G289" s="511">
        <v>10022000</v>
      </c>
      <c r="H289" s="511">
        <v>6449000</v>
      </c>
      <c r="I289" s="511">
        <v>10765000</v>
      </c>
      <c r="J289" s="511">
        <v>6737000</v>
      </c>
      <c r="K289" s="511">
        <v>5673000</v>
      </c>
    </row>
    <row r="290" spans="1:11" x14ac:dyDescent="0.35">
      <c r="A290" s="509" t="s">
        <v>852</v>
      </c>
      <c r="B290" s="511">
        <v>218000</v>
      </c>
      <c r="C290" s="511">
        <v>210000</v>
      </c>
      <c r="D290" s="511">
        <v>196000</v>
      </c>
      <c r="E290" s="511">
        <v>183000</v>
      </c>
      <c r="F290" s="511">
        <v>225000</v>
      </c>
      <c r="G290" s="511">
        <v>82000</v>
      </c>
      <c r="H290" s="511">
        <v>298000</v>
      </c>
      <c r="I290" s="511">
        <v>206000</v>
      </c>
      <c r="J290" s="511">
        <v>201000</v>
      </c>
      <c r="K290" s="511">
        <v>217000</v>
      </c>
    </row>
    <row r="291" spans="1:11" x14ac:dyDescent="0.35">
      <c r="A291" s="509" t="s">
        <v>853</v>
      </c>
      <c r="B291" s="511">
        <v>102000</v>
      </c>
      <c r="C291" s="511">
        <v>570000</v>
      </c>
      <c r="D291" s="511">
        <v>465000</v>
      </c>
      <c r="E291" s="511">
        <v>631000</v>
      </c>
      <c r="F291" s="511">
        <v>834000</v>
      </c>
      <c r="G291" s="511">
        <v>695000</v>
      </c>
      <c r="H291" s="511">
        <v>883000</v>
      </c>
      <c r="I291" s="511">
        <v>967000</v>
      </c>
      <c r="J291" s="511">
        <v>964000</v>
      </c>
      <c r="K291" s="511">
        <v>1717000</v>
      </c>
    </row>
    <row r="292" spans="1:11" x14ac:dyDescent="0.35">
      <c r="A292" s="509" t="s">
        <v>854</v>
      </c>
      <c r="B292" s="511">
        <v>7145000</v>
      </c>
      <c r="C292" s="511">
        <v>8344000</v>
      </c>
      <c r="D292" s="511">
        <v>9985000</v>
      </c>
      <c r="E292" s="511">
        <v>5585000</v>
      </c>
      <c r="F292" s="511">
        <v>7322000</v>
      </c>
      <c r="G292" s="511">
        <v>10799000</v>
      </c>
      <c r="H292" s="511">
        <v>7630000</v>
      </c>
      <c r="I292" s="511">
        <v>11938000</v>
      </c>
      <c r="J292" s="511">
        <v>7902000</v>
      </c>
      <c r="K292" s="511">
        <v>7607000</v>
      </c>
    </row>
    <row r="293" spans="1:11" x14ac:dyDescent="0.35">
      <c r="A293" s="509" t="s">
        <v>855</v>
      </c>
      <c r="B293" s="511">
        <v>24000</v>
      </c>
      <c r="C293" s="511">
        <v>85000</v>
      </c>
      <c r="D293" s="511">
        <v>75000</v>
      </c>
      <c r="E293" s="511">
        <v>99000</v>
      </c>
      <c r="F293" s="533" t="s">
        <v>690</v>
      </c>
      <c r="G293" s="533" t="s">
        <v>690</v>
      </c>
      <c r="H293" s="533" t="s">
        <v>690</v>
      </c>
      <c r="I293" s="533" t="s">
        <v>690</v>
      </c>
      <c r="J293" s="533" t="s">
        <v>690</v>
      </c>
      <c r="K293" s="533" t="s">
        <v>690</v>
      </c>
    </row>
    <row r="294" spans="1:11" x14ac:dyDescent="0.35">
      <c r="A294" s="509" t="s">
        <v>856</v>
      </c>
      <c r="B294" s="511">
        <v>85000</v>
      </c>
      <c r="C294" s="511">
        <v>132000</v>
      </c>
      <c r="D294" s="511">
        <v>74000</v>
      </c>
      <c r="E294" s="511">
        <v>97000</v>
      </c>
      <c r="F294" s="511">
        <v>99000</v>
      </c>
      <c r="G294" s="511">
        <v>297000</v>
      </c>
      <c r="H294" s="511">
        <v>85000</v>
      </c>
      <c r="I294" s="511">
        <v>326000</v>
      </c>
      <c r="J294" s="511">
        <v>291000</v>
      </c>
      <c r="K294" s="511">
        <v>458000</v>
      </c>
    </row>
    <row r="295" spans="1:11" x14ac:dyDescent="0.35">
      <c r="A295" s="509" t="s">
        <v>857</v>
      </c>
      <c r="B295" s="511">
        <v>1227000</v>
      </c>
      <c r="C295" s="511">
        <v>1491000</v>
      </c>
      <c r="D295" s="511">
        <v>1294000</v>
      </c>
      <c r="E295" s="511">
        <v>1205000</v>
      </c>
      <c r="F295" s="511">
        <v>800000</v>
      </c>
      <c r="G295" s="511">
        <v>605000</v>
      </c>
      <c r="H295" s="511">
        <v>714000</v>
      </c>
      <c r="I295" s="511">
        <v>779000</v>
      </c>
      <c r="J295" s="511">
        <v>709000</v>
      </c>
      <c r="K295" s="511">
        <v>641000</v>
      </c>
    </row>
    <row r="296" spans="1:11" x14ac:dyDescent="0.35">
      <c r="A296" s="509" t="s">
        <v>858</v>
      </c>
      <c r="B296" s="511">
        <v>1336000</v>
      </c>
      <c r="C296" s="511">
        <v>1708000</v>
      </c>
      <c r="D296" s="511">
        <v>1443000</v>
      </c>
      <c r="E296" s="511">
        <v>1401000</v>
      </c>
      <c r="F296" s="511">
        <v>899000</v>
      </c>
      <c r="G296" s="511">
        <v>902000</v>
      </c>
      <c r="H296" s="511">
        <v>799000</v>
      </c>
      <c r="I296" s="511">
        <v>1105000</v>
      </c>
      <c r="J296" s="511">
        <v>1000000</v>
      </c>
      <c r="K296" s="511">
        <v>1099000</v>
      </c>
    </row>
    <row r="297" spans="1:11" x14ac:dyDescent="0.35">
      <c r="A297" s="509" t="s">
        <v>859</v>
      </c>
      <c r="B297" s="511">
        <v>53000</v>
      </c>
      <c r="C297" s="511">
        <v>-135000</v>
      </c>
      <c r="D297" s="511">
        <v>-159000</v>
      </c>
      <c r="E297" s="511">
        <v>117000</v>
      </c>
      <c r="F297" s="511">
        <v>238000</v>
      </c>
      <c r="G297" s="511">
        <v>124000</v>
      </c>
      <c r="H297" s="511">
        <v>-4000</v>
      </c>
      <c r="I297" s="511">
        <v>27000</v>
      </c>
      <c r="J297" s="511">
        <v>-93000</v>
      </c>
      <c r="K297" s="511">
        <v>-96000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7FCBB-EACB-4083-9E9B-8C8BB8FF42A5}">
  <dimension ref="A1:L238"/>
  <sheetViews>
    <sheetView workbookViewId="0"/>
  </sheetViews>
  <sheetFormatPr defaultColWidth="10.6640625" defaultRowHeight="12.75" x14ac:dyDescent="0.35"/>
  <cols>
    <col min="1" max="1" width="90.1328125" customWidth="1"/>
  </cols>
  <sheetData>
    <row r="1" spans="1:12" x14ac:dyDescent="0.35">
      <c r="A1" s="535"/>
      <c r="B1" s="535"/>
      <c r="C1" s="535"/>
      <c r="D1" s="535"/>
    </row>
    <row r="2" spans="1:12" ht="12.75" customHeight="1" x14ac:dyDescent="0.5">
      <c r="A2" s="521" t="s">
        <v>940</v>
      </c>
      <c r="B2" s="521"/>
      <c r="C2" s="521"/>
      <c r="D2" s="521"/>
      <c r="E2" s="521"/>
      <c r="F2" s="521"/>
      <c r="G2" s="521"/>
      <c r="H2" s="521"/>
      <c r="I2" s="521"/>
      <c r="J2" s="521"/>
      <c r="K2" s="521"/>
      <c r="L2" s="521"/>
    </row>
    <row r="3" spans="1:12" x14ac:dyDescent="0.35">
      <c r="A3" s="509" t="s">
        <v>941</v>
      </c>
    </row>
    <row r="5" spans="1:12" x14ac:dyDescent="0.35">
      <c r="A5" s="509" t="s">
        <v>665</v>
      </c>
      <c r="B5" s="514"/>
    </row>
    <row r="6" spans="1:12" x14ac:dyDescent="0.35">
      <c r="A6" s="509" t="s">
        <v>942</v>
      </c>
      <c r="B6" s="514"/>
    </row>
    <row r="7" spans="1:12" x14ac:dyDescent="0.35">
      <c r="A7" s="509" t="s">
        <v>667</v>
      </c>
      <c r="B7" s="514"/>
    </row>
    <row r="8" spans="1:12" x14ac:dyDescent="0.35">
      <c r="A8" s="509" t="s">
        <v>730</v>
      </c>
      <c r="B8" s="514"/>
    </row>
    <row r="9" spans="1:12" x14ac:dyDescent="0.35">
      <c r="A9" s="509" t="s">
        <v>668</v>
      </c>
      <c r="B9" s="514"/>
    </row>
    <row r="10" spans="1:12" x14ac:dyDescent="0.35">
      <c r="A10" s="509" t="s">
        <v>731</v>
      </c>
      <c r="B10" s="514"/>
    </row>
    <row r="11" spans="1:12" x14ac:dyDescent="0.35">
      <c r="A11" s="509" t="s">
        <v>732</v>
      </c>
      <c r="B11" s="514"/>
    </row>
    <row r="12" spans="1:12" x14ac:dyDescent="0.35">
      <c r="A12" s="534"/>
      <c r="B12" s="534"/>
      <c r="C12" s="534"/>
      <c r="D12" s="534"/>
      <c r="E12" s="534"/>
      <c r="F12" s="534"/>
      <c r="G12" s="534"/>
      <c r="H12" s="534"/>
      <c r="I12" s="534"/>
      <c r="J12" s="534"/>
      <c r="K12" s="534"/>
    </row>
    <row r="13" spans="1:12" x14ac:dyDescent="0.35">
      <c r="A13" s="520" t="s">
        <v>670</v>
      </c>
      <c r="B13" s="519" t="s">
        <v>943</v>
      </c>
      <c r="C13" s="519" t="s">
        <v>944</v>
      </c>
      <c r="D13" s="519" t="s">
        <v>945</v>
      </c>
      <c r="E13" s="519" t="s">
        <v>946</v>
      </c>
      <c r="F13" s="519" t="s">
        <v>947</v>
      </c>
      <c r="G13" s="519" t="s">
        <v>948</v>
      </c>
      <c r="H13" s="519" t="s">
        <v>949</v>
      </c>
      <c r="I13" s="519" t="s">
        <v>950</v>
      </c>
      <c r="J13" s="519" t="s">
        <v>951</v>
      </c>
      <c r="K13" s="519" t="s">
        <v>952</v>
      </c>
    </row>
    <row r="14" spans="1:12" ht="25.5" x14ac:dyDescent="0.35">
      <c r="A14" s="509" t="s">
        <v>73</v>
      </c>
      <c r="B14" s="533" t="s">
        <v>735</v>
      </c>
      <c r="C14" s="533" t="s">
        <v>735</v>
      </c>
      <c r="D14" s="533" t="s">
        <v>735</v>
      </c>
      <c r="E14" s="533" t="s">
        <v>735</v>
      </c>
      <c r="F14" s="533" t="s">
        <v>735</v>
      </c>
      <c r="G14" s="533" t="s">
        <v>735</v>
      </c>
      <c r="H14" s="533" t="s">
        <v>735</v>
      </c>
      <c r="I14" s="533" t="s">
        <v>735</v>
      </c>
      <c r="J14" s="533" t="s">
        <v>735</v>
      </c>
      <c r="K14" s="533" t="s">
        <v>735</v>
      </c>
    </row>
    <row r="15" spans="1:12" x14ac:dyDescent="0.35">
      <c r="A15" s="509" t="s">
        <v>678</v>
      </c>
      <c r="B15" s="533" t="s">
        <v>736</v>
      </c>
      <c r="C15" s="533" t="s">
        <v>737</v>
      </c>
      <c r="D15" s="533" t="s">
        <v>679</v>
      </c>
      <c r="E15" s="533" t="s">
        <v>680</v>
      </c>
      <c r="F15" s="533" t="s">
        <v>681</v>
      </c>
      <c r="G15" s="533" t="s">
        <v>682</v>
      </c>
      <c r="H15" s="533" t="s">
        <v>683</v>
      </c>
      <c r="I15" s="533" t="s">
        <v>684</v>
      </c>
      <c r="J15" s="533" t="s">
        <v>685</v>
      </c>
      <c r="K15" s="533" t="s">
        <v>738</v>
      </c>
    </row>
    <row r="16" spans="1:12" x14ac:dyDescent="0.35">
      <c r="A16" s="509" t="s">
        <v>739</v>
      </c>
      <c r="B16" s="537">
        <v>42645</v>
      </c>
      <c r="C16" s="537">
        <v>43010</v>
      </c>
      <c r="D16" s="533" t="s">
        <v>953</v>
      </c>
      <c r="E16" s="537">
        <v>43923</v>
      </c>
      <c r="F16" s="537">
        <v>44532</v>
      </c>
      <c r="G16" s="537">
        <v>44836</v>
      </c>
      <c r="H16" s="537">
        <v>45109</v>
      </c>
      <c r="I16" s="537">
        <v>45324</v>
      </c>
      <c r="J16" s="533" t="s">
        <v>954</v>
      </c>
      <c r="K16" s="533" t="s">
        <v>954</v>
      </c>
    </row>
    <row r="17" spans="1:11" x14ac:dyDescent="0.35">
      <c r="A17" s="509" t="s">
        <v>745</v>
      </c>
      <c r="B17" s="533">
        <v>7.6540000000000002E-3</v>
      </c>
      <c r="C17" s="533">
        <v>8.1290000000000008E-3</v>
      </c>
      <c r="D17" s="533">
        <v>7.3940000000000004E-3</v>
      </c>
      <c r="E17" s="533">
        <v>7.9609999999999993E-3</v>
      </c>
      <c r="F17" s="533">
        <v>8.2000000000000007E-3</v>
      </c>
      <c r="G17" s="533">
        <v>7.9209999999999992E-3</v>
      </c>
      <c r="H17" s="533">
        <v>7.6369999999999997E-3</v>
      </c>
      <c r="I17" s="533">
        <v>7.0949999999999997E-3</v>
      </c>
      <c r="J17" s="533">
        <v>6.4180000000000001E-3</v>
      </c>
      <c r="K17" s="533">
        <v>6.1440000000000002E-3</v>
      </c>
    </row>
    <row r="18" spans="1:11" x14ac:dyDescent="0.35">
      <c r="A18" s="509" t="s">
        <v>746</v>
      </c>
      <c r="B18" s="533">
        <v>7.4489999999999999E-3</v>
      </c>
      <c r="C18" s="533">
        <v>8.3330000000000001E-3</v>
      </c>
      <c r="D18" s="533">
        <v>7.9089999999999994E-3</v>
      </c>
      <c r="E18" s="533">
        <v>7.6740000000000003E-3</v>
      </c>
      <c r="F18" s="533">
        <v>8.1960000000000002E-3</v>
      </c>
      <c r="G18" s="533">
        <v>8.2129999999999998E-3</v>
      </c>
      <c r="H18" s="533">
        <v>7.7029999999999998E-3</v>
      </c>
      <c r="I18" s="533">
        <v>7.2550000000000002E-3</v>
      </c>
      <c r="J18" s="533">
        <v>6.5950000000000002E-3</v>
      </c>
      <c r="K18" s="533">
        <v>6.1079999999999997E-3</v>
      </c>
    </row>
    <row r="19" spans="1:11" x14ac:dyDescent="0.35">
      <c r="A19" s="509" t="s">
        <v>73</v>
      </c>
      <c r="B19" s="533"/>
      <c r="C19" s="533"/>
      <c r="D19" s="533"/>
      <c r="E19" s="533"/>
      <c r="F19" s="533"/>
      <c r="G19" s="533"/>
      <c r="H19" s="533"/>
      <c r="I19" s="533"/>
      <c r="J19" s="533"/>
      <c r="K19" s="533"/>
    </row>
    <row r="20" spans="1:11" ht="13.15" x14ac:dyDescent="0.35">
      <c r="A20" s="531">
        <v>0</v>
      </c>
      <c r="B20" s="533"/>
      <c r="C20" s="533"/>
      <c r="D20" s="533"/>
      <c r="E20" s="533"/>
      <c r="F20" s="533"/>
      <c r="G20" s="533"/>
      <c r="H20" s="533"/>
      <c r="I20" s="533"/>
      <c r="J20" s="533"/>
      <c r="K20" s="533"/>
    </row>
    <row r="21" spans="1:11" x14ac:dyDescent="0.35">
      <c r="A21" s="509" t="s">
        <v>96</v>
      </c>
      <c r="B21" s="511">
        <v>13639870</v>
      </c>
      <c r="C21" s="511">
        <v>14415663</v>
      </c>
      <c r="D21" s="511">
        <v>14123200</v>
      </c>
      <c r="E21" s="511">
        <v>13667179</v>
      </c>
      <c r="F21" s="511">
        <v>26529163</v>
      </c>
      <c r="G21" s="511">
        <v>26275955</v>
      </c>
      <c r="H21" s="511">
        <v>26697043</v>
      </c>
      <c r="I21" s="511">
        <v>28619872</v>
      </c>
      <c r="J21" s="511">
        <v>27494555</v>
      </c>
      <c r="K21" s="511">
        <v>27970201</v>
      </c>
    </row>
    <row r="22" spans="1:11" x14ac:dyDescent="0.35">
      <c r="A22" s="509" t="s">
        <v>863</v>
      </c>
      <c r="B22" s="511">
        <v>13639870</v>
      </c>
      <c r="C22" s="511">
        <v>14415663</v>
      </c>
      <c r="D22" s="511">
        <v>14123200</v>
      </c>
      <c r="E22" s="511">
        <v>13667179</v>
      </c>
      <c r="F22" s="511">
        <v>26529163</v>
      </c>
      <c r="G22" s="511">
        <v>26275955</v>
      </c>
      <c r="H22" s="511">
        <v>26697043</v>
      </c>
      <c r="I22" s="511">
        <v>28619872</v>
      </c>
      <c r="J22" s="511">
        <v>27494555</v>
      </c>
      <c r="K22" s="511">
        <v>27970201</v>
      </c>
    </row>
    <row r="23" spans="1:11" x14ac:dyDescent="0.35">
      <c r="A23" s="509" t="s">
        <v>656</v>
      </c>
      <c r="B23" s="511">
        <v>4000295</v>
      </c>
      <c r="C23" s="511">
        <v>4643499</v>
      </c>
      <c r="D23" s="511">
        <v>4155699</v>
      </c>
      <c r="E23" s="511">
        <v>3591286</v>
      </c>
      <c r="F23" s="511">
        <v>7400043</v>
      </c>
      <c r="G23" s="511">
        <v>9466289</v>
      </c>
      <c r="H23" s="511">
        <v>8258497</v>
      </c>
      <c r="I23" s="511">
        <v>9212452</v>
      </c>
      <c r="J23" s="511">
        <v>8863945</v>
      </c>
      <c r="K23" s="511">
        <v>9684566</v>
      </c>
    </row>
    <row r="24" spans="1:11" x14ac:dyDescent="0.35">
      <c r="A24" s="509" t="s">
        <v>747</v>
      </c>
      <c r="B24" s="511">
        <v>9639575</v>
      </c>
      <c r="C24" s="511">
        <v>9772165</v>
      </c>
      <c r="D24" s="511">
        <v>9967501</v>
      </c>
      <c r="E24" s="511">
        <v>10075893</v>
      </c>
      <c r="F24" s="511">
        <v>19129121</v>
      </c>
      <c r="G24" s="511">
        <v>16809666</v>
      </c>
      <c r="H24" s="511">
        <v>18438546</v>
      </c>
      <c r="I24" s="511">
        <v>19407420</v>
      </c>
      <c r="J24" s="511">
        <v>18630610</v>
      </c>
      <c r="K24" s="511">
        <v>18285635</v>
      </c>
    </row>
    <row r="25" spans="1:11" x14ac:dyDescent="0.35">
      <c r="A25" s="509" t="s">
        <v>73</v>
      </c>
      <c r="B25" s="533"/>
      <c r="C25" s="533"/>
      <c r="D25" s="533"/>
      <c r="E25" s="533"/>
      <c r="F25" s="533"/>
      <c r="G25" s="533"/>
      <c r="H25" s="533"/>
      <c r="I25" s="533"/>
      <c r="J25" s="533"/>
      <c r="K25" s="533"/>
    </row>
    <row r="26" spans="1:11" x14ac:dyDescent="0.35">
      <c r="A26" s="509" t="s">
        <v>586</v>
      </c>
      <c r="B26" s="511">
        <v>4842630</v>
      </c>
      <c r="C26" s="511">
        <v>5117966</v>
      </c>
      <c r="D26" s="511">
        <v>5004907</v>
      </c>
      <c r="E26" s="511">
        <v>4669181</v>
      </c>
      <c r="F26" s="511">
        <v>7913840</v>
      </c>
      <c r="G26" s="511">
        <v>7354613</v>
      </c>
      <c r="H26" s="511">
        <v>6910524</v>
      </c>
      <c r="I26" s="511">
        <v>7008083</v>
      </c>
      <c r="J26" s="511">
        <v>6748624</v>
      </c>
      <c r="K26" s="511">
        <v>6683339</v>
      </c>
    </row>
    <row r="27" spans="1:11" x14ac:dyDescent="0.35">
      <c r="A27" s="509" t="s">
        <v>630</v>
      </c>
      <c r="B27" s="511">
        <v>2881035</v>
      </c>
      <c r="C27" s="511">
        <v>2601110</v>
      </c>
      <c r="D27" s="511">
        <v>2566265</v>
      </c>
      <c r="E27" s="511">
        <v>2437832</v>
      </c>
      <c r="F27" s="511">
        <v>3981272</v>
      </c>
      <c r="G27" s="511">
        <v>3997029</v>
      </c>
      <c r="H27" s="511">
        <v>3818011</v>
      </c>
      <c r="I27" s="511">
        <v>4469414</v>
      </c>
      <c r="J27" s="511">
        <v>4583550</v>
      </c>
      <c r="K27" s="511">
        <v>4329400</v>
      </c>
    </row>
    <row r="28" spans="1:11" x14ac:dyDescent="0.35">
      <c r="A28" s="509" t="s">
        <v>556</v>
      </c>
      <c r="B28" s="511">
        <v>1065128</v>
      </c>
      <c r="C28" s="511">
        <v>75813</v>
      </c>
      <c r="D28" s="533" t="s">
        <v>690</v>
      </c>
      <c r="E28" s="533" t="s">
        <v>690</v>
      </c>
      <c r="F28" s="533" t="s">
        <v>690</v>
      </c>
      <c r="G28" s="533" t="s">
        <v>690</v>
      </c>
      <c r="H28" s="533" t="s">
        <v>690</v>
      </c>
      <c r="I28" s="533" t="s">
        <v>690</v>
      </c>
      <c r="J28" s="533" t="s">
        <v>690</v>
      </c>
      <c r="K28" s="533" t="s">
        <v>690</v>
      </c>
    </row>
    <row r="29" spans="1:11" x14ac:dyDescent="0.35">
      <c r="A29" s="509" t="s">
        <v>560</v>
      </c>
      <c r="B29" s="533" t="s">
        <v>690</v>
      </c>
      <c r="C29" s="511">
        <v>989525</v>
      </c>
      <c r="D29" s="511">
        <v>999585</v>
      </c>
      <c r="E29" s="511">
        <v>732597</v>
      </c>
      <c r="F29" s="511">
        <v>3343930</v>
      </c>
      <c r="G29" s="511">
        <v>3301414</v>
      </c>
      <c r="H29" s="511">
        <v>3268132</v>
      </c>
      <c r="I29" s="511">
        <v>3354964</v>
      </c>
      <c r="J29" s="511">
        <v>3334096</v>
      </c>
      <c r="K29" s="511">
        <v>3331975</v>
      </c>
    </row>
    <row r="30" spans="1:11" x14ac:dyDescent="0.35">
      <c r="A30" s="509" t="s">
        <v>631</v>
      </c>
      <c r="B30" s="511">
        <v>55354</v>
      </c>
      <c r="C30" s="511">
        <v>-768311</v>
      </c>
      <c r="D30" s="511">
        <v>-102481</v>
      </c>
      <c r="E30" s="511">
        <v>318317</v>
      </c>
      <c r="F30" s="511">
        <v>219236</v>
      </c>
      <c r="G30" s="511">
        <v>171647</v>
      </c>
      <c r="H30" s="511">
        <v>7626</v>
      </c>
      <c r="I30" s="511">
        <v>505522</v>
      </c>
      <c r="J30" s="511">
        <v>793989</v>
      </c>
      <c r="K30" s="511">
        <v>338762</v>
      </c>
    </row>
    <row r="31" spans="1:11" x14ac:dyDescent="0.35">
      <c r="A31" s="509" t="s">
        <v>748</v>
      </c>
      <c r="B31" s="511">
        <v>8844146</v>
      </c>
      <c r="C31" s="511">
        <v>8016103</v>
      </c>
      <c r="D31" s="511">
        <v>8468275</v>
      </c>
      <c r="E31" s="511">
        <v>8157927</v>
      </c>
      <c r="F31" s="511">
        <v>15458278</v>
      </c>
      <c r="G31" s="511">
        <v>14824703</v>
      </c>
      <c r="H31" s="511">
        <v>14004291</v>
      </c>
      <c r="I31" s="511">
        <v>15337984</v>
      </c>
      <c r="J31" s="511">
        <v>15460259</v>
      </c>
      <c r="K31" s="511">
        <v>14683476</v>
      </c>
    </row>
    <row r="32" spans="1:11" x14ac:dyDescent="0.35">
      <c r="A32" s="509" t="s">
        <v>864</v>
      </c>
      <c r="B32" s="511">
        <v>795429</v>
      </c>
      <c r="C32" s="511">
        <v>1756061</v>
      </c>
      <c r="D32" s="511">
        <v>1499227</v>
      </c>
      <c r="E32" s="511">
        <v>1917966</v>
      </c>
      <c r="F32" s="511">
        <v>3670842</v>
      </c>
      <c r="G32" s="511">
        <v>1984963</v>
      </c>
      <c r="H32" s="511">
        <v>4434255</v>
      </c>
      <c r="I32" s="511">
        <v>4069436</v>
      </c>
      <c r="J32" s="511">
        <v>3170351</v>
      </c>
      <c r="K32" s="511">
        <v>3602159</v>
      </c>
    </row>
    <row r="33" spans="1:11" x14ac:dyDescent="0.35">
      <c r="A33" s="509" t="s">
        <v>73</v>
      </c>
      <c r="B33" s="533"/>
      <c r="C33" s="533"/>
      <c r="D33" s="533"/>
      <c r="E33" s="533"/>
      <c r="F33" s="533"/>
      <c r="G33" s="533"/>
      <c r="H33" s="533"/>
      <c r="I33" s="533"/>
      <c r="J33" s="533"/>
      <c r="K33" s="533"/>
    </row>
    <row r="34" spans="1:11" x14ac:dyDescent="0.35">
      <c r="A34" s="509" t="s">
        <v>408</v>
      </c>
      <c r="B34" s="511">
        <v>-64464</v>
      </c>
      <c r="C34" s="511">
        <v>-23690</v>
      </c>
      <c r="D34" s="511">
        <v>-197094</v>
      </c>
      <c r="E34" s="511">
        <v>-82058</v>
      </c>
      <c r="F34" s="511">
        <v>-1087617</v>
      </c>
      <c r="G34" s="511">
        <v>-1761269</v>
      </c>
      <c r="H34" s="511">
        <v>-877200</v>
      </c>
      <c r="I34" s="511">
        <v>-766595</v>
      </c>
      <c r="J34" s="511">
        <v>-1095542</v>
      </c>
      <c r="K34" s="511">
        <v>-548150</v>
      </c>
    </row>
    <row r="35" spans="1:11" x14ac:dyDescent="0.35">
      <c r="A35" s="509" t="s">
        <v>558</v>
      </c>
      <c r="B35" s="511">
        <v>59048</v>
      </c>
      <c r="C35" s="511">
        <v>69130</v>
      </c>
      <c r="D35" s="511">
        <v>51082</v>
      </c>
      <c r="E35" s="511">
        <v>78889</v>
      </c>
      <c r="F35" s="511">
        <v>264849</v>
      </c>
      <c r="G35" s="511">
        <v>313407</v>
      </c>
      <c r="H35" s="533" t="s">
        <v>690</v>
      </c>
      <c r="I35" s="511">
        <v>122936</v>
      </c>
      <c r="J35" s="533" t="s">
        <v>690</v>
      </c>
      <c r="K35" s="533" t="s">
        <v>690</v>
      </c>
    </row>
    <row r="36" spans="1:11" x14ac:dyDescent="0.35">
      <c r="A36" s="509" t="s">
        <v>750</v>
      </c>
      <c r="B36" s="511">
        <v>-5415</v>
      </c>
      <c r="C36" s="511">
        <v>45439</v>
      </c>
      <c r="D36" s="511">
        <v>-146011</v>
      </c>
      <c r="E36" s="511">
        <v>-3169</v>
      </c>
      <c r="F36" s="511">
        <v>-822768</v>
      </c>
      <c r="G36" s="511">
        <v>-1447862</v>
      </c>
      <c r="H36" s="511">
        <v>-877200</v>
      </c>
      <c r="I36" s="511">
        <v>-643659</v>
      </c>
      <c r="J36" s="511">
        <v>-1095542</v>
      </c>
      <c r="K36" s="511">
        <v>-548150</v>
      </c>
    </row>
    <row r="37" spans="1:11" x14ac:dyDescent="0.35">
      <c r="A37" s="509" t="s">
        <v>632</v>
      </c>
      <c r="B37" s="511">
        <v>3397</v>
      </c>
      <c r="C37" s="511">
        <v>-6825</v>
      </c>
      <c r="D37" s="511">
        <v>-272938</v>
      </c>
      <c r="E37" s="511">
        <v>-328585</v>
      </c>
      <c r="F37" s="511">
        <v>-121019</v>
      </c>
      <c r="G37" s="511">
        <v>-138819</v>
      </c>
      <c r="H37" s="511">
        <v>21829</v>
      </c>
      <c r="I37" s="511">
        <v>-96098</v>
      </c>
      <c r="J37" s="511">
        <v>-18242</v>
      </c>
      <c r="K37" s="511">
        <v>3317</v>
      </c>
    </row>
    <row r="38" spans="1:11" x14ac:dyDescent="0.35">
      <c r="A38" s="509" t="s">
        <v>633</v>
      </c>
      <c r="B38" s="511">
        <v>-8514</v>
      </c>
      <c r="C38" s="511">
        <v>-74130</v>
      </c>
      <c r="D38" s="511">
        <v>15003</v>
      </c>
      <c r="E38" s="511">
        <v>-78881</v>
      </c>
      <c r="F38" s="511">
        <v>57432</v>
      </c>
      <c r="G38" s="511">
        <v>90173</v>
      </c>
      <c r="H38" s="511">
        <v>-749607</v>
      </c>
      <c r="I38" s="511">
        <v>-28318</v>
      </c>
      <c r="J38" s="511">
        <v>-64162</v>
      </c>
      <c r="K38" s="511">
        <v>-83147</v>
      </c>
    </row>
    <row r="39" spans="1:11" x14ac:dyDescent="0.35">
      <c r="A39" s="509" t="s">
        <v>634</v>
      </c>
      <c r="B39" s="511">
        <v>-118119</v>
      </c>
      <c r="C39" s="511">
        <v>-57322</v>
      </c>
      <c r="D39" s="511">
        <v>-24659</v>
      </c>
      <c r="E39" s="533">
        <v>-223</v>
      </c>
      <c r="F39" s="511">
        <v>-213786</v>
      </c>
      <c r="G39" s="511">
        <v>6316</v>
      </c>
      <c r="H39" s="511">
        <v>640615</v>
      </c>
      <c r="I39" s="511">
        <v>-181930</v>
      </c>
      <c r="J39" s="511">
        <v>26215</v>
      </c>
      <c r="K39" s="511">
        <v>-192541</v>
      </c>
    </row>
    <row r="40" spans="1:11" x14ac:dyDescent="0.35">
      <c r="A40" s="509" t="s">
        <v>865</v>
      </c>
      <c r="B40" s="511">
        <v>666777</v>
      </c>
      <c r="C40" s="511">
        <v>1663224</v>
      </c>
      <c r="D40" s="511">
        <v>1070621</v>
      </c>
      <c r="E40" s="511">
        <v>1507109</v>
      </c>
      <c r="F40" s="511">
        <v>2570701</v>
      </c>
      <c r="G40" s="511">
        <v>494771</v>
      </c>
      <c r="H40" s="511">
        <v>3469893</v>
      </c>
      <c r="I40" s="511">
        <v>3119431</v>
      </c>
      <c r="J40" s="511">
        <v>2018620</v>
      </c>
      <c r="K40" s="511">
        <v>2781639</v>
      </c>
    </row>
    <row r="41" spans="1:11" x14ac:dyDescent="0.35">
      <c r="A41" s="509" t="s">
        <v>635</v>
      </c>
      <c r="B41" s="511">
        <v>-232223</v>
      </c>
      <c r="C41" s="511">
        <v>-214656</v>
      </c>
      <c r="D41" s="511">
        <v>-355047</v>
      </c>
      <c r="E41" s="511">
        <v>-192095</v>
      </c>
      <c r="F41" s="511">
        <v>-191484</v>
      </c>
      <c r="G41" s="511">
        <v>-1091253</v>
      </c>
      <c r="H41" s="511">
        <v>-682001</v>
      </c>
      <c r="I41" s="511">
        <v>-458594</v>
      </c>
      <c r="J41" s="511">
        <v>-136917</v>
      </c>
      <c r="K41" s="511">
        <v>-496962</v>
      </c>
    </row>
    <row r="42" spans="1:11" x14ac:dyDescent="0.35">
      <c r="A42" s="509" t="s">
        <v>636</v>
      </c>
      <c r="B42" s="533" t="s">
        <v>690</v>
      </c>
      <c r="C42" s="533" t="s">
        <v>690</v>
      </c>
      <c r="D42" s="511">
        <v>-25260</v>
      </c>
      <c r="E42" s="511">
        <v>-331516</v>
      </c>
      <c r="F42" s="511">
        <v>-3290998</v>
      </c>
      <c r="G42" s="511">
        <v>1093175</v>
      </c>
      <c r="H42" s="533" t="s">
        <v>690</v>
      </c>
      <c r="I42" s="533" t="s">
        <v>690</v>
      </c>
      <c r="J42" s="533" t="s">
        <v>690</v>
      </c>
      <c r="K42" s="533" t="s">
        <v>690</v>
      </c>
    </row>
    <row r="43" spans="1:11" x14ac:dyDescent="0.35">
      <c r="A43" s="509" t="s">
        <v>637</v>
      </c>
      <c r="B43" s="511">
        <v>53916</v>
      </c>
      <c r="C43" s="511">
        <v>105986</v>
      </c>
      <c r="D43" s="511">
        <v>137462</v>
      </c>
      <c r="E43" s="511">
        <v>58867</v>
      </c>
      <c r="F43" s="511">
        <v>17671</v>
      </c>
      <c r="G43" s="511">
        <v>-17708</v>
      </c>
      <c r="H43" s="533" t="s">
        <v>690</v>
      </c>
      <c r="I43" s="511">
        <v>61541</v>
      </c>
      <c r="J43" s="511">
        <v>147832</v>
      </c>
      <c r="K43" s="511">
        <v>-118502</v>
      </c>
    </row>
    <row r="44" spans="1:11" x14ac:dyDescent="0.35">
      <c r="A44" s="509" t="s">
        <v>638</v>
      </c>
      <c r="B44" s="511">
        <v>244440</v>
      </c>
      <c r="C44" s="511">
        <v>29565</v>
      </c>
      <c r="D44" s="511">
        <v>1067758</v>
      </c>
      <c r="E44" s="511">
        <v>203990</v>
      </c>
      <c r="F44" s="511">
        <v>769647</v>
      </c>
      <c r="G44" s="511">
        <v>379991</v>
      </c>
      <c r="H44" s="511">
        <v>1524447</v>
      </c>
      <c r="I44" s="511">
        <v>59233</v>
      </c>
      <c r="J44" s="511">
        <v>58701</v>
      </c>
      <c r="K44" s="511">
        <v>85975</v>
      </c>
    </row>
    <row r="45" spans="1:11" x14ac:dyDescent="0.35">
      <c r="A45" s="509" t="s">
        <v>639</v>
      </c>
      <c r="B45" s="511">
        <v>-20343</v>
      </c>
      <c r="C45" s="511">
        <v>-111536</v>
      </c>
      <c r="D45" s="511">
        <v>-128643</v>
      </c>
      <c r="E45" s="511">
        <v>-154063</v>
      </c>
      <c r="F45" s="511">
        <v>-170714</v>
      </c>
      <c r="G45" s="511">
        <v>-367737</v>
      </c>
      <c r="H45" s="511">
        <v>-111849</v>
      </c>
      <c r="I45" s="511">
        <v>-699351</v>
      </c>
      <c r="J45" s="511">
        <v>-922069</v>
      </c>
      <c r="K45" s="511">
        <v>-299363</v>
      </c>
    </row>
    <row r="46" spans="1:11" x14ac:dyDescent="0.35">
      <c r="A46" s="509" t="s">
        <v>660</v>
      </c>
      <c r="B46" s="533" t="s">
        <v>690</v>
      </c>
      <c r="C46" s="533" t="s">
        <v>690</v>
      </c>
      <c r="D46" s="533" t="s">
        <v>690</v>
      </c>
      <c r="E46" s="533" t="s">
        <v>690</v>
      </c>
      <c r="F46" s="511">
        <v>74021</v>
      </c>
      <c r="G46" s="533">
        <v>386</v>
      </c>
      <c r="H46" s="511">
        <v>3690</v>
      </c>
      <c r="I46" s="533" t="s">
        <v>690</v>
      </c>
      <c r="J46" s="533" t="s">
        <v>690</v>
      </c>
      <c r="K46" s="533" t="s">
        <v>690</v>
      </c>
    </row>
    <row r="47" spans="1:11" x14ac:dyDescent="0.35">
      <c r="A47" s="509" t="s">
        <v>640</v>
      </c>
      <c r="B47" s="511">
        <v>-2041448</v>
      </c>
      <c r="C47" s="533" t="s">
        <v>690</v>
      </c>
      <c r="D47" s="533" t="s">
        <v>690</v>
      </c>
      <c r="E47" s="533" t="s">
        <v>690</v>
      </c>
      <c r="F47" s="533" t="s">
        <v>690</v>
      </c>
      <c r="G47" s="533" t="s">
        <v>690</v>
      </c>
      <c r="H47" s="511">
        <v>-134032</v>
      </c>
      <c r="I47" s="511">
        <v>-147423</v>
      </c>
      <c r="J47" s="511">
        <v>-108519</v>
      </c>
      <c r="K47" s="511">
        <v>-276170</v>
      </c>
    </row>
    <row r="48" spans="1:11" x14ac:dyDescent="0.35">
      <c r="A48" s="509" t="s">
        <v>641</v>
      </c>
      <c r="B48" s="533" t="s">
        <v>690</v>
      </c>
      <c r="C48" s="511">
        <v>-16408</v>
      </c>
      <c r="D48" s="511">
        <v>-7845</v>
      </c>
      <c r="E48" s="511">
        <v>-35638</v>
      </c>
      <c r="F48" s="511">
        <v>18221</v>
      </c>
      <c r="G48" s="511">
        <v>482418</v>
      </c>
      <c r="H48" s="511">
        <v>-315174</v>
      </c>
      <c r="I48" s="511">
        <v>46827</v>
      </c>
      <c r="J48" s="511">
        <v>-80095</v>
      </c>
      <c r="K48" s="511">
        <v>-242006</v>
      </c>
    </row>
    <row r="49" spans="1:11" x14ac:dyDescent="0.35">
      <c r="A49" s="509" t="s">
        <v>866</v>
      </c>
      <c r="B49" s="511">
        <v>-1328883</v>
      </c>
      <c r="C49" s="511">
        <v>1456176</v>
      </c>
      <c r="D49" s="511">
        <v>1759044</v>
      </c>
      <c r="E49" s="511">
        <v>1056654</v>
      </c>
      <c r="F49" s="511">
        <v>-202934</v>
      </c>
      <c r="G49" s="511">
        <v>974043</v>
      </c>
      <c r="H49" s="511">
        <v>3754973</v>
      </c>
      <c r="I49" s="511">
        <v>1981663</v>
      </c>
      <c r="J49" s="511">
        <v>977552</v>
      </c>
      <c r="K49" s="511">
        <v>1434610</v>
      </c>
    </row>
    <row r="50" spans="1:11" x14ac:dyDescent="0.35">
      <c r="A50" s="509" t="s">
        <v>73</v>
      </c>
      <c r="B50" s="533"/>
      <c r="C50" s="533"/>
      <c r="D50" s="533"/>
      <c r="E50" s="533"/>
      <c r="F50" s="533"/>
      <c r="G50" s="533"/>
      <c r="H50" s="533"/>
      <c r="I50" s="533"/>
      <c r="J50" s="533"/>
      <c r="K50" s="533"/>
    </row>
    <row r="51" spans="1:11" x14ac:dyDescent="0.35">
      <c r="A51" s="509" t="s">
        <v>559</v>
      </c>
      <c r="B51" s="511">
        <v>-516835</v>
      </c>
      <c r="C51" s="511">
        <v>329983</v>
      </c>
      <c r="D51" s="511">
        <v>270898</v>
      </c>
      <c r="E51" s="511">
        <v>209653</v>
      </c>
      <c r="F51" s="511">
        <v>-313216</v>
      </c>
      <c r="G51" s="511">
        <v>-509168</v>
      </c>
      <c r="H51" s="511">
        <v>375970</v>
      </c>
      <c r="I51" s="511">
        <v>-10150</v>
      </c>
      <c r="J51" s="511">
        <v>-198501</v>
      </c>
      <c r="K51" s="511">
        <v>162567</v>
      </c>
    </row>
    <row r="52" spans="1:11" x14ac:dyDescent="0.35">
      <c r="A52" s="509" t="s">
        <v>753</v>
      </c>
      <c r="B52" s="511">
        <v>-812047</v>
      </c>
      <c r="C52" s="511">
        <v>1126193</v>
      </c>
      <c r="D52" s="511">
        <v>1488147</v>
      </c>
      <c r="E52" s="511">
        <v>847000</v>
      </c>
      <c r="F52" s="511">
        <v>110282</v>
      </c>
      <c r="G52" s="511">
        <v>1483211</v>
      </c>
      <c r="H52" s="511">
        <v>3379002</v>
      </c>
      <c r="I52" s="511">
        <v>1991813</v>
      </c>
      <c r="J52" s="511">
        <v>1176053</v>
      </c>
      <c r="K52" s="511">
        <v>1272043</v>
      </c>
    </row>
    <row r="53" spans="1:11" x14ac:dyDescent="0.35">
      <c r="A53" s="509" t="s">
        <v>754</v>
      </c>
      <c r="B53" s="511">
        <v>-812047</v>
      </c>
      <c r="C53" s="511">
        <v>1126193</v>
      </c>
      <c r="D53" s="511">
        <v>1488147</v>
      </c>
      <c r="E53" s="511">
        <v>847000</v>
      </c>
      <c r="F53" s="511">
        <v>110282</v>
      </c>
      <c r="G53" s="511">
        <v>1483211</v>
      </c>
      <c r="H53" s="511">
        <v>3379002</v>
      </c>
      <c r="I53" s="511">
        <v>1991813</v>
      </c>
      <c r="J53" s="511">
        <v>1176053</v>
      </c>
      <c r="K53" s="511">
        <v>1272043</v>
      </c>
    </row>
    <row r="54" spans="1:11" x14ac:dyDescent="0.35">
      <c r="A54" s="509" t="s">
        <v>642</v>
      </c>
      <c r="B54" s="511">
        <v>-21304</v>
      </c>
      <c r="C54" s="511">
        <v>-24632</v>
      </c>
      <c r="D54" s="511">
        <v>15873</v>
      </c>
      <c r="E54" s="533">
        <v>315</v>
      </c>
      <c r="F54" s="511">
        <v>-1475</v>
      </c>
      <c r="G54" s="533">
        <v>345</v>
      </c>
      <c r="H54" s="511">
        <v>-1309</v>
      </c>
      <c r="I54" s="533">
        <v>-15</v>
      </c>
      <c r="J54" s="533">
        <v>-712</v>
      </c>
      <c r="K54" s="511">
        <v>-1112</v>
      </c>
    </row>
    <row r="55" spans="1:11" x14ac:dyDescent="0.35">
      <c r="A55" s="509" t="s">
        <v>867</v>
      </c>
      <c r="B55" s="511">
        <v>-833352</v>
      </c>
      <c r="C55" s="511">
        <v>1101561</v>
      </c>
      <c r="D55" s="511">
        <v>1504019</v>
      </c>
      <c r="E55" s="511">
        <v>847315</v>
      </c>
      <c r="F55" s="511">
        <v>108807</v>
      </c>
      <c r="G55" s="511">
        <v>1483556</v>
      </c>
      <c r="H55" s="511">
        <v>3377693</v>
      </c>
      <c r="I55" s="511">
        <v>1991798</v>
      </c>
      <c r="J55" s="511">
        <v>1175340</v>
      </c>
      <c r="K55" s="511">
        <v>1270931</v>
      </c>
    </row>
    <row r="56" spans="1:11" x14ac:dyDescent="0.35">
      <c r="A56" s="509" t="s">
        <v>755</v>
      </c>
      <c r="B56" s="511">
        <v>-833352</v>
      </c>
      <c r="C56" s="511">
        <v>1101561</v>
      </c>
      <c r="D56" s="511">
        <v>1504019</v>
      </c>
      <c r="E56" s="511">
        <v>847315</v>
      </c>
      <c r="F56" s="511">
        <v>108807</v>
      </c>
      <c r="G56" s="511">
        <v>1483556</v>
      </c>
      <c r="H56" s="511">
        <v>3377693</v>
      </c>
      <c r="I56" s="511">
        <v>1991798</v>
      </c>
      <c r="J56" s="511">
        <v>1175340</v>
      </c>
      <c r="K56" s="511">
        <v>1270931</v>
      </c>
    </row>
    <row r="57" spans="1:11" x14ac:dyDescent="0.35">
      <c r="A57" s="509" t="s">
        <v>756</v>
      </c>
      <c r="B57" s="511">
        <v>-833352</v>
      </c>
      <c r="C57" s="511">
        <v>1101561</v>
      </c>
      <c r="D57" s="511">
        <v>1504019</v>
      </c>
      <c r="E57" s="511">
        <v>847315</v>
      </c>
      <c r="F57" s="511">
        <v>108807</v>
      </c>
      <c r="G57" s="511">
        <v>1483556</v>
      </c>
      <c r="H57" s="511">
        <v>3377693</v>
      </c>
      <c r="I57" s="511">
        <v>1991798</v>
      </c>
      <c r="J57" s="511">
        <v>1175340</v>
      </c>
      <c r="K57" s="511">
        <v>1270931</v>
      </c>
    </row>
    <row r="58" spans="1:11" ht="13.15" x14ac:dyDescent="0.35">
      <c r="A58" s="517" t="s">
        <v>757</v>
      </c>
      <c r="B58" s="533"/>
      <c r="C58" s="533"/>
      <c r="D58" s="533"/>
      <c r="E58" s="533"/>
      <c r="F58" s="533"/>
      <c r="G58" s="533"/>
      <c r="H58" s="533"/>
      <c r="I58" s="533"/>
      <c r="J58" s="533"/>
      <c r="K58" s="533"/>
    </row>
    <row r="59" spans="1:11" x14ac:dyDescent="0.35">
      <c r="A59" s="509" t="s">
        <v>758</v>
      </c>
      <c r="B59" s="533">
        <v>-1.06</v>
      </c>
      <c r="C59" s="533">
        <v>1.41</v>
      </c>
      <c r="D59" s="533">
        <v>1.93</v>
      </c>
      <c r="E59" s="533">
        <v>1.08</v>
      </c>
      <c r="F59" s="533">
        <v>7.0000000000000007E-2</v>
      </c>
      <c r="G59" s="533">
        <v>0.95</v>
      </c>
      <c r="H59" s="533">
        <v>2.16</v>
      </c>
      <c r="I59" s="533">
        <v>1.28</v>
      </c>
      <c r="J59" s="533">
        <v>0.75</v>
      </c>
      <c r="K59" s="533">
        <v>0.81</v>
      </c>
    </row>
    <row r="60" spans="1:11" x14ac:dyDescent="0.35">
      <c r="A60" s="509" t="s">
        <v>759</v>
      </c>
      <c r="B60" s="533">
        <v>-1.06</v>
      </c>
      <c r="C60" s="533">
        <v>1.41</v>
      </c>
      <c r="D60" s="533">
        <v>1.93</v>
      </c>
      <c r="E60" s="533">
        <v>1.08</v>
      </c>
      <c r="F60" s="533">
        <v>7.0000000000000007E-2</v>
      </c>
      <c r="G60" s="533">
        <v>0.95</v>
      </c>
      <c r="H60" s="533">
        <v>2.16</v>
      </c>
      <c r="I60" s="533">
        <v>1.28</v>
      </c>
      <c r="J60" s="533">
        <v>0.75</v>
      </c>
      <c r="K60" s="533">
        <v>0.81</v>
      </c>
    </row>
    <row r="61" spans="1:11" x14ac:dyDescent="0.35">
      <c r="A61" s="509" t="s">
        <v>760</v>
      </c>
      <c r="B61" s="511">
        <v>784520500</v>
      </c>
      <c r="C61" s="511">
        <v>781783500</v>
      </c>
      <c r="D61" s="511">
        <v>780703903</v>
      </c>
      <c r="E61" s="511">
        <v>782922640</v>
      </c>
      <c r="F61" s="511">
        <v>1541640861</v>
      </c>
      <c r="G61" s="511">
        <v>1560625500</v>
      </c>
      <c r="H61" s="511">
        <v>1565853500</v>
      </c>
      <c r="I61" s="511">
        <v>1551697500</v>
      </c>
      <c r="J61" s="511">
        <v>1560890578</v>
      </c>
      <c r="K61" s="511">
        <v>1576127666</v>
      </c>
    </row>
    <row r="62" spans="1:11" x14ac:dyDescent="0.35">
      <c r="A62" s="509" t="s">
        <v>761</v>
      </c>
      <c r="B62" s="533">
        <v>-1.06</v>
      </c>
      <c r="C62" s="533">
        <v>1.4</v>
      </c>
      <c r="D62" s="533">
        <v>1.91</v>
      </c>
      <c r="E62" s="533">
        <v>1.07</v>
      </c>
      <c r="F62" s="533">
        <v>7.0000000000000007E-2</v>
      </c>
      <c r="G62" s="533">
        <v>0.94</v>
      </c>
      <c r="H62" s="533">
        <v>2.14</v>
      </c>
      <c r="I62" s="533">
        <v>1.27</v>
      </c>
      <c r="J62" s="533">
        <v>0.74</v>
      </c>
      <c r="K62" s="533">
        <v>0.8</v>
      </c>
    </row>
    <row r="63" spans="1:11" x14ac:dyDescent="0.35">
      <c r="A63" s="509" t="s">
        <v>762</v>
      </c>
      <c r="B63" s="533">
        <v>-1.06</v>
      </c>
      <c r="C63" s="533">
        <v>1.4</v>
      </c>
      <c r="D63" s="533">
        <v>1.91</v>
      </c>
      <c r="E63" s="533">
        <v>1.07</v>
      </c>
      <c r="F63" s="533">
        <v>7.0000000000000007E-2</v>
      </c>
      <c r="G63" s="533">
        <v>0.94</v>
      </c>
      <c r="H63" s="533">
        <v>2.14</v>
      </c>
      <c r="I63" s="533">
        <v>1.27</v>
      </c>
      <c r="J63" s="533">
        <v>0.74</v>
      </c>
      <c r="K63" s="533">
        <v>0.8</v>
      </c>
    </row>
    <row r="64" spans="1:11" x14ac:dyDescent="0.35">
      <c r="A64" s="509" t="s">
        <v>763</v>
      </c>
      <c r="B64" s="511">
        <v>784520500</v>
      </c>
      <c r="C64" s="511">
        <v>784611500</v>
      </c>
      <c r="D64" s="511">
        <v>786493533</v>
      </c>
      <c r="E64" s="511">
        <v>788333062</v>
      </c>
      <c r="F64" s="511">
        <v>1548728939</v>
      </c>
      <c r="G64" s="511">
        <v>1573197000</v>
      </c>
      <c r="H64" s="511">
        <v>1576831750</v>
      </c>
      <c r="I64" s="511">
        <v>1567883250</v>
      </c>
      <c r="J64" s="511">
        <v>1579950794</v>
      </c>
      <c r="K64" s="511">
        <v>1598496434</v>
      </c>
    </row>
    <row r="65" spans="1:11" x14ac:dyDescent="0.35">
      <c r="A65" s="509" t="s">
        <v>764</v>
      </c>
      <c r="B65" s="533">
        <v>0.5</v>
      </c>
      <c r="C65" s="533">
        <v>1.3</v>
      </c>
      <c r="D65" s="533">
        <v>0.88</v>
      </c>
      <c r="E65" s="533">
        <v>1.2</v>
      </c>
      <c r="F65" s="533">
        <v>1.04</v>
      </c>
      <c r="G65" s="533">
        <v>0.2</v>
      </c>
      <c r="H65" s="533">
        <v>1.38</v>
      </c>
      <c r="I65" s="533">
        <v>1.26</v>
      </c>
      <c r="J65" s="533">
        <v>0.81</v>
      </c>
      <c r="K65" s="533">
        <v>1.1000000000000001</v>
      </c>
    </row>
    <row r="66" spans="1:11" x14ac:dyDescent="0.35">
      <c r="A66" s="509" t="s">
        <v>765</v>
      </c>
      <c r="B66" s="533">
        <v>0.5</v>
      </c>
      <c r="C66" s="533">
        <v>1.29</v>
      </c>
      <c r="D66" s="533">
        <v>0.87</v>
      </c>
      <c r="E66" s="533">
        <v>1.2</v>
      </c>
      <c r="F66" s="533">
        <v>1.04</v>
      </c>
      <c r="G66" s="533">
        <v>0.2</v>
      </c>
      <c r="H66" s="533">
        <v>1.37</v>
      </c>
      <c r="I66" s="533">
        <v>1.24</v>
      </c>
      <c r="J66" s="533">
        <v>0.8</v>
      </c>
      <c r="K66" s="533">
        <v>1.0900000000000001</v>
      </c>
    </row>
    <row r="67" spans="1:11" x14ac:dyDescent="0.35">
      <c r="A67" s="509" t="s">
        <v>766</v>
      </c>
      <c r="B67" s="533">
        <v>1.34</v>
      </c>
      <c r="C67" s="533">
        <v>1.5</v>
      </c>
      <c r="D67" s="533">
        <v>1.42</v>
      </c>
      <c r="E67" s="533">
        <v>1.38</v>
      </c>
      <c r="F67" s="533">
        <v>1.48</v>
      </c>
      <c r="G67" s="533">
        <v>1.48</v>
      </c>
      <c r="H67" s="533">
        <v>1.39</v>
      </c>
      <c r="I67" s="533">
        <v>1.31</v>
      </c>
      <c r="J67" s="533">
        <v>1.21</v>
      </c>
      <c r="K67" s="533">
        <v>1.17</v>
      </c>
    </row>
    <row r="68" spans="1:11" x14ac:dyDescent="0.35">
      <c r="A68" s="509" t="s">
        <v>767</v>
      </c>
      <c r="B68" s="533" t="s">
        <v>768</v>
      </c>
      <c r="C68" s="533">
        <v>107.27</v>
      </c>
      <c r="D68" s="533" t="s">
        <v>690</v>
      </c>
      <c r="E68" s="533">
        <v>128.88999999999999</v>
      </c>
      <c r="F68" s="533" t="s">
        <v>768</v>
      </c>
      <c r="G68" s="533">
        <v>156.68</v>
      </c>
      <c r="H68" s="533">
        <v>64.239999999999995</v>
      </c>
      <c r="I68" s="533">
        <v>101.86</v>
      </c>
      <c r="J68" s="533">
        <v>161.87</v>
      </c>
      <c r="K68" s="533">
        <v>145.09</v>
      </c>
    </row>
    <row r="69" spans="1:11" x14ac:dyDescent="0.35">
      <c r="A69" s="509" t="s">
        <v>769</v>
      </c>
      <c r="B69" s="533">
        <v>1</v>
      </c>
      <c r="C69" s="533">
        <v>1</v>
      </c>
      <c r="D69" s="533">
        <v>1</v>
      </c>
      <c r="E69" s="533">
        <v>1</v>
      </c>
      <c r="F69" s="533">
        <v>1</v>
      </c>
      <c r="G69" s="533">
        <v>1</v>
      </c>
      <c r="H69" s="533">
        <v>1</v>
      </c>
      <c r="I69" s="533">
        <v>1</v>
      </c>
      <c r="J69" s="533">
        <v>1</v>
      </c>
      <c r="K69" s="533">
        <v>1</v>
      </c>
    </row>
    <row r="70" spans="1:11" ht="13.15" x14ac:dyDescent="0.35">
      <c r="A70" s="517" t="s">
        <v>770</v>
      </c>
      <c r="B70" s="533"/>
      <c r="C70" s="533"/>
      <c r="D70" s="533"/>
      <c r="E70" s="533"/>
      <c r="F70" s="533"/>
      <c r="G70" s="533"/>
      <c r="H70" s="533"/>
      <c r="I70" s="533"/>
      <c r="J70" s="533"/>
      <c r="K70" s="533"/>
    </row>
    <row r="71" spans="1:11" x14ac:dyDescent="0.35">
      <c r="A71" s="509" t="s">
        <v>771</v>
      </c>
      <c r="B71" s="511">
        <v>2478311</v>
      </c>
      <c r="C71" s="511">
        <v>3240361</v>
      </c>
      <c r="D71" s="511">
        <v>2889704</v>
      </c>
      <c r="E71" s="511">
        <v>3051337</v>
      </c>
      <c r="F71" s="511">
        <v>8224196</v>
      </c>
      <c r="G71" s="511">
        <v>6062441</v>
      </c>
      <c r="H71" s="511">
        <v>8314425</v>
      </c>
      <c r="I71" s="511">
        <v>8313452</v>
      </c>
      <c r="J71" s="511">
        <v>7320212</v>
      </c>
      <c r="K71" s="511">
        <v>7724248</v>
      </c>
    </row>
    <row r="72" spans="1:11" x14ac:dyDescent="0.35">
      <c r="A72" s="509" t="s">
        <v>772</v>
      </c>
      <c r="B72" s="511">
        <v>795429</v>
      </c>
      <c r="C72" s="511">
        <v>2773752</v>
      </c>
      <c r="D72" s="511">
        <v>1499227</v>
      </c>
      <c r="E72" s="511">
        <v>2651553</v>
      </c>
      <c r="F72" s="511">
        <v>7015707</v>
      </c>
      <c r="G72" s="511">
        <v>5325471</v>
      </c>
      <c r="H72" s="511">
        <v>7702440</v>
      </c>
      <c r="I72" s="511">
        <v>7424937</v>
      </c>
      <c r="J72" s="511">
        <v>7293813</v>
      </c>
      <c r="K72" s="511">
        <v>6382894</v>
      </c>
    </row>
    <row r="73" spans="1:11" x14ac:dyDescent="0.35">
      <c r="A73" s="509" t="s">
        <v>58</v>
      </c>
      <c r="B73" s="511">
        <v>795429</v>
      </c>
      <c r="C73" s="511">
        <v>1756061</v>
      </c>
      <c r="D73" s="511">
        <v>1499227</v>
      </c>
      <c r="E73" s="511">
        <v>1917966</v>
      </c>
      <c r="F73" s="511">
        <v>3670842</v>
      </c>
      <c r="G73" s="511">
        <v>1984963</v>
      </c>
      <c r="H73" s="511">
        <v>4434255</v>
      </c>
      <c r="I73" s="511">
        <v>4069436</v>
      </c>
      <c r="J73" s="511">
        <v>3170351</v>
      </c>
      <c r="K73" s="511">
        <v>3602159</v>
      </c>
    </row>
    <row r="74" spans="1:11" x14ac:dyDescent="0.35">
      <c r="A74" s="509" t="s">
        <v>775</v>
      </c>
      <c r="B74" s="533">
        <v>38.89</v>
      </c>
      <c r="C74" s="533">
        <v>22.66</v>
      </c>
      <c r="D74" s="533">
        <v>15.4</v>
      </c>
      <c r="E74" s="533">
        <v>19.84</v>
      </c>
      <c r="F74" s="533">
        <v>154.34</v>
      </c>
      <c r="G74" s="533" t="s">
        <v>768</v>
      </c>
      <c r="H74" s="533">
        <v>10.01</v>
      </c>
      <c r="I74" s="533" t="s">
        <v>768</v>
      </c>
      <c r="J74" s="533" t="s">
        <v>768</v>
      </c>
      <c r="K74" s="533">
        <v>11.33</v>
      </c>
    </row>
    <row r="75" spans="1:11" x14ac:dyDescent="0.35">
      <c r="A75" s="509" t="s">
        <v>776</v>
      </c>
      <c r="B75" s="533" t="s">
        <v>690</v>
      </c>
      <c r="C75" s="511">
        <v>377231</v>
      </c>
      <c r="D75" s="511">
        <v>476414</v>
      </c>
      <c r="E75" s="511">
        <v>289754</v>
      </c>
      <c r="F75" s="511">
        <v>504946</v>
      </c>
      <c r="G75" s="511">
        <v>1961769</v>
      </c>
      <c r="H75" s="511">
        <v>1016370</v>
      </c>
      <c r="I75" s="511">
        <v>1512853</v>
      </c>
      <c r="J75" s="511">
        <v>1626163</v>
      </c>
      <c r="K75" s="511">
        <v>655724</v>
      </c>
    </row>
    <row r="76" spans="1:11" x14ac:dyDescent="0.35">
      <c r="A76" s="509" t="s">
        <v>777</v>
      </c>
      <c r="B76" s="533" t="s">
        <v>690</v>
      </c>
      <c r="C76" s="511">
        <v>-68422</v>
      </c>
      <c r="D76" s="511">
        <v>-256290</v>
      </c>
      <c r="E76" s="511">
        <v>-55721</v>
      </c>
      <c r="F76" s="511">
        <v>-566156</v>
      </c>
      <c r="G76" s="511">
        <v>-2824515</v>
      </c>
      <c r="H76" s="511">
        <v>-1092902</v>
      </c>
      <c r="I76" s="511">
        <v>-987523</v>
      </c>
      <c r="J76" s="511">
        <v>-1243314</v>
      </c>
      <c r="K76" s="511">
        <v>-1214062</v>
      </c>
    </row>
    <row r="77" spans="1:11" x14ac:dyDescent="0.35">
      <c r="A77" s="509" t="s">
        <v>778</v>
      </c>
      <c r="B77" s="511">
        <v>395431</v>
      </c>
      <c r="C77" s="511">
        <v>1014883</v>
      </c>
      <c r="D77" s="511">
        <v>685011</v>
      </c>
      <c r="E77" s="511">
        <v>942258</v>
      </c>
      <c r="F77" s="511">
        <v>1605213</v>
      </c>
      <c r="G77" s="511">
        <v>309577</v>
      </c>
      <c r="H77" s="511">
        <v>2167374</v>
      </c>
      <c r="I77" s="511">
        <v>1949630</v>
      </c>
      <c r="J77" s="511">
        <v>1260925</v>
      </c>
      <c r="K77" s="511">
        <v>1737412</v>
      </c>
    </row>
    <row r="78" spans="1:11" ht="13.15" x14ac:dyDescent="0.35">
      <c r="A78" s="517" t="s">
        <v>781</v>
      </c>
      <c r="B78" s="533"/>
      <c r="C78" s="533"/>
      <c r="D78" s="533"/>
      <c r="E78" s="533"/>
      <c r="F78" s="533"/>
      <c r="G78" s="533"/>
      <c r="H78" s="533"/>
      <c r="I78" s="533"/>
      <c r="J78" s="533"/>
      <c r="K78" s="533"/>
    </row>
    <row r="79" spans="1:11" x14ac:dyDescent="0.35">
      <c r="A79" s="509" t="s">
        <v>549</v>
      </c>
      <c r="B79" s="511">
        <v>843318</v>
      </c>
      <c r="C79" s="511">
        <v>1008741</v>
      </c>
      <c r="D79" s="533" t="s">
        <v>690</v>
      </c>
      <c r="E79" s="533" t="s">
        <v>690</v>
      </c>
      <c r="F79" s="533" t="s">
        <v>690</v>
      </c>
      <c r="G79" s="533" t="s">
        <v>690</v>
      </c>
      <c r="H79" s="533" t="s">
        <v>690</v>
      </c>
      <c r="I79" s="533" t="s">
        <v>690</v>
      </c>
      <c r="J79" s="533" t="s">
        <v>690</v>
      </c>
      <c r="K79" s="533" t="s">
        <v>690</v>
      </c>
    </row>
    <row r="80" spans="1:11" x14ac:dyDescent="0.35">
      <c r="A80" s="509" t="s">
        <v>550</v>
      </c>
      <c r="B80" s="511">
        <v>2881065</v>
      </c>
      <c r="C80" s="511">
        <v>2631767</v>
      </c>
      <c r="D80" s="511">
        <v>2571627</v>
      </c>
      <c r="E80" s="511">
        <v>2437832</v>
      </c>
      <c r="F80" s="511">
        <v>4036523</v>
      </c>
      <c r="G80" s="511">
        <v>3957549</v>
      </c>
      <c r="H80" s="511">
        <v>3818534</v>
      </c>
      <c r="I80" s="511">
        <v>4469414</v>
      </c>
      <c r="J80" s="511">
        <v>4583550</v>
      </c>
      <c r="K80" s="511">
        <v>4337383</v>
      </c>
    </row>
    <row r="81" spans="1:12" x14ac:dyDescent="0.35">
      <c r="A81" s="509" t="s">
        <v>593</v>
      </c>
      <c r="B81" s="533" t="s">
        <v>690</v>
      </c>
      <c r="C81" s="533" t="s">
        <v>690</v>
      </c>
      <c r="D81" s="533" t="s">
        <v>690</v>
      </c>
      <c r="E81" s="511">
        <v>170148</v>
      </c>
      <c r="F81" s="511">
        <v>153985</v>
      </c>
      <c r="G81" s="533" t="s">
        <v>690</v>
      </c>
      <c r="H81" s="533" t="s">
        <v>690</v>
      </c>
      <c r="I81" s="533" t="s">
        <v>690</v>
      </c>
      <c r="J81" s="533" t="s">
        <v>690</v>
      </c>
      <c r="K81" s="533" t="s">
        <v>690</v>
      </c>
    </row>
    <row r="82" spans="1:12" x14ac:dyDescent="0.35">
      <c r="A82" s="509" t="s">
        <v>554</v>
      </c>
      <c r="B82" s="533" t="s">
        <v>690</v>
      </c>
      <c r="C82" s="511">
        <v>122610</v>
      </c>
      <c r="D82" s="511">
        <v>245977</v>
      </c>
      <c r="E82" s="511">
        <v>9201</v>
      </c>
      <c r="F82" s="511">
        <v>51850</v>
      </c>
      <c r="G82" s="511">
        <v>303247</v>
      </c>
      <c r="H82" s="511">
        <v>334030</v>
      </c>
      <c r="I82" s="511">
        <v>417159</v>
      </c>
      <c r="J82" s="511">
        <v>447690</v>
      </c>
      <c r="K82" s="511">
        <v>452426</v>
      </c>
    </row>
    <row r="83" spans="1:12" ht="13.15" x14ac:dyDescent="0.35">
      <c r="A83" s="517" t="s">
        <v>782</v>
      </c>
      <c r="B83" s="532" t="s">
        <v>690</v>
      </c>
      <c r="C83" s="529">
        <v>122610</v>
      </c>
      <c r="D83" s="529">
        <v>245977</v>
      </c>
      <c r="E83" s="529">
        <v>179349</v>
      </c>
      <c r="F83" s="529">
        <v>205835</v>
      </c>
      <c r="G83" s="529">
        <v>303247</v>
      </c>
      <c r="H83" s="529">
        <v>334030</v>
      </c>
      <c r="I83" s="529">
        <v>417159</v>
      </c>
      <c r="J83" s="529">
        <v>447690</v>
      </c>
      <c r="K83" s="529">
        <v>452426</v>
      </c>
    </row>
    <row r="84" spans="1:12" x14ac:dyDescent="0.35">
      <c r="A84" s="509" t="s">
        <v>783</v>
      </c>
      <c r="B84" s="533" t="s">
        <v>785</v>
      </c>
      <c r="C84" s="533" t="s">
        <v>785</v>
      </c>
      <c r="D84" s="533" t="s">
        <v>845</v>
      </c>
      <c r="E84" s="533" t="s">
        <v>784</v>
      </c>
      <c r="F84" s="533" t="s">
        <v>845</v>
      </c>
      <c r="G84" s="533" t="s">
        <v>784</v>
      </c>
      <c r="H84" s="533" t="s">
        <v>784</v>
      </c>
      <c r="I84" s="533" t="s">
        <v>784</v>
      </c>
      <c r="J84" s="533" t="s">
        <v>784</v>
      </c>
      <c r="K84" s="533" t="s">
        <v>785</v>
      </c>
    </row>
    <row r="85" spans="1:12" x14ac:dyDescent="0.35">
      <c r="A85" s="509" t="s">
        <v>786</v>
      </c>
      <c r="B85" s="533" t="s">
        <v>955</v>
      </c>
      <c r="C85" s="533" t="s">
        <v>955</v>
      </c>
      <c r="D85" s="533" t="s">
        <v>955</v>
      </c>
      <c r="E85" s="533" t="s">
        <v>955</v>
      </c>
      <c r="F85" s="533" t="s">
        <v>955</v>
      </c>
      <c r="G85" s="533" t="s">
        <v>955</v>
      </c>
      <c r="H85" s="533" t="s">
        <v>955</v>
      </c>
      <c r="I85" s="533" t="s">
        <v>955</v>
      </c>
      <c r="J85" s="533" t="s">
        <v>955</v>
      </c>
      <c r="K85" s="533" t="s">
        <v>955</v>
      </c>
    </row>
    <row r="86" spans="1:12" ht="13.15" x14ac:dyDescent="0.35">
      <c r="A86" s="517" t="s">
        <v>788</v>
      </c>
      <c r="B86" s="533"/>
      <c r="C86" s="533"/>
      <c r="D86" s="533"/>
      <c r="E86" s="533"/>
      <c r="F86" s="533"/>
      <c r="G86" s="533"/>
      <c r="H86" s="533"/>
      <c r="I86" s="533"/>
      <c r="J86" s="533"/>
      <c r="K86" s="533"/>
    </row>
    <row r="87" spans="1:12" x14ac:dyDescent="0.35">
      <c r="A87" s="509" t="s">
        <v>877</v>
      </c>
      <c r="B87" s="511">
        <v>151588</v>
      </c>
      <c r="C87" s="533" t="s">
        <v>690</v>
      </c>
      <c r="D87" s="533">
        <v>498</v>
      </c>
      <c r="E87" s="533" t="s">
        <v>690</v>
      </c>
      <c r="F87" s="533" t="s">
        <v>690</v>
      </c>
      <c r="G87" s="533" t="s">
        <v>690</v>
      </c>
      <c r="H87" s="533" t="s">
        <v>690</v>
      </c>
      <c r="I87" s="533" t="s">
        <v>690</v>
      </c>
      <c r="J87" s="533" t="s">
        <v>690</v>
      </c>
      <c r="K87" s="533" t="s">
        <v>690</v>
      </c>
    </row>
    <row r="88" spans="1:12" x14ac:dyDescent="0.35">
      <c r="A88" s="509" t="s">
        <v>789</v>
      </c>
      <c r="B88" s="533" t="s">
        <v>690</v>
      </c>
      <c r="C88" s="511">
        <v>122610</v>
      </c>
      <c r="D88" s="511">
        <v>245977</v>
      </c>
      <c r="E88" s="511">
        <v>179349</v>
      </c>
      <c r="F88" s="511">
        <v>205835</v>
      </c>
      <c r="G88" s="511">
        <v>303247</v>
      </c>
      <c r="H88" s="511">
        <v>334030</v>
      </c>
      <c r="I88" s="511">
        <v>417159</v>
      </c>
      <c r="J88" s="511">
        <v>447690</v>
      </c>
      <c r="K88" s="511">
        <v>452426</v>
      </c>
    </row>
    <row r="89" spans="1:12" x14ac:dyDescent="0.35">
      <c r="A89" s="514"/>
    </row>
    <row r="90" spans="1:12" x14ac:dyDescent="0.35">
      <c r="A90" s="535"/>
      <c r="B90" s="535"/>
      <c r="C90" s="535"/>
      <c r="D90" s="535"/>
    </row>
    <row r="91" spans="1:12" ht="12.75" customHeight="1" x14ac:dyDescent="0.5">
      <c r="A91" s="521" t="s">
        <v>956</v>
      </c>
      <c r="B91" s="521"/>
      <c r="C91" s="521"/>
      <c r="D91" s="521"/>
      <c r="E91" s="521"/>
      <c r="F91" s="521"/>
      <c r="G91" s="521"/>
      <c r="H91" s="521"/>
      <c r="I91" s="521"/>
      <c r="J91" s="521"/>
      <c r="K91" s="521"/>
      <c r="L91" s="521"/>
    </row>
    <row r="92" spans="1:12" x14ac:dyDescent="0.35">
      <c r="A92" s="509" t="s">
        <v>941</v>
      </c>
    </row>
    <row r="94" spans="1:12" x14ac:dyDescent="0.35">
      <c r="A94" s="509" t="s">
        <v>665</v>
      </c>
      <c r="B94" s="514"/>
    </row>
    <row r="95" spans="1:12" x14ac:dyDescent="0.35">
      <c r="A95" s="509" t="s">
        <v>942</v>
      </c>
      <c r="B95" s="514"/>
    </row>
    <row r="96" spans="1:12" x14ac:dyDescent="0.35">
      <c r="A96" s="509" t="s">
        <v>667</v>
      </c>
      <c r="B96" s="514"/>
    </row>
    <row r="97" spans="1:11" x14ac:dyDescent="0.35">
      <c r="A97" s="509" t="s">
        <v>730</v>
      </c>
      <c r="B97" s="514"/>
    </row>
    <row r="98" spans="1:11" x14ac:dyDescent="0.35">
      <c r="A98" s="509" t="s">
        <v>668</v>
      </c>
      <c r="B98" s="514"/>
    </row>
    <row r="99" spans="1:11" x14ac:dyDescent="0.35">
      <c r="A99" s="509" t="s">
        <v>731</v>
      </c>
      <c r="B99" s="514"/>
    </row>
    <row r="100" spans="1:11" x14ac:dyDescent="0.35">
      <c r="A100" s="509" t="s">
        <v>732</v>
      </c>
      <c r="B100" s="514"/>
    </row>
    <row r="101" spans="1:11" x14ac:dyDescent="0.35">
      <c r="A101" s="534"/>
      <c r="B101" s="534"/>
      <c r="C101" s="534"/>
      <c r="D101" s="534"/>
      <c r="E101" s="534"/>
      <c r="F101" s="534"/>
      <c r="G101" s="534"/>
      <c r="H101" s="534"/>
      <c r="I101" s="534"/>
      <c r="J101" s="534"/>
      <c r="K101" s="534"/>
    </row>
    <row r="102" spans="1:11" x14ac:dyDescent="0.35">
      <c r="A102" s="520" t="s">
        <v>670</v>
      </c>
      <c r="B102" s="519" t="s">
        <v>943</v>
      </c>
      <c r="C102" s="519" t="s">
        <v>944</v>
      </c>
      <c r="D102" s="519" t="s">
        <v>945</v>
      </c>
      <c r="E102" s="519" t="s">
        <v>946</v>
      </c>
      <c r="F102" s="519" t="s">
        <v>947</v>
      </c>
      <c r="G102" s="519" t="s">
        <v>948</v>
      </c>
      <c r="H102" s="519" t="s">
        <v>949</v>
      </c>
      <c r="I102" s="519" t="s">
        <v>950</v>
      </c>
      <c r="J102" s="519" t="s">
        <v>951</v>
      </c>
      <c r="K102" s="519" t="s">
        <v>952</v>
      </c>
    </row>
    <row r="103" spans="1:11" ht="25.5" x14ac:dyDescent="0.35">
      <c r="A103" s="509" t="s">
        <v>73</v>
      </c>
      <c r="B103" s="533" t="s">
        <v>735</v>
      </c>
      <c r="C103" s="533" t="s">
        <v>735</v>
      </c>
      <c r="D103" s="533" t="s">
        <v>735</v>
      </c>
      <c r="E103" s="533" t="s">
        <v>735</v>
      </c>
      <c r="F103" s="533" t="s">
        <v>735</v>
      </c>
      <c r="G103" s="533" t="s">
        <v>735</v>
      </c>
      <c r="H103" s="533" t="s">
        <v>735</v>
      </c>
      <c r="I103" s="533" t="s">
        <v>735</v>
      </c>
      <c r="J103" s="533" t="s">
        <v>735</v>
      </c>
      <c r="K103" s="533" t="s">
        <v>735</v>
      </c>
    </row>
    <row r="104" spans="1:11" x14ac:dyDescent="0.35">
      <c r="A104" s="509" t="s">
        <v>678</v>
      </c>
      <c r="B104" s="533" t="s">
        <v>736</v>
      </c>
      <c r="C104" s="533" t="s">
        <v>737</v>
      </c>
      <c r="D104" s="533" t="s">
        <v>679</v>
      </c>
      <c r="E104" s="533" t="s">
        <v>680</v>
      </c>
      <c r="F104" s="533" t="s">
        <v>681</v>
      </c>
      <c r="G104" s="533" t="s">
        <v>682</v>
      </c>
      <c r="H104" s="533" t="s">
        <v>683</v>
      </c>
      <c r="I104" s="533" t="s">
        <v>684</v>
      </c>
      <c r="J104" s="533" t="s">
        <v>685</v>
      </c>
      <c r="K104" s="533" t="s">
        <v>738</v>
      </c>
    </row>
    <row r="105" spans="1:11" x14ac:dyDescent="0.35">
      <c r="A105" s="509" t="s">
        <v>739</v>
      </c>
      <c r="B105" s="537">
        <v>42645</v>
      </c>
      <c r="C105" s="537">
        <v>43010</v>
      </c>
      <c r="D105" s="533" t="s">
        <v>953</v>
      </c>
      <c r="E105" s="537">
        <v>43923</v>
      </c>
      <c r="F105" s="537">
        <v>44532</v>
      </c>
      <c r="G105" s="537">
        <v>44836</v>
      </c>
      <c r="H105" s="537">
        <v>45109</v>
      </c>
      <c r="I105" s="537">
        <v>45324</v>
      </c>
      <c r="J105" s="533" t="s">
        <v>954</v>
      </c>
      <c r="K105" s="533" t="s">
        <v>954</v>
      </c>
    </row>
    <row r="106" spans="1:11" x14ac:dyDescent="0.35">
      <c r="A106" s="509" t="s">
        <v>745</v>
      </c>
      <c r="B106" s="533">
        <v>7.6540000000000002E-3</v>
      </c>
      <c r="C106" s="533">
        <v>8.1290000000000008E-3</v>
      </c>
      <c r="D106" s="533">
        <v>7.3940000000000004E-3</v>
      </c>
      <c r="E106" s="533">
        <v>7.9609999999999993E-3</v>
      </c>
      <c r="F106" s="533">
        <v>8.2000000000000007E-3</v>
      </c>
      <c r="G106" s="533">
        <v>7.9209999999999992E-3</v>
      </c>
      <c r="H106" s="533">
        <v>7.6369999999999997E-3</v>
      </c>
      <c r="I106" s="533">
        <v>7.0949999999999997E-3</v>
      </c>
      <c r="J106" s="533">
        <v>6.4180000000000001E-3</v>
      </c>
      <c r="K106" s="533">
        <v>6.1440000000000002E-3</v>
      </c>
    </row>
    <row r="107" spans="1:11" x14ac:dyDescent="0.35">
      <c r="A107" s="509" t="s">
        <v>746</v>
      </c>
      <c r="B107" s="533">
        <v>7.4489999999999999E-3</v>
      </c>
      <c r="C107" s="533">
        <v>8.3330000000000001E-3</v>
      </c>
      <c r="D107" s="533">
        <v>7.9089999999999994E-3</v>
      </c>
      <c r="E107" s="533">
        <v>7.6740000000000003E-3</v>
      </c>
      <c r="F107" s="533">
        <v>8.1960000000000002E-3</v>
      </c>
      <c r="G107" s="533">
        <v>8.2129999999999998E-3</v>
      </c>
      <c r="H107" s="533">
        <v>7.7029999999999998E-3</v>
      </c>
      <c r="I107" s="533">
        <v>7.2550000000000002E-3</v>
      </c>
      <c r="J107" s="533">
        <v>6.5950000000000002E-3</v>
      </c>
      <c r="K107" s="533">
        <v>6.1079999999999997E-3</v>
      </c>
    </row>
    <row r="108" spans="1:11" x14ac:dyDescent="0.35">
      <c r="A108" s="509" t="s">
        <v>73</v>
      </c>
      <c r="B108" s="533"/>
      <c r="C108" s="533"/>
      <c r="D108" s="533"/>
      <c r="E108" s="533"/>
      <c r="F108" s="533"/>
      <c r="G108" s="533"/>
      <c r="H108" s="533"/>
      <c r="I108" s="533"/>
      <c r="J108" s="533"/>
      <c r="K108" s="533"/>
    </row>
    <row r="109" spans="1:11" ht="13.15" x14ac:dyDescent="0.35">
      <c r="A109" s="517" t="s">
        <v>791</v>
      </c>
      <c r="B109" s="533"/>
      <c r="C109" s="533"/>
      <c r="D109" s="533"/>
      <c r="E109" s="533"/>
      <c r="F109" s="533"/>
      <c r="G109" s="533"/>
      <c r="H109" s="533"/>
      <c r="I109" s="533"/>
      <c r="J109" s="533"/>
      <c r="K109" s="533"/>
    </row>
    <row r="110" spans="1:11" x14ac:dyDescent="0.35">
      <c r="A110" s="509" t="s">
        <v>792</v>
      </c>
      <c r="B110" s="511">
        <v>-812055</v>
      </c>
      <c r="C110" s="511">
        <v>1098595</v>
      </c>
      <c r="D110" s="511">
        <v>1485339</v>
      </c>
      <c r="E110" s="511">
        <v>847315</v>
      </c>
      <c r="F110" s="511">
        <v>108807</v>
      </c>
      <c r="G110" s="511">
        <v>1483556</v>
      </c>
      <c r="H110" s="511">
        <v>3377693</v>
      </c>
      <c r="I110" s="511">
        <v>1991798</v>
      </c>
      <c r="J110" s="511">
        <v>1175340</v>
      </c>
      <c r="K110" s="511">
        <v>1270931</v>
      </c>
    </row>
    <row r="111" spans="1:11" x14ac:dyDescent="0.35">
      <c r="A111" s="509" t="s">
        <v>556</v>
      </c>
      <c r="B111" s="511">
        <v>1682882</v>
      </c>
      <c r="C111" s="511">
        <v>466610</v>
      </c>
      <c r="D111" s="511">
        <v>1267770</v>
      </c>
      <c r="E111" s="511">
        <v>399784</v>
      </c>
      <c r="F111" s="511">
        <v>1208489</v>
      </c>
      <c r="G111" s="511">
        <v>1039075</v>
      </c>
      <c r="H111" s="511">
        <v>906000</v>
      </c>
      <c r="I111" s="511">
        <v>1191509</v>
      </c>
      <c r="J111" s="511">
        <v>342006</v>
      </c>
      <c r="K111" s="511">
        <v>1652598</v>
      </c>
    </row>
    <row r="112" spans="1:11" x14ac:dyDescent="0.35">
      <c r="A112" s="509" t="s">
        <v>560</v>
      </c>
      <c r="B112" s="533" t="s">
        <v>690</v>
      </c>
      <c r="C112" s="511">
        <v>1017690</v>
      </c>
      <c r="D112" s="533" t="s">
        <v>690</v>
      </c>
      <c r="E112" s="511">
        <v>733587</v>
      </c>
      <c r="F112" s="511">
        <v>3344864</v>
      </c>
      <c r="G112" s="511">
        <v>3340508</v>
      </c>
      <c r="H112" s="511">
        <v>3268186</v>
      </c>
      <c r="I112" s="511">
        <v>3355501</v>
      </c>
      <c r="J112" s="511">
        <v>4123462</v>
      </c>
      <c r="K112" s="511">
        <v>2780735</v>
      </c>
    </row>
    <row r="113" spans="1:11" x14ac:dyDescent="0.35">
      <c r="A113" s="509" t="s">
        <v>793</v>
      </c>
      <c r="B113" s="511">
        <v>1682882</v>
      </c>
      <c r="C113" s="511">
        <v>1484300</v>
      </c>
      <c r="D113" s="511">
        <v>1267770</v>
      </c>
      <c r="E113" s="511">
        <v>1133370</v>
      </c>
      <c r="F113" s="511">
        <v>4553354</v>
      </c>
      <c r="G113" s="511">
        <v>4379583</v>
      </c>
      <c r="H113" s="511">
        <v>4174185</v>
      </c>
      <c r="I113" s="511">
        <v>4547011</v>
      </c>
      <c r="J113" s="511">
        <v>4465468</v>
      </c>
      <c r="K113" s="511">
        <v>4433333</v>
      </c>
    </row>
    <row r="114" spans="1:11" x14ac:dyDescent="0.35">
      <c r="A114" s="509" t="s">
        <v>561</v>
      </c>
      <c r="B114" s="533" t="s">
        <v>690</v>
      </c>
      <c r="C114" s="511">
        <v>51539</v>
      </c>
      <c r="D114" s="511">
        <v>49920</v>
      </c>
      <c r="E114" s="511">
        <v>61737</v>
      </c>
      <c r="F114" s="511">
        <v>112897</v>
      </c>
      <c r="G114" s="511">
        <v>269154</v>
      </c>
      <c r="H114" s="511">
        <v>218337</v>
      </c>
      <c r="I114" s="511">
        <v>207215</v>
      </c>
      <c r="J114" s="511">
        <v>168573</v>
      </c>
      <c r="K114" s="511">
        <v>199052</v>
      </c>
    </row>
    <row r="115" spans="1:11" x14ac:dyDescent="0.35">
      <c r="A115" s="509" t="s">
        <v>562</v>
      </c>
      <c r="B115" s="511">
        <v>-49134</v>
      </c>
      <c r="C115" s="511">
        <v>4933</v>
      </c>
      <c r="D115" s="511">
        <v>-1977547</v>
      </c>
      <c r="E115" s="511">
        <v>-63679</v>
      </c>
      <c r="F115" s="511">
        <v>-765983</v>
      </c>
      <c r="G115" s="511">
        <v>-384952</v>
      </c>
      <c r="H115" s="511">
        <v>-1472970</v>
      </c>
      <c r="I115" s="511">
        <v>-54104</v>
      </c>
      <c r="J115" s="511">
        <v>-27237</v>
      </c>
      <c r="K115" s="511">
        <v>-40584</v>
      </c>
    </row>
    <row r="116" spans="1:11" x14ac:dyDescent="0.35">
      <c r="A116" s="509" t="s">
        <v>563</v>
      </c>
      <c r="B116" s="511">
        <v>-46184</v>
      </c>
      <c r="C116" s="511">
        <v>-93112</v>
      </c>
      <c r="D116" s="511">
        <v>2428</v>
      </c>
      <c r="E116" s="533" t="s">
        <v>690</v>
      </c>
      <c r="F116" s="511">
        <v>15442</v>
      </c>
      <c r="G116" s="511">
        <v>-93491</v>
      </c>
      <c r="H116" s="511">
        <v>313541</v>
      </c>
      <c r="I116" s="511">
        <v>20395</v>
      </c>
      <c r="J116" s="511">
        <v>82047</v>
      </c>
      <c r="K116" s="511">
        <v>62531</v>
      </c>
    </row>
    <row r="117" spans="1:11" x14ac:dyDescent="0.35">
      <c r="A117" s="509" t="s">
        <v>564</v>
      </c>
      <c r="B117" s="533" t="s">
        <v>690</v>
      </c>
      <c r="C117" s="511">
        <v>126677</v>
      </c>
      <c r="D117" s="511">
        <v>288068</v>
      </c>
      <c r="E117" s="511">
        <v>279862</v>
      </c>
      <c r="F117" s="511">
        <v>304102</v>
      </c>
      <c r="G117" s="511">
        <v>632662</v>
      </c>
      <c r="H117" s="511">
        <v>231077</v>
      </c>
      <c r="I117" s="511">
        <v>593625</v>
      </c>
      <c r="J117" s="511">
        <v>1033464</v>
      </c>
      <c r="K117" s="511">
        <v>329624</v>
      </c>
    </row>
    <row r="118" spans="1:11" x14ac:dyDescent="0.35">
      <c r="A118" s="509" t="s">
        <v>565</v>
      </c>
      <c r="B118" s="533" t="s">
        <v>690</v>
      </c>
      <c r="C118" s="533" t="s">
        <v>690</v>
      </c>
      <c r="D118" s="511">
        <v>275912</v>
      </c>
      <c r="E118" s="511">
        <v>328585</v>
      </c>
      <c r="F118" s="511">
        <v>121019</v>
      </c>
      <c r="G118" s="511">
        <v>138819</v>
      </c>
      <c r="H118" s="511">
        <v>-21829</v>
      </c>
      <c r="I118" s="511">
        <v>96098</v>
      </c>
      <c r="J118" s="511">
        <v>18242</v>
      </c>
      <c r="K118" s="511">
        <v>-3317</v>
      </c>
    </row>
    <row r="119" spans="1:11" x14ac:dyDescent="0.35">
      <c r="A119" s="509" t="s">
        <v>566</v>
      </c>
      <c r="B119" s="533" t="s">
        <v>690</v>
      </c>
      <c r="C119" s="533" t="s">
        <v>690</v>
      </c>
      <c r="D119" s="511">
        <v>229931</v>
      </c>
      <c r="E119" s="511">
        <v>152014</v>
      </c>
      <c r="F119" s="511">
        <v>216466</v>
      </c>
      <c r="G119" s="511">
        <v>295905</v>
      </c>
      <c r="H119" s="511">
        <v>320435</v>
      </c>
      <c r="I119" s="511">
        <v>414576</v>
      </c>
      <c r="J119" s="511">
        <v>445368</v>
      </c>
      <c r="K119" s="511">
        <v>448523</v>
      </c>
    </row>
    <row r="120" spans="1:11" x14ac:dyDescent="0.35">
      <c r="A120" s="509" t="s">
        <v>567</v>
      </c>
      <c r="B120" s="511">
        <v>-307086</v>
      </c>
      <c r="C120" s="511">
        <v>221472</v>
      </c>
      <c r="D120" s="511">
        <v>445784</v>
      </c>
      <c r="E120" s="511">
        <v>-313874</v>
      </c>
      <c r="F120" s="511">
        <v>-682840</v>
      </c>
      <c r="G120" s="511">
        <v>-1211371</v>
      </c>
      <c r="H120" s="511">
        <v>154128</v>
      </c>
      <c r="I120" s="511">
        <v>-205517</v>
      </c>
      <c r="J120" s="511">
        <v>-1403175</v>
      </c>
      <c r="K120" s="511">
        <v>119742</v>
      </c>
    </row>
    <row r="121" spans="1:11" x14ac:dyDescent="0.35">
      <c r="A121" s="509" t="s">
        <v>568</v>
      </c>
      <c r="B121" s="511">
        <v>-159573</v>
      </c>
      <c r="C121" s="511">
        <v>-362348</v>
      </c>
      <c r="D121" s="511">
        <v>-103810</v>
      </c>
      <c r="E121" s="511">
        <v>-193093</v>
      </c>
      <c r="F121" s="511">
        <v>163854</v>
      </c>
      <c r="G121" s="511">
        <v>-129892</v>
      </c>
      <c r="H121" s="511">
        <v>946145</v>
      </c>
      <c r="I121" s="511">
        <v>376608</v>
      </c>
      <c r="J121" s="511">
        <v>62507</v>
      </c>
      <c r="K121" s="511">
        <v>175871</v>
      </c>
    </row>
    <row r="122" spans="1:11" x14ac:dyDescent="0.35">
      <c r="A122" s="509" t="s">
        <v>569</v>
      </c>
      <c r="B122" s="511">
        <v>-26980</v>
      </c>
      <c r="C122" s="511">
        <v>103736</v>
      </c>
      <c r="D122" s="511">
        <v>40920</v>
      </c>
      <c r="E122" s="511">
        <v>-68368</v>
      </c>
      <c r="F122" s="511">
        <v>1301854</v>
      </c>
      <c r="G122" s="511">
        <v>417312</v>
      </c>
      <c r="H122" s="511">
        <v>-149037</v>
      </c>
      <c r="I122" s="511">
        <v>-298344</v>
      </c>
      <c r="J122" s="511">
        <v>-1143593</v>
      </c>
      <c r="K122" s="511">
        <v>-105271</v>
      </c>
    </row>
    <row r="123" spans="1:11" x14ac:dyDescent="0.35">
      <c r="A123" s="509" t="s">
        <v>570</v>
      </c>
      <c r="B123" s="511">
        <v>37506</v>
      </c>
      <c r="C123" s="511">
        <v>491175</v>
      </c>
      <c r="D123" s="511">
        <v>76303</v>
      </c>
      <c r="E123" s="511">
        <v>231524</v>
      </c>
      <c r="F123" s="511">
        <v>-653685</v>
      </c>
      <c r="G123" s="511">
        <v>34339</v>
      </c>
      <c r="H123" s="511">
        <v>307371</v>
      </c>
      <c r="I123" s="511">
        <v>-130721</v>
      </c>
      <c r="J123" s="511">
        <v>532566</v>
      </c>
      <c r="K123" s="511">
        <v>-292773</v>
      </c>
    </row>
    <row r="124" spans="1:11" x14ac:dyDescent="0.35">
      <c r="A124" s="509" t="s">
        <v>626</v>
      </c>
      <c r="B124" s="511">
        <v>1196894</v>
      </c>
      <c r="C124" s="511">
        <v>-3195097</v>
      </c>
      <c r="D124" s="511">
        <v>897143</v>
      </c>
      <c r="E124" s="511">
        <v>188757</v>
      </c>
      <c r="F124" s="511">
        <v>137273</v>
      </c>
      <c r="G124" s="511">
        <v>701209</v>
      </c>
      <c r="H124" s="511">
        <v>447180</v>
      </c>
      <c r="I124" s="511">
        <v>125207</v>
      </c>
      <c r="J124" s="511">
        <v>-585721</v>
      </c>
      <c r="K124" s="511">
        <v>204648</v>
      </c>
    </row>
    <row r="125" spans="1:11" x14ac:dyDescent="0.35">
      <c r="A125" s="509" t="s">
        <v>794</v>
      </c>
      <c r="B125" s="511">
        <v>1516270</v>
      </c>
      <c r="C125" s="511">
        <v>-68130</v>
      </c>
      <c r="D125" s="511">
        <v>2978160</v>
      </c>
      <c r="E125" s="511">
        <v>2584152</v>
      </c>
      <c r="F125" s="511">
        <v>4932559</v>
      </c>
      <c r="G125" s="511">
        <v>6532834</v>
      </c>
      <c r="H125" s="511">
        <v>8846257</v>
      </c>
      <c r="I125" s="511">
        <v>7683847</v>
      </c>
      <c r="J125" s="511">
        <v>4823849</v>
      </c>
      <c r="K125" s="511">
        <v>6802311</v>
      </c>
    </row>
    <row r="126" spans="1:11" ht="13.15" x14ac:dyDescent="0.35">
      <c r="A126" s="517" t="s">
        <v>795</v>
      </c>
      <c r="B126" s="533"/>
      <c r="C126" s="533"/>
      <c r="D126" s="533"/>
      <c r="E126" s="533"/>
      <c r="F126" s="533"/>
      <c r="G126" s="533"/>
      <c r="H126" s="533"/>
      <c r="I126" s="533"/>
      <c r="J126" s="533"/>
      <c r="K126" s="533"/>
    </row>
    <row r="127" spans="1:11" x14ac:dyDescent="0.35">
      <c r="A127" s="509" t="s">
        <v>571</v>
      </c>
      <c r="B127" s="511">
        <v>-381561</v>
      </c>
      <c r="C127" s="511">
        <v>-435278</v>
      </c>
      <c r="D127" s="511">
        <v>-537216</v>
      </c>
      <c r="E127" s="511">
        <v>-528093</v>
      </c>
      <c r="F127" s="511">
        <v>-960106</v>
      </c>
      <c r="G127" s="511">
        <v>-922160</v>
      </c>
      <c r="H127" s="511">
        <v>-953871</v>
      </c>
      <c r="I127" s="511">
        <v>-1019149</v>
      </c>
      <c r="J127" s="511">
        <v>-1099064</v>
      </c>
      <c r="K127" s="511">
        <v>-1200520</v>
      </c>
    </row>
    <row r="128" spans="1:11" x14ac:dyDescent="0.35">
      <c r="A128" s="509" t="s">
        <v>572</v>
      </c>
      <c r="B128" s="511">
        <v>66222</v>
      </c>
      <c r="C128" s="511">
        <v>14949</v>
      </c>
      <c r="D128" s="511">
        <v>25450</v>
      </c>
      <c r="E128" s="511">
        <v>52321</v>
      </c>
      <c r="F128" s="511">
        <v>367992</v>
      </c>
      <c r="G128" s="511">
        <v>452867</v>
      </c>
      <c r="H128" s="511">
        <v>31172</v>
      </c>
      <c r="I128" s="511">
        <v>10760</v>
      </c>
      <c r="J128" s="511">
        <v>62559</v>
      </c>
      <c r="K128" s="533">
        <v>293</v>
      </c>
    </row>
    <row r="129" spans="1:11" x14ac:dyDescent="0.35">
      <c r="A129" s="509" t="s">
        <v>573</v>
      </c>
      <c r="B129" s="511">
        <v>-61596</v>
      </c>
      <c r="C129" s="533">
        <v>0</v>
      </c>
      <c r="D129" s="511">
        <v>-4800055</v>
      </c>
      <c r="E129" s="511">
        <v>-593122</v>
      </c>
      <c r="F129" s="511">
        <v>-23741004</v>
      </c>
      <c r="G129" s="511">
        <v>-2464</v>
      </c>
      <c r="H129" s="511">
        <v>-382602</v>
      </c>
      <c r="I129" s="533">
        <v>0</v>
      </c>
      <c r="J129" s="533" t="s">
        <v>690</v>
      </c>
      <c r="K129" s="533" t="s">
        <v>690</v>
      </c>
    </row>
    <row r="130" spans="1:11" x14ac:dyDescent="0.35">
      <c r="A130" s="509" t="s">
        <v>657</v>
      </c>
      <c r="B130" s="511">
        <v>9065</v>
      </c>
      <c r="C130" s="511">
        <v>1708</v>
      </c>
      <c r="D130" s="511">
        <v>1180615</v>
      </c>
      <c r="E130" s="511">
        <v>211403</v>
      </c>
      <c r="F130" s="511">
        <v>3550003</v>
      </c>
      <c r="G130" s="511">
        <v>1732810</v>
      </c>
      <c r="H130" s="511">
        <v>3139237</v>
      </c>
      <c r="I130" s="511">
        <v>189062</v>
      </c>
      <c r="J130" s="511">
        <v>54890</v>
      </c>
      <c r="K130" s="511">
        <v>178266</v>
      </c>
    </row>
    <row r="131" spans="1:11" x14ac:dyDescent="0.35">
      <c r="A131" s="509" t="s">
        <v>574</v>
      </c>
      <c r="B131" s="511">
        <v>-241453</v>
      </c>
      <c r="C131" s="511">
        <v>-377256</v>
      </c>
      <c r="D131" s="511">
        <v>-583562</v>
      </c>
      <c r="E131" s="511">
        <v>-352497</v>
      </c>
      <c r="F131" s="511">
        <v>-674061</v>
      </c>
      <c r="G131" s="511">
        <v>-616934</v>
      </c>
      <c r="H131" s="511">
        <v>-942286</v>
      </c>
      <c r="I131" s="511">
        <v>-732545</v>
      </c>
      <c r="J131" s="511">
        <v>-4575762</v>
      </c>
      <c r="K131" s="511">
        <v>-750745</v>
      </c>
    </row>
    <row r="132" spans="1:11" x14ac:dyDescent="0.35">
      <c r="A132" s="509" t="s">
        <v>575</v>
      </c>
      <c r="B132" s="511">
        <v>-248335</v>
      </c>
      <c r="C132" s="511">
        <v>322742</v>
      </c>
      <c r="D132" s="511">
        <v>168646</v>
      </c>
      <c r="E132" s="511">
        <v>278458</v>
      </c>
      <c r="F132" s="511">
        <v>501101</v>
      </c>
      <c r="G132" s="511">
        <v>538958</v>
      </c>
      <c r="H132" s="511">
        <v>48026</v>
      </c>
      <c r="I132" s="511">
        <v>110479</v>
      </c>
      <c r="J132" s="511">
        <v>-43817</v>
      </c>
      <c r="K132" s="511">
        <v>-389687</v>
      </c>
    </row>
    <row r="133" spans="1:11" x14ac:dyDescent="0.35">
      <c r="A133" s="509" t="s">
        <v>576</v>
      </c>
      <c r="B133" s="511">
        <v>28135</v>
      </c>
      <c r="C133" s="511">
        <v>373348</v>
      </c>
      <c r="D133" s="511">
        <v>-210768</v>
      </c>
      <c r="E133" s="511">
        <v>-12279661</v>
      </c>
      <c r="F133" s="511">
        <v>13040112</v>
      </c>
      <c r="G133" s="511">
        <v>-62437</v>
      </c>
      <c r="H133" s="511">
        <v>-8866</v>
      </c>
      <c r="I133" s="511">
        <v>32040</v>
      </c>
      <c r="J133" s="511">
        <v>55721</v>
      </c>
      <c r="K133" s="511">
        <v>-335079</v>
      </c>
    </row>
    <row r="134" spans="1:11" x14ac:dyDescent="0.35">
      <c r="A134" s="509" t="s">
        <v>796</v>
      </c>
      <c r="B134" s="511">
        <v>-829523</v>
      </c>
      <c r="C134" s="511">
        <v>-99787</v>
      </c>
      <c r="D134" s="511">
        <v>-4756889</v>
      </c>
      <c r="E134" s="511">
        <v>-13211191</v>
      </c>
      <c r="F134" s="511">
        <v>-7915963</v>
      </c>
      <c r="G134" s="511">
        <v>1120640</v>
      </c>
      <c r="H134" s="511">
        <v>930810</v>
      </c>
      <c r="I134" s="511">
        <v>-1409354</v>
      </c>
      <c r="J134" s="511">
        <v>-5545473</v>
      </c>
      <c r="K134" s="511">
        <v>-2497473</v>
      </c>
    </row>
    <row r="135" spans="1:11" ht="13.15" x14ac:dyDescent="0.35">
      <c r="A135" s="517" t="s">
        <v>797</v>
      </c>
      <c r="B135" s="533"/>
      <c r="C135" s="533"/>
      <c r="D135" s="533"/>
      <c r="E135" s="533"/>
      <c r="F135" s="533"/>
      <c r="G135" s="533"/>
      <c r="H135" s="533"/>
      <c r="I135" s="533"/>
      <c r="J135" s="533"/>
      <c r="K135" s="533"/>
    </row>
    <row r="136" spans="1:11" x14ac:dyDescent="0.35">
      <c r="A136" s="509" t="s">
        <v>798</v>
      </c>
      <c r="B136" s="511">
        <v>-1035</v>
      </c>
      <c r="C136" s="511">
        <v>2918403</v>
      </c>
      <c r="D136" s="511">
        <v>6804863</v>
      </c>
      <c r="E136" s="511">
        <v>12135552</v>
      </c>
      <c r="F136" s="511">
        <v>17032432</v>
      </c>
      <c r="G136" s="511">
        <v>9687577</v>
      </c>
      <c r="H136" s="511">
        <v>1920513</v>
      </c>
      <c r="I136" s="533">
        <v>0</v>
      </c>
      <c r="J136" s="511">
        <v>3264487</v>
      </c>
      <c r="K136" s="511">
        <v>6239421</v>
      </c>
    </row>
    <row r="137" spans="1:11" x14ac:dyDescent="0.35">
      <c r="A137" s="509" t="s">
        <v>799</v>
      </c>
      <c r="B137" s="511">
        <v>-890165</v>
      </c>
      <c r="C137" s="511">
        <v>-833433</v>
      </c>
      <c r="D137" s="511">
        <v>-4758391</v>
      </c>
      <c r="E137" s="511">
        <v>-1095891</v>
      </c>
      <c r="F137" s="511">
        <v>-7943323</v>
      </c>
      <c r="G137" s="511">
        <v>-13261003</v>
      </c>
      <c r="H137" s="511">
        <v>-7726934</v>
      </c>
      <c r="I137" s="511">
        <v>-3620121</v>
      </c>
      <c r="J137" s="511">
        <v>-2968948</v>
      </c>
      <c r="K137" s="511">
        <v>-7003501</v>
      </c>
    </row>
    <row r="138" spans="1:11" x14ac:dyDescent="0.35">
      <c r="A138" s="509" t="s">
        <v>582</v>
      </c>
      <c r="B138" s="511">
        <v>-166530</v>
      </c>
      <c r="C138" s="511">
        <v>-192615</v>
      </c>
      <c r="D138" s="511">
        <v>-148320</v>
      </c>
      <c r="E138" s="511">
        <v>-9025</v>
      </c>
      <c r="F138" s="511">
        <v>-30597</v>
      </c>
      <c r="G138" s="511">
        <v>-17658</v>
      </c>
      <c r="H138" s="511">
        <v>-404701</v>
      </c>
      <c r="I138" s="511">
        <v>-376717</v>
      </c>
      <c r="J138" s="511">
        <v>-15340</v>
      </c>
      <c r="K138" s="511">
        <v>-11496</v>
      </c>
    </row>
    <row r="139" spans="1:11" x14ac:dyDescent="0.35">
      <c r="A139" s="509" t="s">
        <v>583</v>
      </c>
      <c r="B139" s="533" t="s">
        <v>690</v>
      </c>
      <c r="C139" s="511">
        <v>-1179424</v>
      </c>
      <c r="D139" s="533" t="s">
        <v>690</v>
      </c>
      <c r="E139" s="511">
        <v>-1092061</v>
      </c>
      <c r="F139" s="511">
        <v>-2306819</v>
      </c>
      <c r="G139" s="511">
        <v>-2324356</v>
      </c>
      <c r="H139" s="511">
        <v>-2169830</v>
      </c>
      <c r="I139" s="511">
        <v>-2028896</v>
      </c>
      <c r="J139" s="511">
        <v>-1902510</v>
      </c>
      <c r="K139" s="511">
        <v>-1844021</v>
      </c>
    </row>
    <row r="140" spans="1:11" x14ac:dyDescent="0.35">
      <c r="A140" s="509" t="s">
        <v>629</v>
      </c>
      <c r="B140" s="511">
        <v>-1067750</v>
      </c>
      <c r="C140" s="511">
        <v>-2233</v>
      </c>
      <c r="D140" s="533" t="s">
        <v>690</v>
      </c>
      <c r="E140" s="533" t="s">
        <v>690</v>
      </c>
      <c r="F140" s="533" t="s">
        <v>690</v>
      </c>
      <c r="G140" s="533" t="s">
        <v>690</v>
      </c>
      <c r="H140" s="533" t="s">
        <v>690</v>
      </c>
      <c r="I140" s="533" t="s">
        <v>690</v>
      </c>
      <c r="J140" s="533" t="s">
        <v>690</v>
      </c>
      <c r="K140" s="533" t="s">
        <v>690</v>
      </c>
    </row>
    <row r="141" spans="1:11" x14ac:dyDescent="0.35">
      <c r="A141" s="509" t="s">
        <v>800</v>
      </c>
      <c r="B141" s="511">
        <v>-1067750</v>
      </c>
      <c r="C141" s="511">
        <v>-1181657</v>
      </c>
      <c r="D141" s="533" t="s">
        <v>690</v>
      </c>
      <c r="E141" s="511">
        <v>-1092061</v>
      </c>
      <c r="F141" s="511">
        <v>-2306819</v>
      </c>
      <c r="G141" s="511">
        <v>-2324356</v>
      </c>
      <c r="H141" s="511">
        <v>-2169830</v>
      </c>
      <c r="I141" s="511">
        <v>-2028896</v>
      </c>
      <c r="J141" s="511">
        <v>-1902510</v>
      </c>
      <c r="K141" s="511">
        <v>-1844021</v>
      </c>
    </row>
    <row r="142" spans="1:11" x14ac:dyDescent="0.35">
      <c r="A142" s="509" t="s">
        <v>584</v>
      </c>
      <c r="B142" s="511">
        <v>-69708</v>
      </c>
      <c r="C142" s="511">
        <v>-131785</v>
      </c>
      <c r="D142" s="511">
        <v>942887</v>
      </c>
      <c r="E142" s="511">
        <v>-253940</v>
      </c>
      <c r="F142" s="511">
        <v>-1235685</v>
      </c>
      <c r="G142" s="511">
        <v>-1166075</v>
      </c>
      <c r="H142" s="511">
        <v>-835459</v>
      </c>
      <c r="I142" s="511">
        <v>-840433</v>
      </c>
      <c r="J142" s="511">
        <v>-374585</v>
      </c>
      <c r="K142" s="511">
        <v>-482559</v>
      </c>
    </row>
    <row r="143" spans="1:11" x14ac:dyDescent="0.35">
      <c r="A143" s="509" t="s">
        <v>801</v>
      </c>
      <c r="B143" s="511">
        <v>-2195189</v>
      </c>
      <c r="C143" s="511">
        <v>578912</v>
      </c>
      <c r="D143" s="511">
        <v>650003</v>
      </c>
      <c r="E143" s="511">
        <v>9684635</v>
      </c>
      <c r="F143" s="511">
        <v>5516009</v>
      </c>
      <c r="G143" s="511">
        <v>-7081516</v>
      </c>
      <c r="H143" s="511">
        <v>-9216411</v>
      </c>
      <c r="I143" s="511">
        <v>-6866167</v>
      </c>
      <c r="J143" s="511">
        <v>-1996896</v>
      </c>
      <c r="K143" s="511">
        <v>-3102155</v>
      </c>
    </row>
    <row r="144" spans="1:11" ht="13.15" x14ac:dyDescent="0.35">
      <c r="A144" s="517" t="s">
        <v>802</v>
      </c>
      <c r="B144" s="533"/>
      <c r="C144" s="533"/>
      <c r="D144" s="533"/>
      <c r="E144" s="533"/>
      <c r="F144" s="533"/>
      <c r="G144" s="533"/>
      <c r="H144" s="533"/>
      <c r="I144" s="533"/>
      <c r="J144" s="533"/>
      <c r="K144" s="533"/>
    </row>
    <row r="145" spans="1:12" x14ac:dyDescent="0.35">
      <c r="A145" s="509" t="s">
        <v>541</v>
      </c>
      <c r="B145" s="511">
        <v>-134485</v>
      </c>
      <c r="C145" s="511">
        <v>-208231</v>
      </c>
      <c r="D145" s="511">
        <v>-18277</v>
      </c>
      <c r="E145" s="511">
        <v>-150218</v>
      </c>
      <c r="F145" s="511">
        <v>-316257</v>
      </c>
      <c r="G145" s="511">
        <v>-166013</v>
      </c>
      <c r="H145" s="511">
        <v>260709</v>
      </c>
      <c r="I145" s="511">
        <v>307268</v>
      </c>
      <c r="J145" s="511">
        <v>101773</v>
      </c>
      <c r="K145" s="511">
        <v>54211</v>
      </c>
    </row>
    <row r="146" spans="1:12" x14ac:dyDescent="0.35">
      <c r="A146" s="509" t="s">
        <v>542</v>
      </c>
      <c r="B146" s="533" t="s">
        <v>690</v>
      </c>
      <c r="C146" s="511">
        <v>-217631</v>
      </c>
      <c r="D146" s="511">
        <v>206544</v>
      </c>
      <c r="E146" s="511">
        <v>163809</v>
      </c>
      <c r="F146" s="511">
        <v>-1459</v>
      </c>
      <c r="G146" s="511">
        <v>5166</v>
      </c>
      <c r="H146" s="533" t="s">
        <v>690</v>
      </c>
      <c r="I146" s="533" t="s">
        <v>690</v>
      </c>
      <c r="J146" s="533" t="s">
        <v>690</v>
      </c>
      <c r="K146" s="533" t="s">
        <v>690</v>
      </c>
    </row>
    <row r="147" spans="1:12" x14ac:dyDescent="0.35">
      <c r="A147" s="509" t="s">
        <v>803</v>
      </c>
      <c r="B147" s="511">
        <v>-1642926</v>
      </c>
      <c r="C147" s="511">
        <v>-14866</v>
      </c>
      <c r="D147" s="511">
        <v>-940459</v>
      </c>
      <c r="E147" s="511">
        <v>-928813</v>
      </c>
      <c r="F147" s="511">
        <v>2214888</v>
      </c>
      <c r="G147" s="511">
        <v>411111</v>
      </c>
      <c r="H147" s="511">
        <v>821364</v>
      </c>
      <c r="I147" s="511">
        <v>-284406</v>
      </c>
      <c r="J147" s="511">
        <v>-2616747</v>
      </c>
      <c r="K147" s="511">
        <v>1256894</v>
      </c>
    </row>
    <row r="148" spans="1:12" ht="13.15" x14ac:dyDescent="0.35">
      <c r="A148" s="517" t="s">
        <v>770</v>
      </c>
      <c r="B148" s="533"/>
      <c r="C148" s="533"/>
      <c r="D148" s="533"/>
      <c r="E148" s="533"/>
      <c r="F148" s="533"/>
      <c r="G148" s="533"/>
      <c r="H148" s="533"/>
      <c r="I148" s="533"/>
      <c r="J148" s="533"/>
      <c r="K148" s="533"/>
    </row>
    <row r="149" spans="1:12" x14ac:dyDescent="0.35">
      <c r="A149" s="509" t="s">
        <v>804</v>
      </c>
      <c r="B149" s="511">
        <v>36031</v>
      </c>
      <c r="C149" s="511">
        <v>53956</v>
      </c>
      <c r="D149" s="511">
        <v>68387</v>
      </c>
      <c r="E149" s="511">
        <v>70509</v>
      </c>
      <c r="F149" s="511">
        <v>1091273</v>
      </c>
      <c r="G149" s="511">
        <v>872528</v>
      </c>
      <c r="H149" s="511">
        <v>832509</v>
      </c>
      <c r="I149" s="511">
        <v>797031</v>
      </c>
      <c r="J149" s="511">
        <v>663957</v>
      </c>
      <c r="K149" s="511">
        <v>609588</v>
      </c>
    </row>
    <row r="150" spans="1:12" x14ac:dyDescent="0.35">
      <c r="A150" s="509" t="s">
        <v>805</v>
      </c>
      <c r="B150" s="511">
        <v>307086</v>
      </c>
      <c r="C150" s="511">
        <v>114936</v>
      </c>
      <c r="D150" s="511">
        <v>335180</v>
      </c>
      <c r="E150" s="511">
        <v>335530</v>
      </c>
      <c r="F150" s="511">
        <v>1824094</v>
      </c>
      <c r="G150" s="511">
        <v>1395371</v>
      </c>
      <c r="H150" s="511">
        <v>1205098</v>
      </c>
      <c r="I150" s="511">
        <v>1483033</v>
      </c>
      <c r="J150" s="511">
        <v>1234622</v>
      </c>
      <c r="K150" s="511">
        <v>842028</v>
      </c>
    </row>
    <row r="151" spans="1:12" x14ac:dyDescent="0.35">
      <c r="A151" s="509" t="s">
        <v>806</v>
      </c>
      <c r="B151" s="511">
        <v>2807086</v>
      </c>
      <c r="C151" s="511">
        <v>-639881</v>
      </c>
      <c r="D151" s="533" t="s">
        <v>690</v>
      </c>
      <c r="E151" s="511">
        <v>-10234140</v>
      </c>
      <c r="F151" s="511">
        <v>14627301</v>
      </c>
      <c r="G151" s="511">
        <v>3041503</v>
      </c>
      <c r="H151" s="511">
        <v>8221198</v>
      </c>
      <c r="I151" s="511">
        <v>5637919</v>
      </c>
      <c r="J151" s="511">
        <v>-500440</v>
      </c>
      <c r="K151" s="511">
        <v>4620405</v>
      </c>
    </row>
    <row r="152" spans="1:12" x14ac:dyDescent="0.35">
      <c r="A152" s="509" t="s">
        <v>807</v>
      </c>
      <c r="B152" s="511">
        <v>2847376</v>
      </c>
      <c r="C152" s="511">
        <v>-625075</v>
      </c>
      <c r="D152" s="533" t="s">
        <v>690</v>
      </c>
      <c r="E152" s="511">
        <v>-10182854</v>
      </c>
      <c r="F152" s="511">
        <v>15307062</v>
      </c>
      <c r="G152" s="511">
        <v>4142296</v>
      </c>
      <c r="H152" s="511">
        <v>8769448</v>
      </c>
      <c r="I152" s="511">
        <v>6117041</v>
      </c>
      <c r="J152" s="511">
        <v>184274</v>
      </c>
      <c r="K152" s="511">
        <v>4962999</v>
      </c>
    </row>
    <row r="153" spans="1:12" x14ac:dyDescent="0.35">
      <c r="A153" s="509" t="s">
        <v>808</v>
      </c>
      <c r="B153" s="511">
        <v>-1290363826</v>
      </c>
      <c r="C153" s="511">
        <v>2568528588</v>
      </c>
      <c r="D153" s="511">
        <v>-1062783301</v>
      </c>
      <c r="E153" s="511">
        <v>11875449743</v>
      </c>
      <c r="F153" s="511">
        <v>-9774866873</v>
      </c>
      <c r="G153" s="511">
        <v>511196951</v>
      </c>
      <c r="H153" s="511">
        <v>-3167643901</v>
      </c>
      <c r="I153" s="511">
        <v>-153953090</v>
      </c>
      <c r="J153" s="511">
        <v>1204101</v>
      </c>
      <c r="K153" s="511">
        <v>421897</v>
      </c>
    </row>
    <row r="154" spans="1:12" x14ac:dyDescent="0.35">
      <c r="A154" s="509" t="s">
        <v>809</v>
      </c>
      <c r="B154" s="511">
        <v>-891201</v>
      </c>
      <c r="C154" s="511">
        <v>2084970</v>
      </c>
      <c r="D154" s="511">
        <v>2046471</v>
      </c>
      <c r="E154" s="511">
        <v>11039661</v>
      </c>
      <c r="F154" s="511">
        <v>9089109</v>
      </c>
      <c r="G154" s="511">
        <v>-3573426</v>
      </c>
      <c r="H154" s="511">
        <v>-5806422</v>
      </c>
      <c r="I154" s="511">
        <v>-3620121</v>
      </c>
      <c r="J154" s="511">
        <v>295538</v>
      </c>
      <c r="K154" s="511">
        <v>-764080</v>
      </c>
    </row>
    <row r="155" spans="1:12" x14ac:dyDescent="0.35">
      <c r="A155" s="509" t="s">
        <v>783</v>
      </c>
      <c r="B155" s="533" t="s">
        <v>785</v>
      </c>
      <c r="C155" s="533" t="s">
        <v>785</v>
      </c>
      <c r="D155" s="533" t="s">
        <v>845</v>
      </c>
      <c r="E155" s="533" t="s">
        <v>845</v>
      </c>
      <c r="F155" s="533" t="s">
        <v>845</v>
      </c>
      <c r="G155" s="533" t="s">
        <v>810</v>
      </c>
      <c r="H155" s="533" t="s">
        <v>845</v>
      </c>
      <c r="I155" s="533" t="s">
        <v>810</v>
      </c>
      <c r="J155" s="533" t="s">
        <v>845</v>
      </c>
      <c r="K155" s="533" t="s">
        <v>785</v>
      </c>
    </row>
    <row r="156" spans="1:12" x14ac:dyDescent="0.35">
      <c r="A156" s="509" t="s">
        <v>786</v>
      </c>
      <c r="B156" s="533" t="s">
        <v>955</v>
      </c>
      <c r="C156" s="533" t="s">
        <v>955</v>
      </c>
      <c r="D156" s="533" t="s">
        <v>690</v>
      </c>
      <c r="E156" s="533" t="s">
        <v>955</v>
      </c>
      <c r="F156" s="533" t="s">
        <v>955</v>
      </c>
      <c r="G156" s="533" t="s">
        <v>955</v>
      </c>
      <c r="H156" s="533" t="s">
        <v>955</v>
      </c>
      <c r="I156" s="533" t="s">
        <v>955</v>
      </c>
      <c r="J156" s="533" t="s">
        <v>955</v>
      </c>
      <c r="K156" s="533" t="s">
        <v>955</v>
      </c>
    </row>
    <row r="158" spans="1:12" x14ac:dyDescent="0.35">
      <c r="A158" s="535"/>
      <c r="B158" s="535"/>
      <c r="C158" s="535"/>
      <c r="D158" s="535"/>
    </row>
    <row r="159" spans="1:12" ht="12.75" customHeight="1" x14ac:dyDescent="0.5">
      <c r="A159" s="521" t="s">
        <v>957</v>
      </c>
      <c r="B159" s="521"/>
      <c r="C159" s="521"/>
      <c r="D159" s="521"/>
      <c r="E159" s="521"/>
      <c r="F159" s="521"/>
      <c r="G159" s="521"/>
      <c r="H159" s="521"/>
      <c r="I159" s="521"/>
      <c r="J159" s="521"/>
      <c r="K159" s="521"/>
      <c r="L159" s="521"/>
    </row>
    <row r="160" spans="1:12" x14ac:dyDescent="0.35">
      <c r="A160" s="509" t="s">
        <v>941</v>
      </c>
    </row>
    <row r="162" spans="1:11" x14ac:dyDescent="0.35">
      <c r="A162" s="509" t="s">
        <v>665</v>
      </c>
      <c r="B162" s="514"/>
    </row>
    <row r="163" spans="1:11" x14ac:dyDescent="0.35">
      <c r="A163" s="509" t="s">
        <v>942</v>
      </c>
      <c r="B163" s="514"/>
    </row>
    <row r="164" spans="1:11" x14ac:dyDescent="0.35">
      <c r="A164" s="509" t="s">
        <v>667</v>
      </c>
      <c r="B164" s="514"/>
    </row>
    <row r="165" spans="1:11" x14ac:dyDescent="0.35">
      <c r="A165" s="509" t="s">
        <v>730</v>
      </c>
      <c r="B165" s="514"/>
    </row>
    <row r="166" spans="1:11" x14ac:dyDescent="0.35">
      <c r="A166" s="509" t="s">
        <v>668</v>
      </c>
      <c r="B166" s="514"/>
    </row>
    <row r="167" spans="1:11" x14ac:dyDescent="0.35">
      <c r="A167" s="509" t="s">
        <v>731</v>
      </c>
      <c r="B167" s="514"/>
    </row>
    <row r="168" spans="1:11" x14ac:dyDescent="0.35">
      <c r="A168" s="509" t="s">
        <v>732</v>
      </c>
      <c r="B168" s="514"/>
    </row>
    <row r="169" spans="1:11" x14ac:dyDescent="0.35">
      <c r="A169" s="534"/>
      <c r="B169" s="534"/>
      <c r="C169" s="534"/>
      <c r="D169" s="534"/>
      <c r="E169" s="534"/>
      <c r="F169" s="534"/>
      <c r="G169" s="534"/>
      <c r="H169" s="534"/>
      <c r="I169" s="534"/>
      <c r="J169" s="534"/>
      <c r="K169" s="534"/>
    </row>
    <row r="170" spans="1:11" x14ac:dyDescent="0.35">
      <c r="A170" s="520" t="s">
        <v>670</v>
      </c>
      <c r="B170" s="519" t="s">
        <v>943</v>
      </c>
      <c r="C170" s="519" t="s">
        <v>944</v>
      </c>
      <c r="D170" s="519" t="s">
        <v>945</v>
      </c>
      <c r="E170" s="519" t="s">
        <v>946</v>
      </c>
      <c r="F170" s="519" t="s">
        <v>947</v>
      </c>
      <c r="G170" s="519" t="s">
        <v>948</v>
      </c>
      <c r="H170" s="519" t="s">
        <v>949</v>
      </c>
      <c r="I170" s="519" t="s">
        <v>950</v>
      </c>
      <c r="J170" s="519" t="s">
        <v>951</v>
      </c>
      <c r="K170" s="519" t="s">
        <v>952</v>
      </c>
    </row>
    <row r="171" spans="1:11" ht="25.5" x14ac:dyDescent="0.35">
      <c r="A171" s="509" t="s">
        <v>73</v>
      </c>
      <c r="B171" s="533" t="s">
        <v>735</v>
      </c>
      <c r="C171" s="533" t="s">
        <v>735</v>
      </c>
      <c r="D171" s="533" t="s">
        <v>735</v>
      </c>
      <c r="E171" s="533" t="s">
        <v>735</v>
      </c>
      <c r="F171" s="533" t="s">
        <v>735</v>
      </c>
      <c r="G171" s="533" t="s">
        <v>735</v>
      </c>
      <c r="H171" s="533" t="s">
        <v>735</v>
      </c>
      <c r="I171" s="533" t="s">
        <v>735</v>
      </c>
      <c r="J171" s="533" t="s">
        <v>735</v>
      </c>
      <c r="K171" s="533" t="s">
        <v>735</v>
      </c>
    </row>
    <row r="172" spans="1:11" x14ac:dyDescent="0.35">
      <c r="A172" s="509" t="s">
        <v>678</v>
      </c>
      <c r="B172" s="533" t="s">
        <v>736</v>
      </c>
      <c r="C172" s="533" t="s">
        <v>737</v>
      </c>
      <c r="D172" s="533" t="s">
        <v>679</v>
      </c>
      <c r="E172" s="533" t="s">
        <v>680</v>
      </c>
      <c r="F172" s="533" t="s">
        <v>681</v>
      </c>
      <c r="G172" s="533" t="s">
        <v>682</v>
      </c>
      <c r="H172" s="533" t="s">
        <v>683</v>
      </c>
      <c r="I172" s="533" t="s">
        <v>684</v>
      </c>
      <c r="J172" s="533" t="s">
        <v>685</v>
      </c>
      <c r="K172" s="533" t="s">
        <v>738</v>
      </c>
    </row>
    <row r="173" spans="1:11" x14ac:dyDescent="0.35">
      <c r="A173" s="509" t="s">
        <v>739</v>
      </c>
      <c r="B173" s="537">
        <v>42645</v>
      </c>
      <c r="C173" s="537">
        <v>43010</v>
      </c>
      <c r="D173" s="533" t="s">
        <v>953</v>
      </c>
      <c r="E173" s="537">
        <v>43923</v>
      </c>
      <c r="F173" s="537">
        <v>44532</v>
      </c>
      <c r="G173" s="537">
        <v>44836</v>
      </c>
      <c r="H173" s="537">
        <v>45109</v>
      </c>
      <c r="I173" s="537">
        <v>45324</v>
      </c>
      <c r="J173" s="533" t="s">
        <v>954</v>
      </c>
      <c r="K173" s="533" t="s">
        <v>954</v>
      </c>
    </row>
    <row r="174" spans="1:11" x14ac:dyDescent="0.35">
      <c r="A174" s="509" t="s">
        <v>745</v>
      </c>
      <c r="B174" s="533">
        <v>7.6540000000000002E-3</v>
      </c>
      <c r="C174" s="533">
        <v>8.1290000000000008E-3</v>
      </c>
      <c r="D174" s="533">
        <v>7.3940000000000004E-3</v>
      </c>
      <c r="E174" s="533">
        <v>7.9609999999999993E-3</v>
      </c>
      <c r="F174" s="533">
        <v>8.2000000000000007E-3</v>
      </c>
      <c r="G174" s="533">
        <v>7.9209999999999992E-3</v>
      </c>
      <c r="H174" s="533">
        <v>7.6369999999999997E-3</v>
      </c>
      <c r="I174" s="533">
        <v>7.0949999999999997E-3</v>
      </c>
      <c r="J174" s="533">
        <v>6.4180000000000001E-3</v>
      </c>
      <c r="K174" s="533">
        <v>6.1440000000000002E-3</v>
      </c>
    </row>
    <row r="175" spans="1:11" x14ac:dyDescent="0.35">
      <c r="A175" s="509" t="s">
        <v>746</v>
      </c>
      <c r="B175" s="533">
        <v>7.4489999999999999E-3</v>
      </c>
      <c r="C175" s="533">
        <v>8.3330000000000001E-3</v>
      </c>
      <c r="D175" s="533">
        <v>7.9089999999999994E-3</v>
      </c>
      <c r="E175" s="533">
        <v>7.6740000000000003E-3</v>
      </c>
      <c r="F175" s="533">
        <v>8.1960000000000002E-3</v>
      </c>
      <c r="G175" s="533">
        <v>8.2129999999999998E-3</v>
      </c>
      <c r="H175" s="533">
        <v>7.7029999999999998E-3</v>
      </c>
      <c r="I175" s="533">
        <v>7.2550000000000002E-3</v>
      </c>
      <c r="J175" s="533">
        <v>6.5950000000000002E-3</v>
      </c>
      <c r="K175" s="533">
        <v>6.1079999999999997E-3</v>
      </c>
    </row>
    <row r="176" spans="1:11" x14ac:dyDescent="0.35">
      <c r="A176" s="509" t="s">
        <v>812</v>
      </c>
      <c r="B176" s="533" t="s">
        <v>958</v>
      </c>
      <c r="C176" s="533" t="s">
        <v>958</v>
      </c>
      <c r="D176" s="533" t="s">
        <v>958</v>
      </c>
      <c r="E176" s="533" t="s">
        <v>958</v>
      </c>
      <c r="F176" s="533" t="s">
        <v>958</v>
      </c>
      <c r="G176" s="533" t="s">
        <v>958</v>
      </c>
      <c r="H176" s="533" t="s">
        <v>958</v>
      </c>
      <c r="I176" s="533" t="s">
        <v>958</v>
      </c>
      <c r="J176" s="533" t="s">
        <v>958</v>
      </c>
      <c r="K176" s="533" t="s">
        <v>958</v>
      </c>
    </row>
    <row r="177" spans="1:11" x14ac:dyDescent="0.35">
      <c r="A177" s="509" t="s">
        <v>73</v>
      </c>
      <c r="B177" s="533"/>
      <c r="C177" s="533"/>
      <c r="D177" s="533"/>
      <c r="E177" s="533"/>
      <c r="F177" s="533"/>
      <c r="G177" s="533"/>
      <c r="H177" s="533"/>
      <c r="I177" s="533"/>
      <c r="J177" s="533"/>
      <c r="K177" s="533"/>
    </row>
    <row r="178" spans="1:11" ht="13.15" x14ac:dyDescent="0.35">
      <c r="A178" s="517" t="s">
        <v>814</v>
      </c>
      <c r="B178" s="533"/>
      <c r="C178" s="533"/>
      <c r="D178" s="533"/>
      <c r="E178" s="533"/>
      <c r="F178" s="533"/>
      <c r="G178" s="533"/>
      <c r="H178" s="533"/>
      <c r="I178" s="533"/>
      <c r="J178" s="533"/>
      <c r="K178" s="533"/>
    </row>
    <row r="179" spans="1:11" x14ac:dyDescent="0.35">
      <c r="A179" s="509" t="s">
        <v>599</v>
      </c>
      <c r="B179" s="511">
        <v>4293314</v>
      </c>
      <c r="C179" s="511">
        <v>4545465</v>
      </c>
      <c r="D179" s="511">
        <v>3255140</v>
      </c>
      <c r="E179" s="511">
        <v>2371255</v>
      </c>
      <c r="F179" s="511">
        <v>4659619</v>
      </c>
      <c r="G179" s="511">
        <v>4892271</v>
      </c>
      <c r="H179" s="511">
        <v>5531736</v>
      </c>
      <c r="I179" s="511">
        <v>4861393</v>
      </c>
      <c r="J179" s="511">
        <v>1850700</v>
      </c>
      <c r="K179" s="511">
        <v>3035723</v>
      </c>
    </row>
    <row r="180" spans="1:11" x14ac:dyDescent="0.35">
      <c r="A180" s="509" t="s">
        <v>600</v>
      </c>
      <c r="B180" s="533" t="s">
        <v>690</v>
      </c>
      <c r="C180" s="533" t="s">
        <v>690</v>
      </c>
      <c r="D180" s="511">
        <v>193917</v>
      </c>
      <c r="E180" s="511">
        <v>98807</v>
      </c>
      <c r="F180" s="511">
        <v>165171</v>
      </c>
      <c r="G180" s="533" t="s">
        <v>690</v>
      </c>
      <c r="H180" s="533" t="s">
        <v>690</v>
      </c>
      <c r="I180" s="533" t="s">
        <v>690</v>
      </c>
      <c r="J180" s="533" t="s">
        <v>690</v>
      </c>
      <c r="K180" s="533" t="s">
        <v>690</v>
      </c>
    </row>
    <row r="181" spans="1:11" x14ac:dyDescent="0.35">
      <c r="A181" s="509" t="s">
        <v>815</v>
      </c>
      <c r="B181" s="511">
        <v>4293314</v>
      </c>
      <c r="C181" s="511">
        <v>4545465</v>
      </c>
      <c r="D181" s="511">
        <v>3449057</v>
      </c>
      <c r="E181" s="511">
        <v>2470063</v>
      </c>
      <c r="F181" s="511">
        <v>4824790</v>
      </c>
      <c r="G181" s="511">
        <v>4892271</v>
      </c>
      <c r="H181" s="511">
        <v>5531736</v>
      </c>
      <c r="I181" s="511">
        <v>4861393</v>
      </c>
      <c r="J181" s="511">
        <v>1850700</v>
      </c>
      <c r="K181" s="511">
        <v>3035723</v>
      </c>
    </row>
    <row r="182" spans="1:11" x14ac:dyDescent="0.35">
      <c r="A182" s="509" t="s">
        <v>602</v>
      </c>
      <c r="B182" s="511">
        <v>3703411</v>
      </c>
      <c r="C182" s="511">
        <v>3985653</v>
      </c>
      <c r="D182" s="511">
        <v>3783205</v>
      </c>
      <c r="E182" s="511">
        <v>4055954</v>
      </c>
      <c r="F182" s="511">
        <v>6729434</v>
      </c>
      <c r="G182" s="511">
        <v>6269293</v>
      </c>
      <c r="H182" s="511">
        <v>5464333</v>
      </c>
      <c r="I182" s="511">
        <v>5018749</v>
      </c>
      <c r="J182" s="511">
        <v>4596794</v>
      </c>
      <c r="K182" s="511">
        <v>4370682</v>
      </c>
    </row>
    <row r="183" spans="1:11" x14ac:dyDescent="0.35">
      <c r="A183" s="509" t="s">
        <v>603</v>
      </c>
      <c r="B183" s="511">
        <v>75442</v>
      </c>
      <c r="C183" s="511">
        <v>53359</v>
      </c>
      <c r="D183" s="511">
        <v>51845</v>
      </c>
      <c r="E183" s="511">
        <v>50064</v>
      </c>
      <c r="F183" s="511">
        <v>257613</v>
      </c>
      <c r="G183" s="511">
        <v>296736</v>
      </c>
      <c r="H183" s="511">
        <v>310074</v>
      </c>
      <c r="I183" s="511">
        <v>514804</v>
      </c>
      <c r="J183" s="511">
        <v>172318</v>
      </c>
      <c r="K183" s="511">
        <v>145272</v>
      </c>
    </row>
    <row r="184" spans="1:11" x14ac:dyDescent="0.35">
      <c r="A184" s="509" t="s">
        <v>816</v>
      </c>
      <c r="B184" s="511">
        <v>3778853</v>
      </c>
      <c r="C184" s="511">
        <v>4039011</v>
      </c>
      <c r="D184" s="511">
        <v>3835050</v>
      </c>
      <c r="E184" s="511">
        <v>4106019</v>
      </c>
      <c r="F184" s="511">
        <v>6987047</v>
      </c>
      <c r="G184" s="511">
        <v>6566028</v>
      </c>
      <c r="H184" s="511">
        <v>5774407</v>
      </c>
      <c r="I184" s="511">
        <v>5533553</v>
      </c>
      <c r="J184" s="511">
        <v>4769112</v>
      </c>
      <c r="K184" s="511">
        <v>4515954</v>
      </c>
    </row>
    <row r="185" spans="1:11" x14ac:dyDescent="0.35">
      <c r="A185" s="509" t="s">
        <v>605</v>
      </c>
      <c r="B185" s="511">
        <v>2056842</v>
      </c>
      <c r="C185" s="511">
        <v>1812037</v>
      </c>
      <c r="D185" s="511">
        <v>1664350</v>
      </c>
      <c r="E185" s="511">
        <v>1778388</v>
      </c>
      <c r="F185" s="511">
        <v>6570617</v>
      </c>
      <c r="G185" s="511">
        <v>5856388</v>
      </c>
      <c r="H185" s="511">
        <v>6196019</v>
      </c>
      <c r="I185" s="511">
        <v>6579524</v>
      </c>
      <c r="J185" s="511">
        <v>7506798</v>
      </c>
      <c r="K185" s="511">
        <v>7657574</v>
      </c>
    </row>
    <row r="186" spans="1:11" x14ac:dyDescent="0.35">
      <c r="A186" s="509" t="s">
        <v>284</v>
      </c>
      <c r="B186" s="511">
        <v>1731900</v>
      </c>
      <c r="C186" s="511">
        <v>3067237</v>
      </c>
      <c r="D186" s="511">
        <v>411923</v>
      </c>
      <c r="E186" s="511">
        <v>12900973</v>
      </c>
      <c r="F186" s="511">
        <v>2283019</v>
      </c>
      <c r="G186" s="511">
        <v>3411318</v>
      </c>
      <c r="H186" s="511">
        <v>1421315</v>
      </c>
      <c r="I186" s="511">
        <v>1444970</v>
      </c>
      <c r="J186" s="511">
        <v>1461722</v>
      </c>
      <c r="K186" s="511">
        <v>1712043</v>
      </c>
    </row>
    <row r="187" spans="1:11" x14ac:dyDescent="0.35">
      <c r="A187" s="509" t="s">
        <v>817</v>
      </c>
      <c r="B187" s="511">
        <v>11860908</v>
      </c>
      <c r="C187" s="511">
        <v>13463751</v>
      </c>
      <c r="D187" s="511">
        <v>9360381</v>
      </c>
      <c r="E187" s="511">
        <v>21255443</v>
      </c>
      <c r="F187" s="511">
        <v>20665473</v>
      </c>
      <c r="G187" s="511">
        <v>20726006</v>
      </c>
      <c r="H187" s="511">
        <v>18923477</v>
      </c>
      <c r="I187" s="511">
        <v>18419439</v>
      </c>
      <c r="J187" s="511">
        <v>15588332</v>
      </c>
      <c r="K187" s="511">
        <v>16921294</v>
      </c>
    </row>
    <row r="188" spans="1:11" ht="13.15" x14ac:dyDescent="0.35">
      <c r="A188" s="517" t="s">
        <v>885</v>
      </c>
      <c r="B188" s="529">
        <v>3954764</v>
      </c>
      <c r="C188" s="529">
        <v>4254024</v>
      </c>
      <c r="D188" s="529">
        <v>4005130</v>
      </c>
      <c r="E188" s="529">
        <v>4790497</v>
      </c>
      <c r="F188" s="529">
        <v>12043810</v>
      </c>
      <c r="G188" s="529">
        <v>10797405</v>
      </c>
      <c r="H188" s="529">
        <v>11406408</v>
      </c>
      <c r="I188" s="529">
        <v>11753039</v>
      </c>
      <c r="J188" s="529">
        <v>11818817</v>
      </c>
      <c r="K188" s="529">
        <v>12396450</v>
      </c>
    </row>
    <row r="189" spans="1:11" x14ac:dyDescent="0.35">
      <c r="A189" s="509" t="s">
        <v>595</v>
      </c>
      <c r="B189" s="511">
        <v>2662136</v>
      </c>
      <c r="C189" s="511">
        <v>2803947</v>
      </c>
      <c r="D189" s="511">
        <v>2313518</v>
      </c>
      <c r="E189" s="511">
        <v>2251703</v>
      </c>
      <c r="F189" s="511">
        <v>3234976</v>
      </c>
      <c r="G189" s="511">
        <v>826403</v>
      </c>
      <c r="H189" s="511">
        <v>798112</v>
      </c>
      <c r="I189" s="511">
        <v>669996</v>
      </c>
      <c r="J189" s="511">
        <v>663061</v>
      </c>
      <c r="K189" s="511">
        <v>77969</v>
      </c>
    </row>
    <row r="190" spans="1:11" x14ac:dyDescent="0.35">
      <c r="A190" s="509" t="s">
        <v>453</v>
      </c>
      <c r="B190" s="511">
        <v>6266333</v>
      </c>
      <c r="C190" s="511">
        <v>6319036</v>
      </c>
      <c r="D190" s="511">
        <v>7972255</v>
      </c>
      <c r="E190" s="511">
        <v>8386566</v>
      </c>
      <c r="F190" s="511">
        <v>33652089</v>
      </c>
      <c r="G190" s="511">
        <v>30296174</v>
      </c>
      <c r="H190" s="511">
        <v>31830640</v>
      </c>
      <c r="I190" s="511">
        <v>33284455</v>
      </c>
      <c r="J190" s="511">
        <v>32804453</v>
      </c>
      <c r="K190" s="511">
        <v>33925760</v>
      </c>
    </row>
    <row r="191" spans="1:11" x14ac:dyDescent="0.35">
      <c r="A191" s="509" t="s">
        <v>596</v>
      </c>
      <c r="B191" s="511">
        <v>6110154</v>
      </c>
      <c r="C191" s="511">
        <v>5567240</v>
      </c>
      <c r="D191" s="511">
        <v>7937009</v>
      </c>
      <c r="E191" s="511">
        <v>8121557</v>
      </c>
      <c r="F191" s="511">
        <v>35326793</v>
      </c>
      <c r="G191" s="511">
        <v>29756907</v>
      </c>
      <c r="H191" s="511">
        <v>28958256</v>
      </c>
      <c r="I191" s="511">
        <v>26719790</v>
      </c>
      <c r="J191" s="511">
        <v>26294858</v>
      </c>
      <c r="K191" s="511">
        <v>24279827</v>
      </c>
    </row>
    <row r="192" spans="1:11" x14ac:dyDescent="0.35">
      <c r="A192" s="509" t="s">
        <v>597</v>
      </c>
      <c r="B192" s="511">
        <v>1213451</v>
      </c>
      <c r="C192" s="511">
        <v>1262606</v>
      </c>
      <c r="D192" s="511">
        <v>589396</v>
      </c>
      <c r="E192" s="511">
        <v>394465</v>
      </c>
      <c r="F192" s="511">
        <v>1213604</v>
      </c>
      <c r="G192" s="511">
        <v>1998082</v>
      </c>
      <c r="H192" s="511">
        <v>2693657</v>
      </c>
      <c r="I192" s="511">
        <v>2550060</v>
      </c>
      <c r="J192" s="511">
        <v>2032523</v>
      </c>
      <c r="K192" s="511">
        <v>2311623</v>
      </c>
    </row>
    <row r="193" spans="1:11" x14ac:dyDescent="0.35">
      <c r="A193" s="509" t="s">
        <v>598</v>
      </c>
      <c r="B193" s="533">
        <v>0</v>
      </c>
      <c r="C193" s="533">
        <v>8</v>
      </c>
      <c r="D193" s="511">
        <v>433069</v>
      </c>
      <c r="E193" s="511">
        <v>710470</v>
      </c>
      <c r="F193" s="511">
        <v>715343</v>
      </c>
      <c r="G193" s="511">
        <v>2917200</v>
      </c>
      <c r="H193" s="511">
        <v>2367057</v>
      </c>
      <c r="I193" s="511">
        <v>2425357</v>
      </c>
      <c r="J193" s="511">
        <v>2081422</v>
      </c>
      <c r="K193" s="511">
        <v>2897792</v>
      </c>
    </row>
    <row r="194" spans="1:11" x14ac:dyDescent="0.35">
      <c r="A194" s="509" t="s">
        <v>287</v>
      </c>
      <c r="B194" s="511">
        <v>32067746</v>
      </c>
      <c r="C194" s="511">
        <v>33670611</v>
      </c>
      <c r="D194" s="511">
        <v>32610758</v>
      </c>
      <c r="E194" s="511">
        <v>45910701</v>
      </c>
      <c r="F194" s="511">
        <v>106852087</v>
      </c>
      <c r="G194" s="511">
        <v>97318176</v>
      </c>
      <c r="H194" s="511">
        <v>96977607</v>
      </c>
      <c r="I194" s="511">
        <v>95822135</v>
      </c>
      <c r="J194" s="511">
        <v>91283468</v>
      </c>
      <c r="K194" s="511">
        <v>92810715</v>
      </c>
    </row>
    <row r="195" spans="1:11" ht="13.15" x14ac:dyDescent="0.35">
      <c r="A195" s="517" t="s">
        <v>820</v>
      </c>
      <c r="B195" s="533"/>
      <c r="C195" s="533"/>
      <c r="D195" s="533"/>
      <c r="E195" s="533"/>
      <c r="F195" s="533"/>
      <c r="G195" s="533"/>
      <c r="H195" s="533"/>
      <c r="I195" s="533"/>
      <c r="J195" s="533"/>
      <c r="K195" s="533"/>
    </row>
    <row r="196" spans="1:11" x14ac:dyDescent="0.35">
      <c r="A196" s="509" t="s">
        <v>616</v>
      </c>
      <c r="B196" s="511">
        <v>1304330</v>
      </c>
      <c r="C196" s="511">
        <v>1884564</v>
      </c>
      <c r="D196" s="511">
        <v>1652158</v>
      </c>
      <c r="E196" s="511">
        <v>1979139</v>
      </c>
      <c r="F196" s="511">
        <v>2458973</v>
      </c>
      <c r="G196" s="511">
        <v>2589984</v>
      </c>
      <c r="H196" s="511">
        <v>2681973</v>
      </c>
      <c r="I196" s="511">
        <v>2704145</v>
      </c>
      <c r="J196" s="511">
        <v>3104189</v>
      </c>
      <c r="K196" s="511">
        <v>2827177</v>
      </c>
    </row>
    <row r="197" spans="1:11" x14ac:dyDescent="0.35">
      <c r="A197" s="509" t="s">
        <v>651</v>
      </c>
      <c r="B197" s="533" t="s">
        <v>690</v>
      </c>
      <c r="C197" s="533" t="s">
        <v>690</v>
      </c>
      <c r="D197" s="533" t="s">
        <v>690</v>
      </c>
      <c r="E197" s="533" t="s">
        <v>690</v>
      </c>
      <c r="F197" s="511">
        <v>1311924</v>
      </c>
      <c r="G197" s="511">
        <v>308918</v>
      </c>
      <c r="H197" s="533" t="s">
        <v>690</v>
      </c>
      <c r="I197" s="533" t="s">
        <v>690</v>
      </c>
      <c r="J197" s="533" t="s">
        <v>690</v>
      </c>
      <c r="K197" s="533" t="s">
        <v>690</v>
      </c>
    </row>
    <row r="198" spans="1:11" x14ac:dyDescent="0.35">
      <c r="A198" s="509" t="s">
        <v>652</v>
      </c>
      <c r="B198" s="511">
        <v>765339</v>
      </c>
      <c r="C198" s="511">
        <v>1917178</v>
      </c>
      <c r="D198" s="511">
        <v>1035131</v>
      </c>
      <c r="E198" s="511">
        <v>961190</v>
      </c>
      <c r="F198" s="511">
        <v>3703735</v>
      </c>
      <c r="G198" s="511">
        <v>1944393</v>
      </c>
      <c r="H198" s="511">
        <v>938853</v>
      </c>
      <c r="I198" s="511">
        <v>2639647</v>
      </c>
      <c r="J198" s="511">
        <v>2376550</v>
      </c>
      <c r="K198" s="511">
        <v>832258</v>
      </c>
    </row>
    <row r="199" spans="1:11" x14ac:dyDescent="0.35">
      <c r="A199" s="509" t="s">
        <v>619</v>
      </c>
      <c r="B199" s="511">
        <v>452482</v>
      </c>
      <c r="C199" s="511">
        <v>635485</v>
      </c>
      <c r="D199" s="511">
        <v>715801</v>
      </c>
      <c r="E199" s="511">
        <v>481188</v>
      </c>
      <c r="F199" s="511">
        <v>1247000</v>
      </c>
      <c r="G199" s="511">
        <v>1075700</v>
      </c>
      <c r="H199" s="511">
        <v>1416199</v>
      </c>
      <c r="I199" s="511">
        <v>1339474</v>
      </c>
      <c r="J199" s="511">
        <v>721683</v>
      </c>
      <c r="K199" s="511">
        <v>979625</v>
      </c>
    </row>
    <row r="200" spans="1:11" x14ac:dyDescent="0.35">
      <c r="A200" s="509" t="s">
        <v>297</v>
      </c>
      <c r="B200" s="511">
        <v>5099539</v>
      </c>
      <c r="C200" s="511">
        <v>3137139</v>
      </c>
      <c r="D200" s="511">
        <v>3089918</v>
      </c>
      <c r="E200" s="511">
        <v>3517816</v>
      </c>
      <c r="F200" s="511">
        <v>8721755</v>
      </c>
      <c r="G200" s="511">
        <v>8378030</v>
      </c>
      <c r="H200" s="511">
        <v>8780109</v>
      </c>
      <c r="I200" s="511">
        <v>9187929</v>
      </c>
      <c r="J200" s="511">
        <v>8444628</v>
      </c>
      <c r="K200" s="511">
        <v>8250034</v>
      </c>
    </row>
    <row r="201" spans="1:11" x14ac:dyDescent="0.35">
      <c r="A201" s="509" t="s">
        <v>821</v>
      </c>
      <c r="B201" s="511">
        <v>7621690</v>
      </c>
      <c r="C201" s="511">
        <v>7574366</v>
      </c>
      <c r="D201" s="511">
        <v>6493008</v>
      </c>
      <c r="E201" s="511">
        <v>6939333</v>
      </c>
      <c r="F201" s="511">
        <v>17443387</v>
      </c>
      <c r="G201" s="511">
        <v>14297026</v>
      </c>
      <c r="H201" s="511">
        <v>13817133</v>
      </c>
      <c r="I201" s="511">
        <v>15871196</v>
      </c>
      <c r="J201" s="511">
        <v>14647049</v>
      </c>
      <c r="K201" s="511">
        <v>12889094</v>
      </c>
    </row>
    <row r="202" spans="1:11" x14ac:dyDescent="0.35">
      <c r="A202" s="509" t="s">
        <v>612</v>
      </c>
      <c r="B202" s="511">
        <v>4822707</v>
      </c>
      <c r="C202" s="511">
        <v>6015913</v>
      </c>
      <c r="D202" s="511">
        <v>7382459</v>
      </c>
      <c r="E202" s="511">
        <v>19328717</v>
      </c>
      <c r="F202" s="511">
        <v>37800246</v>
      </c>
      <c r="G202" s="511">
        <v>35379618</v>
      </c>
      <c r="H202" s="511">
        <v>32318991</v>
      </c>
      <c r="I202" s="511">
        <v>27777915</v>
      </c>
      <c r="J202" s="511">
        <v>27558250</v>
      </c>
      <c r="K202" s="511">
        <v>28903774</v>
      </c>
    </row>
    <row r="203" spans="1:11" x14ac:dyDescent="0.35">
      <c r="A203" s="509" t="s">
        <v>613</v>
      </c>
      <c r="B203" s="533" t="s">
        <v>690</v>
      </c>
      <c r="C203" s="533" t="s">
        <v>690</v>
      </c>
      <c r="D203" s="533" t="s">
        <v>690</v>
      </c>
      <c r="E203" s="511">
        <v>1042866</v>
      </c>
      <c r="F203" s="511">
        <v>3348793</v>
      </c>
      <c r="G203" s="511">
        <v>3923306</v>
      </c>
      <c r="H203" s="533" t="s">
        <v>690</v>
      </c>
      <c r="I203" s="511">
        <v>3572864</v>
      </c>
      <c r="J203" s="511">
        <v>3479387</v>
      </c>
      <c r="K203" s="511">
        <v>3631992</v>
      </c>
    </row>
    <row r="204" spans="1:11" x14ac:dyDescent="0.35">
      <c r="A204" s="509" t="s">
        <v>649</v>
      </c>
      <c r="B204" s="511">
        <v>634546</v>
      </c>
      <c r="C204" s="511">
        <v>659669</v>
      </c>
      <c r="D204" s="511">
        <v>655179</v>
      </c>
      <c r="E204" s="511">
        <v>679527</v>
      </c>
      <c r="F204" s="511">
        <v>1310022</v>
      </c>
      <c r="G204" s="511">
        <v>1348918</v>
      </c>
      <c r="H204" s="511">
        <v>1296772</v>
      </c>
      <c r="I204" s="511">
        <v>942341</v>
      </c>
      <c r="J204" s="511">
        <v>891755</v>
      </c>
      <c r="K204" s="511">
        <v>875079</v>
      </c>
    </row>
    <row r="205" spans="1:11" x14ac:dyDescent="0.35">
      <c r="A205" s="509" t="s">
        <v>650</v>
      </c>
      <c r="B205" s="511">
        <v>988917</v>
      </c>
      <c r="C205" s="511">
        <v>935129</v>
      </c>
      <c r="D205" s="511">
        <v>861096</v>
      </c>
      <c r="E205" s="511">
        <v>841311</v>
      </c>
      <c r="F205" s="511">
        <v>5687996</v>
      </c>
      <c r="G205" s="511">
        <v>4562212</v>
      </c>
      <c r="H205" s="511">
        <v>4266038</v>
      </c>
      <c r="I205" s="511">
        <v>2757872</v>
      </c>
      <c r="J205" s="511">
        <v>853831</v>
      </c>
      <c r="K205" s="511">
        <v>231430</v>
      </c>
    </row>
    <row r="206" spans="1:11" x14ac:dyDescent="0.35">
      <c r="A206" s="509" t="s">
        <v>615</v>
      </c>
      <c r="B206" s="511">
        <v>1449917</v>
      </c>
      <c r="C206" s="511">
        <v>1866518</v>
      </c>
      <c r="D206" s="511">
        <v>1440045</v>
      </c>
      <c r="E206" s="511">
        <v>818750</v>
      </c>
      <c r="F206" s="511">
        <v>1278954</v>
      </c>
      <c r="G206" s="511">
        <v>1058306</v>
      </c>
      <c r="H206" s="511">
        <v>4559953</v>
      </c>
      <c r="I206" s="511">
        <v>1074835</v>
      </c>
      <c r="J206" s="511">
        <v>578862</v>
      </c>
      <c r="K206" s="511">
        <v>698653</v>
      </c>
    </row>
    <row r="207" spans="1:11" x14ac:dyDescent="0.35">
      <c r="A207" s="509" t="s">
        <v>822</v>
      </c>
      <c r="B207" s="511">
        <v>15517778</v>
      </c>
      <c r="C207" s="511">
        <v>17051594</v>
      </c>
      <c r="D207" s="511">
        <v>16831787</v>
      </c>
      <c r="E207" s="511">
        <v>29650503</v>
      </c>
      <c r="F207" s="511">
        <v>66869398</v>
      </c>
      <c r="G207" s="511">
        <v>60569386</v>
      </c>
      <c r="H207" s="511">
        <v>56258888</v>
      </c>
      <c r="I207" s="511">
        <v>51997022</v>
      </c>
      <c r="J207" s="511">
        <v>48009134</v>
      </c>
      <c r="K207" s="511">
        <v>47230022</v>
      </c>
    </row>
    <row r="208" spans="1:11" ht="13.15" x14ac:dyDescent="0.35">
      <c r="A208" s="517" t="s">
        <v>823</v>
      </c>
      <c r="B208" s="533"/>
      <c r="C208" s="533"/>
      <c r="D208" s="533"/>
      <c r="E208" s="533"/>
      <c r="F208" s="533"/>
      <c r="G208" s="533"/>
      <c r="H208" s="533"/>
      <c r="I208" s="533"/>
      <c r="J208" s="533"/>
      <c r="K208" s="533"/>
    </row>
    <row r="209" spans="1:11" x14ac:dyDescent="0.35">
      <c r="A209" s="509" t="s">
        <v>608</v>
      </c>
      <c r="B209" s="511">
        <v>494332</v>
      </c>
      <c r="C209" s="511">
        <v>528288</v>
      </c>
      <c r="D209" s="511">
        <v>489713</v>
      </c>
      <c r="E209" s="511">
        <v>620467</v>
      </c>
      <c r="F209" s="511">
        <v>13677565</v>
      </c>
      <c r="G209" s="511">
        <v>13213334</v>
      </c>
      <c r="H209" s="511">
        <v>12801491</v>
      </c>
      <c r="I209" s="511">
        <v>11894366</v>
      </c>
      <c r="J209" s="511">
        <v>10760123</v>
      </c>
      <c r="K209" s="511">
        <v>10411348</v>
      </c>
    </row>
    <row r="210" spans="1:11" x14ac:dyDescent="0.35">
      <c r="A210" s="509" t="s">
        <v>609</v>
      </c>
      <c r="B210" s="511">
        <v>495840</v>
      </c>
      <c r="C210" s="511">
        <v>566527</v>
      </c>
      <c r="D210" s="511">
        <v>553315</v>
      </c>
      <c r="E210" s="511">
        <v>693355</v>
      </c>
      <c r="F210" s="511">
        <v>13723770</v>
      </c>
      <c r="G210" s="511">
        <v>13296591</v>
      </c>
      <c r="H210" s="511">
        <v>12964150</v>
      </c>
      <c r="I210" s="511">
        <v>12147688</v>
      </c>
      <c r="J210" s="511">
        <v>11104098</v>
      </c>
      <c r="K210" s="511">
        <v>10788191</v>
      </c>
    </row>
    <row r="211" spans="1:11" x14ac:dyDescent="0.35">
      <c r="A211" s="509" t="s">
        <v>610</v>
      </c>
      <c r="B211" s="511">
        <v>12104692</v>
      </c>
      <c r="C211" s="511">
        <v>12575535</v>
      </c>
      <c r="D211" s="511">
        <v>11902833</v>
      </c>
      <c r="E211" s="511">
        <v>12855646</v>
      </c>
      <c r="F211" s="511">
        <v>11302613</v>
      </c>
      <c r="G211" s="511">
        <v>10349292</v>
      </c>
      <c r="H211" s="511">
        <v>11202800</v>
      </c>
      <c r="I211" s="511">
        <v>10697972</v>
      </c>
      <c r="J211" s="511">
        <v>8964965</v>
      </c>
      <c r="K211" s="511">
        <v>7931094</v>
      </c>
    </row>
    <row r="212" spans="1:11" x14ac:dyDescent="0.35">
      <c r="A212" s="509" t="s">
        <v>647</v>
      </c>
      <c r="B212" s="511">
        <v>-275278</v>
      </c>
      <c r="C212" s="511">
        <v>-396704</v>
      </c>
      <c r="D212" s="511">
        <v>-381431</v>
      </c>
      <c r="E212" s="511">
        <v>-454846</v>
      </c>
      <c r="F212" s="511">
        <v>-717278</v>
      </c>
      <c r="G212" s="511">
        <v>-471829</v>
      </c>
      <c r="H212" s="511">
        <v>-695059</v>
      </c>
      <c r="I212" s="511">
        <v>-711774</v>
      </c>
      <c r="J212" s="511">
        <v>-328944</v>
      </c>
      <c r="K212" s="511">
        <v>-152577</v>
      </c>
    </row>
    <row r="213" spans="1:11" x14ac:dyDescent="0.35">
      <c r="A213" s="509" t="s">
        <v>611</v>
      </c>
      <c r="B213" s="511">
        <v>3244309</v>
      </c>
      <c r="C213" s="511">
        <v>2834642</v>
      </c>
      <c r="D213" s="511">
        <v>3065201</v>
      </c>
      <c r="E213" s="511">
        <v>2514563</v>
      </c>
      <c r="F213" s="511">
        <v>1962016</v>
      </c>
      <c r="G213" s="511">
        <v>329124</v>
      </c>
      <c r="H213" s="511">
        <v>4441573</v>
      </c>
      <c r="I213" s="511">
        <v>9793172</v>
      </c>
      <c r="J213" s="511">
        <v>12769772</v>
      </c>
      <c r="K213" s="511">
        <v>16597003</v>
      </c>
    </row>
    <row r="214" spans="1:11" x14ac:dyDescent="0.35">
      <c r="A214" s="509" t="s">
        <v>824</v>
      </c>
      <c r="B214" s="511">
        <v>16063894</v>
      </c>
      <c r="C214" s="511">
        <v>16108288</v>
      </c>
      <c r="D214" s="511">
        <v>15629630</v>
      </c>
      <c r="E214" s="511">
        <v>16229183</v>
      </c>
      <c r="F214" s="511">
        <v>39948686</v>
      </c>
      <c r="G214" s="511">
        <v>36716512</v>
      </c>
      <c r="H214" s="511">
        <v>40714955</v>
      </c>
      <c r="I214" s="511">
        <v>43821424</v>
      </c>
      <c r="J214" s="511">
        <v>43270014</v>
      </c>
      <c r="K214" s="511">
        <v>45575060</v>
      </c>
    </row>
    <row r="215" spans="1:11" x14ac:dyDescent="0.35">
      <c r="A215" s="509" t="s">
        <v>648</v>
      </c>
      <c r="B215" s="511">
        <v>486074</v>
      </c>
      <c r="C215" s="511">
        <v>510729</v>
      </c>
      <c r="D215" s="511">
        <v>149340</v>
      </c>
      <c r="E215" s="511">
        <v>31015</v>
      </c>
      <c r="F215" s="511">
        <v>34003</v>
      </c>
      <c r="G215" s="511">
        <v>32278</v>
      </c>
      <c r="H215" s="511">
        <v>3765</v>
      </c>
      <c r="I215" s="511">
        <v>3690</v>
      </c>
      <c r="J215" s="511">
        <v>4319</v>
      </c>
      <c r="K215" s="511">
        <v>5634</v>
      </c>
    </row>
    <row r="216" spans="1:11" x14ac:dyDescent="0.35">
      <c r="A216" s="509" t="s">
        <v>825</v>
      </c>
      <c r="B216" s="511">
        <v>16549968</v>
      </c>
      <c r="C216" s="511">
        <v>16619017</v>
      </c>
      <c r="D216" s="511">
        <v>15778970</v>
      </c>
      <c r="E216" s="511">
        <v>16260198</v>
      </c>
      <c r="F216" s="511">
        <v>39982690</v>
      </c>
      <c r="G216" s="511">
        <v>36748790</v>
      </c>
      <c r="H216" s="511">
        <v>40718720</v>
      </c>
      <c r="I216" s="511">
        <v>43825113</v>
      </c>
      <c r="J216" s="511">
        <v>43274333</v>
      </c>
      <c r="K216" s="511">
        <v>45580693</v>
      </c>
    </row>
    <row r="217" spans="1:11" x14ac:dyDescent="0.35">
      <c r="A217" s="509" t="s">
        <v>826</v>
      </c>
      <c r="B217" s="511">
        <v>32067746</v>
      </c>
      <c r="C217" s="511">
        <v>33670611</v>
      </c>
      <c r="D217" s="511">
        <v>32610758</v>
      </c>
      <c r="E217" s="511">
        <v>45910701</v>
      </c>
      <c r="F217" s="511">
        <v>106852087</v>
      </c>
      <c r="G217" s="511">
        <v>97318176</v>
      </c>
      <c r="H217" s="511">
        <v>96977607</v>
      </c>
      <c r="I217" s="511">
        <v>95822135</v>
      </c>
      <c r="J217" s="511">
        <v>91283468</v>
      </c>
      <c r="K217" s="511">
        <v>92810715</v>
      </c>
    </row>
    <row r="218" spans="1:11" ht="13.15" x14ac:dyDescent="0.35">
      <c r="A218" s="517" t="s">
        <v>827</v>
      </c>
      <c r="B218" s="533"/>
      <c r="C218" s="533"/>
      <c r="D218" s="533"/>
      <c r="E218" s="533"/>
      <c r="F218" s="533"/>
      <c r="G218" s="533"/>
      <c r="H218" s="533"/>
      <c r="I218" s="533"/>
      <c r="J218" s="533"/>
      <c r="K218" s="533"/>
    </row>
    <row r="219" spans="1:11" x14ac:dyDescent="0.35">
      <c r="A219" s="509" t="s">
        <v>828</v>
      </c>
      <c r="B219" s="511">
        <v>783440000</v>
      </c>
      <c r="C219" s="511">
        <v>780713000</v>
      </c>
      <c r="D219" s="511">
        <v>781179789</v>
      </c>
      <c r="E219" s="511">
        <v>1554780122</v>
      </c>
      <c r="F219" s="511">
        <v>1557745303</v>
      </c>
      <c r="G219" s="511">
        <v>1563355232</v>
      </c>
      <c r="H219" s="511">
        <v>1557494794</v>
      </c>
      <c r="I219" s="511">
        <v>1554529255</v>
      </c>
      <c r="J219" s="511">
        <v>1568914951</v>
      </c>
      <c r="K219" s="511">
        <v>1585179249</v>
      </c>
    </row>
    <row r="220" spans="1:11" x14ac:dyDescent="0.35">
      <c r="A220" s="509" t="s">
        <v>829</v>
      </c>
      <c r="B220" s="511">
        <v>783440000</v>
      </c>
      <c r="C220" s="511">
        <v>780713000</v>
      </c>
      <c r="D220" s="511">
        <v>781179789</v>
      </c>
      <c r="E220" s="511">
        <v>1554780122</v>
      </c>
      <c r="F220" s="511">
        <v>1557745303</v>
      </c>
      <c r="G220" s="511">
        <v>1563355232</v>
      </c>
      <c r="H220" s="511">
        <v>1557494794</v>
      </c>
      <c r="I220" s="511">
        <v>1554524455</v>
      </c>
      <c r="J220" s="511">
        <v>1568907951</v>
      </c>
      <c r="K220" s="511">
        <v>1585179249</v>
      </c>
    </row>
    <row r="221" spans="1:11" x14ac:dyDescent="0.35">
      <c r="A221" s="509" t="s">
        <v>830</v>
      </c>
      <c r="B221" s="533">
        <v>20.5</v>
      </c>
      <c r="C221" s="533">
        <v>20.63</v>
      </c>
      <c r="D221" s="533">
        <v>20.010000000000002</v>
      </c>
      <c r="E221" s="533">
        <v>10.44</v>
      </c>
      <c r="F221" s="533">
        <v>25.65</v>
      </c>
      <c r="G221" s="533">
        <v>23.49</v>
      </c>
      <c r="H221" s="533">
        <v>26.14</v>
      </c>
      <c r="I221" s="533">
        <v>28.19</v>
      </c>
      <c r="J221" s="533">
        <v>27.58</v>
      </c>
      <c r="K221" s="533">
        <v>28.75</v>
      </c>
    </row>
    <row r="222" spans="1:11" x14ac:dyDescent="0.35">
      <c r="A222" s="509" t="s">
        <v>831</v>
      </c>
      <c r="B222" s="511">
        <v>3687407</v>
      </c>
      <c r="C222" s="511">
        <v>4222012</v>
      </c>
      <c r="D222" s="511">
        <v>-279633</v>
      </c>
      <c r="E222" s="511">
        <v>-278940</v>
      </c>
      <c r="F222" s="511">
        <v>-29030196</v>
      </c>
      <c r="G222" s="511">
        <v>-23336569</v>
      </c>
      <c r="H222" s="511">
        <v>-20073941</v>
      </c>
      <c r="I222" s="511">
        <v>-16182821</v>
      </c>
      <c r="J222" s="511">
        <v>-15829298</v>
      </c>
      <c r="K222" s="511">
        <v>-12630528</v>
      </c>
    </row>
    <row r="223" spans="1:11" x14ac:dyDescent="0.35">
      <c r="A223" s="509" t="s">
        <v>832</v>
      </c>
      <c r="B223" s="533">
        <v>4.71</v>
      </c>
      <c r="C223" s="533">
        <v>5.41</v>
      </c>
      <c r="D223" s="533">
        <v>-0.36</v>
      </c>
      <c r="E223" s="533">
        <v>-0.18</v>
      </c>
      <c r="F223" s="533">
        <v>-18.64</v>
      </c>
      <c r="G223" s="533">
        <v>-14.93</v>
      </c>
      <c r="H223" s="533">
        <v>-12.89</v>
      </c>
      <c r="I223" s="533">
        <v>-10.41</v>
      </c>
      <c r="J223" s="533">
        <v>-10.09</v>
      </c>
      <c r="K223" s="533">
        <v>-7.97</v>
      </c>
    </row>
    <row r="224" spans="1:11" x14ac:dyDescent="0.35">
      <c r="A224" s="509" t="s">
        <v>833</v>
      </c>
      <c r="B224" s="511">
        <v>5588047</v>
      </c>
      <c r="C224" s="511">
        <v>7933091</v>
      </c>
      <c r="D224" s="511">
        <v>8417591</v>
      </c>
      <c r="E224" s="511">
        <v>21332772</v>
      </c>
      <c r="F224" s="511">
        <v>46164698</v>
      </c>
      <c r="G224" s="511">
        <v>41556235</v>
      </c>
      <c r="H224" s="511">
        <v>33257844</v>
      </c>
      <c r="I224" s="511">
        <v>33990426</v>
      </c>
      <c r="J224" s="511">
        <v>33414187</v>
      </c>
      <c r="K224" s="511">
        <v>33368024</v>
      </c>
    </row>
    <row r="225" spans="1:11" x14ac:dyDescent="0.35">
      <c r="A225" s="509" t="s">
        <v>44</v>
      </c>
      <c r="B225" s="511">
        <v>1294732</v>
      </c>
      <c r="C225" s="511">
        <v>3387626</v>
      </c>
      <c r="D225" s="511">
        <v>4968534</v>
      </c>
      <c r="E225" s="511">
        <v>18862710</v>
      </c>
      <c r="F225" s="511">
        <v>41339908</v>
      </c>
      <c r="G225" s="511">
        <v>36663964</v>
      </c>
      <c r="H225" s="511">
        <v>27726107</v>
      </c>
      <c r="I225" s="511">
        <v>29129033</v>
      </c>
      <c r="J225" s="511">
        <v>31563486</v>
      </c>
      <c r="K225" s="511">
        <v>30332301</v>
      </c>
    </row>
    <row r="226" spans="1:11" x14ac:dyDescent="0.35">
      <c r="A226" s="509" t="s">
        <v>648</v>
      </c>
      <c r="B226" s="511">
        <v>486074</v>
      </c>
      <c r="C226" s="511">
        <v>510729</v>
      </c>
      <c r="D226" s="511">
        <v>149340</v>
      </c>
      <c r="E226" s="511">
        <v>31015</v>
      </c>
      <c r="F226" s="511">
        <v>34003</v>
      </c>
      <c r="G226" s="511">
        <v>32278</v>
      </c>
      <c r="H226" s="511">
        <v>3765</v>
      </c>
      <c r="I226" s="511">
        <v>3690</v>
      </c>
      <c r="J226" s="511">
        <v>4319</v>
      </c>
      <c r="K226" s="511">
        <v>5634</v>
      </c>
    </row>
    <row r="227" spans="1:11" x14ac:dyDescent="0.35">
      <c r="A227" s="509" t="s">
        <v>836</v>
      </c>
      <c r="B227" s="511">
        <v>82223</v>
      </c>
      <c r="C227" s="511">
        <v>1025645</v>
      </c>
      <c r="D227" s="511">
        <v>782160</v>
      </c>
      <c r="E227" s="511">
        <v>752470</v>
      </c>
      <c r="F227" s="511">
        <v>913190</v>
      </c>
      <c r="G227" s="511">
        <v>826403</v>
      </c>
      <c r="H227" s="511">
        <v>798112</v>
      </c>
      <c r="I227" s="511">
        <v>669996</v>
      </c>
      <c r="J227" s="511">
        <v>663061</v>
      </c>
      <c r="K227" s="511">
        <v>77969</v>
      </c>
    </row>
    <row r="228" spans="1:11" x14ac:dyDescent="0.35">
      <c r="A228" s="509" t="s">
        <v>783</v>
      </c>
      <c r="B228" s="533" t="s">
        <v>785</v>
      </c>
      <c r="C228" s="533" t="s">
        <v>785</v>
      </c>
      <c r="D228" s="533" t="s">
        <v>845</v>
      </c>
      <c r="E228" s="533" t="s">
        <v>810</v>
      </c>
      <c r="F228" s="533" t="s">
        <v>810</v>
      </c>
      <c r="G228" s="533" t="s">
        <v>810</v>
      </c>
      <c r="H228" s="533" t="s">
        <v>810</v>
      </c>
      <c r="I228" s="533" t="s">
        <v>810</v>
      </c>
      <c r="J228" s="533" t="s">
        <v>810</v>
      </c>
      <c r="K228" s="533" t="s">
        <v>785</v>
      </c>
    </row>
    <row r="229" spans="1:11" x14ac:dyDescent="0.35">
      <c r="A229" s="509" t="s">
        <v>786</v>
      </c>
      <c r="B229" s="533" t="s">
        <v>787</v>
      </c>
      <c r="C229" s="533" t="s">
        <v>787</v>
      </c>
      <c r="D229" s="533" t="s">
        <v>888</v>
      </c>
      <c r="E229" s="533" t="s">
        <v>888</v>
      </c>
      <c r="F229" s="533" t="s">
        <v>888</v>
      </c>
      <c r="G229" s="533" t="s">
        <v>888</v>
      </c>
      <c r="H229" s="533" t="s">
        <v>888</v>
      </c>
      <c r="I229" s="533" t="s">
        <v>888</v>
      </c>
      <c r="J229" s="533" t="s">
        <v>888</v>
      </c>
      <c r="K229" s="533" t="s">
        <v>787</v>
      </c>
    </row>
    <row r="230" spans="1:11" ht="13.15" x14ac:dyDescent="0.35">
      <c r="A230" s="517" t="s">
        <v>850</v>
      </c>
      <c r="B230" s="533"/>
      <c r="C230" s="533"/>
      <c r="D230" s="533"/>
      <c r="E230" s="533"/>
      <c r="F230" s="533"/>
      <c r="G230" s="533"/>
      <c r="H230" s="533"/>
      <c r="I230" s="533"/>
      <c r="J230" s="533"/>
      <c r="K230" s="533"/>
    </row>
    <row r="231" spans="1:11" x14ac:dyDescent="0.35">
      <c r="A231" s="509" t="s">
        <v>851</v>
      </c>
      <c r="B231" s="511">
        <v>1301582</v>
      </c>
      <c r="C231" s="511">
        <v>1349456</v>
      </c>
      <c r="D231" s="533" t="s">
        <v>690</v>
      </c>
      <c r="E231" s="511">
        <v>971714</v>
      </c>
      <c r="F231" s="533" t="s">
        <v>690</v>
      </c>
      <c r="G231" s="511">
        <v>817001</v>
      </c>
      <c r="H231" s="511">
        <v>630596</v>
      </c>
      <c r="I231" s="511">
        <v>583034</v>
      </c>
      <c r="J231" s="511">
        <v>584741</v>
      </c>
      <c r="K231" s="533" t="s">
        <v>690</v>
      </c>
    </row>
    <row r="232" spans="1:11" x14ac:dyDescent="0.35">
      <c r="A232" s="509" t="s">
        <v>852</v>
      </c>
      <c r="B232" s="511">
        <v>515196</v>
      </c>
      <c r="C232" s="511">
        <v>473425</v>
      </c>
      <c r="D232" s="533" t="s">
        <v>690</v>
      </c>
      <c r="E232" s="511">
        <v>50001</v>
      </c>
      <c r="F232" s="533" t="s">
        <v>690</v>
      </c>
      <c r="G232" s="511">
        <v>444327</v>
      </c>
      <c r="H232" s="511">
        <v>704445</v>
      </c>
      <c r="I232" s="511">
        <v>1292396</v>
      </c>
      <c r="J232" s="511">
        <v>1103903</v>
      </c>
      <c r="K232" s="533" t="s">
        <v>690</v>
      </c>
    </row>
    <row r="233" spans="1:11" x14ac:dyDescent="0.35">
      <c r="A233" s="509" t="s">
        <v>853</v>
      </c>
      <c r="B233" s="533" t="s">
        <v>690</v>
      </c>
      <c r="C233" s="533" t="s">
        <v>690</v>
      </c>
      <c r="D233" s="533" t="s">
        <v>690</v>
      </c>
      <c r="E233" s="511">
        <v>411811</v>
      </c>
      <c r="F233" s="533" t="s">
        <v>690</v>
      </c>
      <c r="G233" s="511">
        <v>1042353</v>
      </c>
      <c r="H233" s="511">
        <v>736826</v>
      </c>
      <c r="I233" s="511">
        <v>823932</v>
      </c>
      <c r="J233" s="511">
        <v>745000</v>
      </c>
      <c r="K233" s="533" t="s">
        <v>690</v>
      </c>
    </row>
    <row r="234" spans="1:11" x14ac:dyDescent="0.35">
      <c r="A234" s="509" t="s">
        <v>854</v>
      </c>
      <c r="B234" s="511">
        <v>1816778</v>
      </c>
      <c r="C234" s="511">
        <v>1822881</v>
      </c>
      <c r="D234" s="533" t="s">
        <v>690</v>
      </c>
      <c r="E234" s="511">
        <v>1433526</v>
      </c>
      <c r="F234" s="533" t="s">
        <v>690</v>
      </c>
      <c r="G234" s="511">
        <v>2303681</v>
      </c>
      <c r="H234" s="511">
        <v>2071867</v>
      </c>
      <c r="I234" s="511">
        <v>2699362</v>
      </c>
      <c r="J234" s="511">
        <v>2433644</v>
      </c>
      <c r="K234" s="533" t="s">
        <v>690</v>
      </c>
    </row>
    <row r="235" spans="1:11" x14ac:dyDescent="0.35">
      <c r="A235" s="509" t="s">
        <v>856</v>
      </c>
      <c r="B235" s="511">
        <v>5660618</v>
      </c>
      <c r="C235" s="511">
        <v>8056627</v>
      </c>
      <c r="D235" s="533" t="s">
        <v>690</v>
      </c>
      <c r="E235" s="511">
        <v>21671162</v>
      </c>
      <c r="F235" s="533" t="s">
        <v>690</v>
      </c>
      <c r="G235" s="511">
        <v>40953647</v>
      </c>
      <c r="H235" s="511">
        <v>35317392</v>
      </c>
      <c r="I235" s="511">
        <v>28099197</v>
      </c>
      <c r="J235" s="511">
        <v>26129741</v>
      </c>
      <c r="K235" s="533" t="s">
        <v>690</v>
      </c>
    </row>
    <row r="236" spans="1:11" x14ac:dyDescent="0.35">
      <c r="A236" s="509" t="s">
        <v>857</v>
      </c>
      <c r="B236" s="511">
        <v>531322</v>
      </c>
      <c r="C236" s="511">
        <v>330428</v>
      </c>
      <c r="D236" s="533" t="s">
        <v>690</v>
      </c>
      <c r="E236" s="511">
        <v>210375</v>
      </c>
      <c r="F236" s="533" t="s">
        <v>690</v>
      </c>
      <c r="G236" s="511">
        <v>266192</v>
      </c>
      <c r="H236" s="511">
        <v>154548</v>
      </c>
      <c r="I236" s="511">
        <v>97293</v>
      </c>
      <c r="J236" s="511">
        <v>100327</v>
      </c>
      <c r="K236" s="533" t="s">
        <v>690</v>
      </c>
    </row>
    <row r="237" spans="1:11" x14ac:dyDescent="0.35">
      <c r="A237" s="509" t="s">
        <v>858</v>
      </c>
      <c r="B237" s="511">
        <v>6191940</v>
      </c>
      <c r="C237" s="511">
        <v>8387055</v>
      </c>
      <c r="D237" s="533" t="s">
        <v>690</v>
      </c>
      <c r="E237" s="511">
        <v>21881538</v>
      </c>
      <c r="F237" s="533" t="s">
        <v>690</v>
      </c>
      <c r="G237" s="511">
        <v>41219840</v>
      </c>
      <c r="H237" s="511">
        <v>35471940</v>
      </c>
      <c r="I237" s="511">
        <v>28196490</v>
      </c>
      <c r="J237" s="511">
        <v>26230068</v>
      </c>
      <c r="K237" s="533" t="s">
        <v>690</v>
      </c>
    </row>
    <row r="238" spans="1:11" x14ac:dyDescent="0.35">
      <c r="A238" s="509" t="s">
        <v>859</v>
      </c>
      <c r="B238" s="511">
        <v>14071</v>
      </c>
      <c r="C238" s="511">
        <v>33748</v>
      </c>
      <c r="D238" s="511">
        <v>81468</v>
      </c>
      <c r="E238" s="511">
        <v>-8848</v>
      </c>
      <c r="F238" s="511">
        <v>23376</v>
      </c>
      <c r="G238" s="511">
        <v>93491</v>
      </c>
      <c r="H238" s="511">
        <v>-313541</v>
      </c>
      <c r="I238" s="511">
        <v>-20395</v>
      </c>
      <c r="J238" s="511">
        <v>-82047</v>
      </c>
      <c r="K238" s="511">
        <v>-62531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cb49407-1b60-4566-92f4-fb6fa94babc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1F649FB2268C3479058D231279B3083" ma:contentTypeVersion="6" ma:contentTypeDescription="Create a new document." ma:contentTypeScope="" ma:versionID="b90dbb2bd70821c62236ca5c36ffc3e9">
  <xsd:schema xmlns:xsd="http://www.w3.org/2001/XMLSchema" xmlns:xs="http://www.w3.org/2001/XMLSchema" xmlns:p="http://schemas.microsoft.com/office/2006/metadata/properties" xmlns:ns3="acb49407-1b60-4566-92f4-fb6fa94babc9" targetNamespace="http://schemas.microsoft.com/office/2006/metadata/properties" ma:root="true" ma:fieldsID="d3ee01647617d6851f01e88cea6a000f" ns3:_="">
    <xsd:import namespace="acb49407-1b60-4566-92f4-fb6fa94babc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b49407-1b60-4566-92f4-fb6fa94babc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4EB206-CBA7-4E26-BE6A-BF3896E738D3}">
  <ds:schemaRefs>
    <ds:schemaRef ds:uri="http://schemas.microsoft.com/office/2006/documentManagement/types"/>
    <ds:schemaRef ds:uri="http://schemas.microsoft.com/office/2006/metadata/properties"/>
    <ds:schemaRef ds:uri="http://purl.org/dc/elements/1.1/"/>
    <ds:schemaRef ds:uri="http://www.w3.org/XML/1998/namespace"/>
    <ds:schemaRef ds:uri="acb49407-1b60-4566-92f4-fb6fa94babc9"/>
    <ds:schemaRef ds:uri="http://schemas.microsoft.com/office/infopath/2007/PartnerControls"/>
    <ds:schemaRef ds:uri="http://schemas.openxmlformats.org/package/2006/metadata/core-properties"/>
    <ds:schemaRef ds:uri="http://purl.org/dc/dcmitype/"/>
    <ds:schemaRef ds:uri="http://purl.org/dc/terms/"/>
  </ds:schemaRefs>
</ds:datastoreItem>
</file>

<file path=customXml/itemProps2.xml><?xml version="1.0" encoding="utf-8"?>
<ds:datastoreItem xmlns:ds="http://schemas.openxmlformats.org/officeDocument/2006/customXml" ds:itemID="{1F8CE1F6-623F-4B78-996D-82C4AB9258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b49407-1b60-4566-92f4-fb6fa94bab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E131655-03BE-43E7-92D5-6B9A5C29311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2</vt:i4>
      </vt:variant>
    </vt:vector>
  </HeadingPairs>
  <TitlesOfParts>
    <vt:vector size="46" baseType="lpstr">
      <vt:lpstr>BioNTech Financial Analysis&gt;&gt;&gt;</vt:lpstr>
      <vt:lpstr>Adjustments Slide Output</vt:lpstr>
      <vt:lpstr>Dashboard Slide Output</vt:lpstr>
      <vt:lpstr>Football field</vt:lpstr>
      <vt:lpstr>&gt;&gt;&gt;Valuation&gt;&gt;&gt;</vt:lpstr>
      <vt:lpstr>DCF Model with IRR</vt:lpstr>
      <vt:lpstr>Revenue forecasts</vt:lpstr>
      <vt:lpstr>Public comps</vt:lpstr>
      <vt:lpstr>WACC Analysis</vt:lpstr>
      <vt:lpstr>&gt;&gt;&gt;Adjusted Statements&gt;&gt;&gt;</vt:lpstr>
      <vt:lpstr>BionTech Adjusted</vt:lpstr>
      <vt:lpstr>Astra Zeneca Adjusted</vt:lpstr>
      <vt:lpstr>Moderna Adjusted</vt:lpstr>
      <vt:lpstr>Sanofi Adjusted</vt:lpstr>
      <vt:lpstr>GSK Adjusted</vt:lpstr>
      <vt:lpstr>Takeda Adjusted</vt:lpstr>
      <vt:lpstr>&gt;&gt;&gt;Ratios&gt;&gt;&gt;</vt:lpstr>
      <vt:lpstr>BionTech Ratios</vt:lpstr>
      <vt:lpstr>Astra Zeneca Ratios</vt:lpstr>
      <vt:lpstr>Moderna Ratios</vt:lpstr>
      <vt:lpstr>Sanofi Ratios</vt:lpstr>
      <vt:lpstr>GSK Ratios</vt:lpstr>
      <vt:lpstr>Takeda Ratios</vt:lpstr>
      <vt:lpstr>&gt;&gt;&gt;Standardized Statements&gt;&gt;&gt;</vt:lpstr>
      <vt:lpstr>BionTech Standardized</vt:lpstr>
      <vt:lpstr>Astra Zeneca Standardized</vt:lpstr>
      <vt:lpstr>Moderna Standardized</vt:lpstr>
      <vt:lpstr>Sanofi Standardized</vt:lpstr>
      <vt:lpstr>GSK Standardized</vt:lpstr>
      <vt:lpstr>Takeda Standardized</vt:lpstr>
      <vt:lpstr>&gt;&gt;&gt;Financial Statements&gt;&gt;&gt;</vt:lpstr>
      <vt:lpstr>BionTech FS</vt:lpstr>
      <vt:lpstr>Astra Zeneca FS</vt:lpstr>
      <vt:lpstr>Moderna FS</vt:lpstr>
      <vt:lpstr>Sanofi FS</vt:lpstr>
      <vt:lpstr>GSK FS</vt:lpstr>
      <vt:lpstr>Takeda FS</vt:lpstr>
      <vt:lpstr>Capital IQ Data Pull</vt:lpstr>
      <vt:lpstr>BionTech as reported</vt:lpstr>
      <vt:lpstr>AstraZeneca</vt:lpstr>
      <vt:lpstr>GSK</vt:lpstr>
      <vt:lpstr>Moderna</vt:lpstr>
      <vt:lpstr>Sanofi</vt:lpstr>
      <vt:lpstr>Takeda</vt:lpstr>
      <vt:lpstr>'DCF Model with IRR'!Print_Area</vt:lpstr>
      <vt:lpstr>'DCF Model with IRR'!Print_Titles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Peek-Apreda</dc:creator>
  <cp:keywords/>
  <dc:description/>
  <cp:lastModifiedBy>Luca Beutin</cp:lastModifiedBy>
  <cp:revision/>
  <dcterms:created xsi:type="dcterms:W3CDTF">2006-04-02T09:15:21Z</dcterms:created>
  <dcterms:modified xsi:type="dcterms:W3CDTF">2025-04-21T11:21:29Z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{78D000C8-7BAF-42F1-922F-5B39385C6EA1}</vt:lpwstr>
  </property>
  <property fmtid="{D5CDD505-2E9C-101B-9397-08002B2CF9AE}" pid="3" name="ContentTypeId">
    <vt:lpwstr>0x01010091F649FB2268C3479058D231279B3083</vt:lpwstr>
  </property>
</Properties>
</file>