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65" windowWidth="14805" windowHeight="7950" firstSheet="2" activeTab="9"/>
  </bookViews>
  <sheets>
    <sheet name="Rate" sheetId="2" r:id="rId1"/>
    <sheet name="Total efforts" sheetId="15" r:id="rId2"/>
    <sheet name="For presentation" sheetId="22" r:id="rId3"/>
    <sheet name="Efforts with Complexity" sheetId="12" r:id="rId4"/>
    <sheet name="Responsibility of TP" sheetId="13" r:id="rId5"/>
    <sheet name="outputs" sheetId="21" r:id="rId6"/>
    <sheet name="low" sheetId="16" r:id="rId7"/>
    <sheet name="Medium" sheetId="17" r:id="rId8"/>
    <sheet name="High" sheetId="19" r:id="rId9"/>
    <sheet name="e-sub" sheetId="20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24519"/>
  <fileRecoveryPr repairLoad="1"/>
</workbook>
</file>

<file path=xl/calcChain.xml><?xml version="1.0" encoding="utf-8"?>
<calcChain xmlns="http://schemas.openxmlformats.org/spreadsheetml/2006/main">
  <c r="C33" i="22"/>
  <c r="C32"/>
  <c r="C31"/>
  <c r="C30"/>
  <c r="C29"/>
  <c r="C28"/>
  <c r="C27"/>
  <c r="C26"/>
  <c r="C25"/>
  <c r="C24"/>
  <c r="C17"/>
  <c r="C16"/>
  <c r="C15"/>
  <c r="C14"/>
  <c r="C13"/>
  <c r="C22"/>
  <c r="C12"/>
  <c r="C11"/>
  <c r="C10"/>
  <c r="C9"/>
  <c r="C8"/>
  <c r="C21"/>
  <c r="C20"/>
  <c r="C19"/>
  <c r="C18"/>
  <c r="C6"/>
  <c r="C5"/>
  <c r="C4"/>
  <c r="C3"/>
  <c r="L80" i="12" l="1"/>
  <c r="L79"/>
  <c r="L78"/>
  <c r="L77"/>
  <c r="L72"/>
  <c r="L71"/>
  <c r="L70"/>
  <c r="L69"/>
  <c r="E38" i="19"/>
  <c r="E37"/>
  <c r="E36"/>
  <c r="E35"/>
  <c r="F35" s="1"/>
  <c r="G35" s="1"/>
  <c r="E34"/>
  <c r="F34" s="1"/>
  <c r="E32"/>
  <c r="E31"/>
  <c r="E30"/>
  <c r="F30" s="1"/>
  <c r="L47" i="12" s="1"/>
  <c r="E29" i="19"/>
  <c r="F29" s="1"/>
  <c r="L46" i="12" s="1"/>
  <c r="E28" i="19"/>
  <c r="E26"/>
  <c r="E25"/>
  <c r="F25" s="1"/>
  <c r="G25" s="1"/>
  <c r="E24"/>
  <c r="F24" s="1"/>
  <c r="G24" s="1"/>
  <c r="E23"/>
  <c r="F23" s="1"/>
  <c r="E22"/>
  <c r="E20"/>
  <c r="E19"/>
  <c r="E18"/>
  <c r="E17"/>
  <c r="F17" s="1"/>
  <c r="E16"/>
  <c r="Q21" i="12"/>
  <c r="E146" i="19" s="1"/>
  <c r="Q20" i="12"/>
  <c r="E132" i="19" s="1"/>
  <c r="F132" s="1"/>
  <c r="G132" s="1"/>
  <c r="Q19" i="12"/>
  <c r="E122" i="19" s="1"/>
  <c r="P21" i="12"/>
  <c r="E100" i="19" s="1"/>
  <c r="P20" i="12"/>
  <c r="E76" i="19" s="1"/>
  <c r="P19" i="12"/>
  <c r="E52" i="19" s="1"/>
  <c r="O21" i="12"/>
  <c r="E88" i="19" s="1"/>
  <c r="O20" i="12"/>
  <c r="E64" i="19" s="1"/>
  <c r="O19" i="12"/>
  <c r="E40" i="19" s="1"/>
  <c r="H12" i="21"/>
  <c r="D13" s="1"/>
  <c r="E13"/>
  <c r="D146" i="19"/>
  <c r="D140"/>
  <c r="D134"/>
  <c r="D128"/>
  <c r="D122"/>
  <c r="D116"/>
  <c r="D110"/>
  <c r="D104"/>
  <c r="D98"/>
  <c r="D92"/>
  <c r="D86"/>
  <c r="D80"/>
  <c r="D74"/>
  <c r="D68"/>
  <c r="D62"/>
  <c r="D56"/>
  <c r="D50"/>
  <c r="D44"/>
  <c r="D38"/>
  <c r="F37"/>
  <c r="G37" s="1"/>
  <c r="F36"/>
  <c r="D32"/>
  <c r="F31"/>
  <c r="G31" s="1"/>
  <c r="F28"/>
  <c r="G28" s="1"/>
  <c r="D26"/>
  <c r="F22"/>
  <c r="G22" s="1"/>
  <c r="D20"/>
  <c r="F19"/>
  <c r="G19" s="1"/>
  <c r="F18"/>
  <c r="G18" s="1"/>
  <c r="F16"/>
  <c r="L37" i="12" s="1"/>
  <c r="E14" i="19"/>
  <c r="D14"/>
  <c r="E13"/>
  <c r="E12"/>
  <c r="E11"/>
  <c r="E10"/>
  <c r="E8"/>
  <c r="D8"/>
  <c r="E7"/>
  <c r="E6"/>
  <c r="E5"/>
  <c r="E4"/>
  <c r="N13" i="21"/>
  <c r="Q12"/>
  <c r="L13" s="1"/>
  <c r="H80" i="12"/>
  <c r="H79"/>
  <c r="H78"/>
  <c r="H77"/>
  <c r="F15" i="20"/>
  <c r="E15"/>
  <c r="D15"/>
  <c r="D80" i="12"/>
  <c r="D79"/>
  <c r="D78"/>
  <c r="D77"/>
  <c r="D81" s="1"/>
  <c r="H72"/>
  <c r="H71"/>
  <c r="H70"/>
  <c r="H69"/>
  <c r="D72"/>
  <c r="D71"/>
  <c r="D70"/>
  <c r="D69"/>
  <c r="E38" i="17"/>
  <c r="E37"/>
  <c r="F37" s="1"/>
  <c r="G37" s="1"/>
  <c r="E36"/>
  <c r="E35"/>
  <c r="E34"/>
  <c r="E32"/>
  <c r="E31"/>
  <c r="E30"/>
  <c r="F30" s="1"/>
  <c r="G30" s="1"/>
  <c r="E29"/>
  <c r="F29" s="1"/>
  <c r="H46" i="12" s="1"/>
  <c r="E28" i="17"/>
  <c r="E26"/>
  <c r="E25"/>
  <c r="F25" s="1"/>
  <c r="G25" s="1"/>
  <c r="E24"/>
  <c r="F24" s="1"/>
  <c r="G24" s="1"/>
  <c r="E23"/>
  <c r="E22"/>
  <c r="F22" s="1"/>
  <c r="E20"/>
  <c r="E19"/>
  <c r="F19" s="1"/>
  <c r="E18"/>
  <c r="F18" s="1"/>
  <c r="E17"/>
  <c r="F17" s="1"/>
  <c r="E16"/>
  <c r="E9" i="21"/>
  <c r="D9"/>
  <c r="C9"/>
  <c r="K21" i="12"/>
  <c r="E144" i="17" s="1"/>
  <c r="K20" i="12"/>
  <c r="E134" i="17" s="1"/>
  <c r="K19" i="12"/>
  <c r="E120" i="17" s="1"/>
  <c r="J21" i="12"/>
  <c r="E100" i="17" s="1"/>
  <c r="J20" i="12"/>
  <c r="E76" i="17" s="1"/>
  <c r="J19" i="12"/>
  <c r="E52" i="17" s="1"/>
  <c r="H21" i="12"/>
  <c r="H20"/>
  <c r="H19"/>
  <c r="D8" i="21"/>
  <c r="C8"/>
  <c r="Q7"/>
  <c r="N8" s="1"/>
  <c r="H7"/>
  <c r="E8" s="1"/>
  <c r="D146" i="17"/>
  <c r="D140"/>
  <c r="D134"/>
  <c r="D128"/>
  <c r="D122"/>
  <c r="D116"/>
  <c r="D110"/>
  <c r="D104"/>
  <c r="D98"/>
  <c r="D92"/>
  <c r="D86"/>
  <c r="D80"/>
  <c r="D74"/>
  <c r="D68"/>
  <c r="D62"/>
  <c r="D56"/>
  <c r="D50"/>
  <c r="D44"/>
  <c r="D38"/>
  <c r="F36"/>
  <c r="G36" s="1"/>
  <c r="F35"/>
  <c r="F34"/>
  <c r="D32"/>
  <c r="F31"/>
  <c r="G31" s="1"/>
  <c r="F28"/>
  <c r="H45" i="12" s="1"/>
  <c r="D26" i="17"/>
  <c r="F23"/>
  <c r="G23" s="1"/>
  <c r="D20"/>
  <c r="F16"/>
  <c r="G16" s="1"/>
  <c r="E14"/>
  <c r="D14"/>
  <c r="E13"/>
  <c r="E12"/>
  <c r="E11"/>
  <c r="E10"/>
  <c r="E8"/>
  <c r="D8"/>
  <c r="E7"/>
  <c r="E6"/>
  <c r="E5"/>
  <c r="E4"/>
  <c r="D146" i="16"/>
  <c r="D140"/>
  <c r="D122"/>
  <c r="D116"/>
  <c r="E143"/>
  <c r="E142"/>
  <c r="E137"/>
  <c r="E136"/>
  <c r="F136" s="1"/>
  <c r="D134"/>
  <c r="D128"/>
  <c r="E21" i="12"/>
  <c r="E20"/>
  <c r="E132" i="16" s="1"/>
  <c r="E19" i="12"/>
  <c r="E113" i="16" s="1"/>
  <c r="N3" i="21"/>
  <c r="M3"/>
  <c r="L3"/>
  <c r="Q2"/>
  <c r="E14" i="16"/>
  <c r="E13"/>
  <c r="F13" s="1"/>
  <c r="G13" s="1"/>
  <c r="E12"/>
  <c r="F12" s="1"/>
  <c r="G12" s="1"/>
  <c r="E11"/>
  <c r="F11" s="1"/>
  <c r="G11" s="1"/>
  <c r="E10"/>
  <c r="F10" s="1"/>
  <c r="E8"/>
  <c r="E7"/>
  <c r="F7" s="1"/>
  <c r="G7" s="1"/>
  <c r="E6"/>
  <c r="F6" s="1"/>
  <c r="G6" s="1"/>
  <c r="E5"/>
  <c r="F5" s="1"/>
  <c r="G5" s="1"/>
  <c r="E4"/>
  <c r="F4" s="1"/>
  <c r="D28" i="12" s="1"/>
  <c r="H2" i="21"/>
  <c r="D3" s="1"/>
  <c r="B20" i="12" s="1"/>
  <c r="E38" i="16"/>
  <c r="E37"/>
  <c r="E36"/>
  <c r="E35"/>
  <c r="E34"/>
  <c r="E32"/>
  <c r="E31"/>
  <c r="E30"/>
  <c r="E29"/>
  <c r="E28"/>
  <c r="E26"/>
  <c r="E25"/>
  <c r="F25" s="1"/>
  <c r="G25" s="1"/>
  <c r="E24"/>
  <c r="F24" s="1"/>
  <c r="G24" s="1"/>
  <c r="E23"/>
  <c r="F23" s="1"/>
  <c r="G23" s="1"/>
  <c r="E22"/>
  <c r="F22" s="1"/>
  <c r="E20"/>
  <c r="E19"/>
  <c r="F19" s="1"/>
  <c r="E18"/>
  <c r="F18" s="1"/>
  <c r="G18" s="1"/>
  <c r="E17"/>
  <c r="F17" s="1"/>
  <c r="E16"/>
  <c r="F16" s="1"/>
  <c r="D26"/>
  <c r="D20"/>
  <c r="D14"/>
  <c r="D8"/>
  <c r="E48" i="19" l="1"/>
  <c r="F48" s="1"/>
  <c r="G48" s="1"/>
  <c r="E46"/>
  <c r="F46" s="1"/>
  <c r="E42"/>
  <c r="F42" s="1"/>
  <c r="E78"/>
  <c r="F78" s="1"/>
  <c r="G78" s="1"/>
  <c r="E84"/>
  <c r="F84" s="1"/>
  <c r="G84" s="1"/>
  <c r="E60"/>
  <c r="F60" s="1"/>
  <c r="G60" s="1"/>
  <c r="E54"/>
  <c r="F54" s="1"/>
  <c r="G54" s="1"/>
  <c r="D146" i="12"/>
  <c r="E146" s="1"/>
  <c r="D3" i="22"/>
  <c r="E96" i="19"/>
  <c r="F96" s="1"/>
  <c r="G96" s="1"/>
  <c r="E90"/>
  <c r="F90" s="1"/>
  <c r="G90" s="1"/>
  <c r="E72"/>
  <c r="F72" s="1"/>
  <c r="G72" s="1"/>
  <c r="E66"/>
  <c r="F66" s="1"/>
  <c r="G66" s="1"/>
  <c r="E108"/>
  <c r="F108" s="1"/>
  <c r="G108" s="1"/>
  <c r="E102"/>
  <c r="F102" s="1"/>
  <c r="G102" s="1"/>
  <c r="F144" i="17"/>
  <c r="G144" s="1"/>
  <c r="E118" i="16"/>
  <c r="E131"/>
  <c r="E138"/>
  <c r="E145"/>
  <c r="E114" i="17"/>
  <c r="F114" s="1"/>
  <c r="E119"/>
  <c r="E124"/>
  <c r="E128"/>
  <c r="E133"/>
  <c r="F133" s="1"/>
  <c r="G133" s="1"/>
  <c r="E138"/>
  <c r="F138" s="1"/>
  <c r="G138" s="1"/>
  <c r="E143"/>
  <c r="F143" s="1"/>
  <c r="G143" s="1"/>
  <c r="E112" i="19"/>
  <c r="F112" s="1"/>
  <c r="E116"/>
  <c r="E121"/>
  <c r="F121" s="1"/>
  <c r="G121" s="1"/>
  <c r="E126"/>
  <c r="F126" s="1"/>
  <c r="G126" s="1"/>
  <c r="E131"/>
  <c r="F131" s="1"/>
  <c r="G131" s="1"/>
  <c r="E136"/>
  <c r="F136" s="1"/>
  <c r="G136" s="1"/>
  <c r="E140"/>
  <c r="E145"/>
  <c r="F145" s="1"/>
  <c r="G145" s="1"/>
  <c r="E127" i="16"/>
  <c r="H39" i="12"/>
  <c r="H48"/>
  <c r="E113" i="17"/>
  <c r="E118"/>
  <c r="F118" s="1"/>
  <c r="E122"/>
  <c r="E127"/>
  <c r="F127" s="1"/>
  <c r="G127" s="1"/>
  <c r="E132"/>
  <c r="E137"/>
  <c r="F137" s="1"/>
  <c r="G137" s="1"/>
  <c r="E142"/>
  <c r="F142" s="1"/>
  <c r="E146"/>
  <c r="E115" i="19"/>
  <c r="F115" s="1"/>
  <c r="E120"/>
  <c r="F120" s="1"/>
  <c r="G120" s="1"/>
  <c r="E125"/>
  <c r="F125" s="1"/>
  <c r="G125" s="1"/>
  <c r="E130"/>
  <c r="F130" s="1"/>
  <c r="G130" s="1"/>
  <c r="G134" s="1"/>
  <c r="E134"/>
  <c r="E139"/>
  <c r="F139" s="1"/>
  <c r="G139" s="1"/>
  <c r="E144"/>
  <c r="F144" s="1"/>
  <c r="G144" s="1"/>
  <c r="F121" i="17"/>
  <c r="G121" s="1"/>
  <c r="E126" i="16"/>
  <c r="H47" i="12"/>
  <c r="E112" i="17"/>
  <c r="E116"/>
  <c r="E121"/>
  <c r="E126"/>
  <c r="F126" s="1"/>
  <c r="G126" s="1"/>
  <c r="E131"/>
  <c r="F131" s="1"/>
  <c r="G131" s="1"/>
  <c r="E136"/>
  <c r="E140"/>
  <c r="E145"/>
  <c r="F145" s="1"/>
  <c r="G145" s="1"/>
  <c r="L45" i="12"/>
  <c r="L114" s="1"/>
  <c r="E114" i="19"/>
  <c r="F114" s="1"/>
  <c r="E119"/>
  <c r="F119" s="1"/>
  <c r="G119" s="1"/>
  <c r="E124"/>
  <c r="F124" s="1"/>
  <c r="E128"/>
  <c r="E133"/>
  <c r="F133" s="1"/>
  <c r="G133" s="1"/>
  <c r="E138"/>
  <c r="F138" s="1"/>
  <c r="G138" s="1"/>
  <c r="E143"/>
  <c r="F143" s="1"/>
  <c r="G143" s="1"/>
  <c r="E122" i="16"/>
  <c r="E140"/>
  <c r="E146"/>
  <c r="E115" i="17"/>
  <c r="E125"/>
  <c r="E130"/>
  <c r="F130" s="1"/>
  <c r="E139"/>
  <c r="F139" s="1"/>
  <c r="G139" s="1"/>
  <c r="L48" i="12"/>
  <c r="E113" i="19"/>
  <c r="F113" s="1"/>
  <c r="E118"/>
  <c r="F118" s="1"/>
  <c r="F122" s="1"/>
  <c r="E127"/>
  <c r="F127" s="1"/>
  <c r="G127" s="1"/>
  <c r="E137"/>
  <c r="F137" s="1"/>
  <c r="G137" s="1"/>
  <c r="E142"/>
  <c r="F142" s="1"/>
  <c r="F146" s="1"/>
  <c r="D4" i="21"/>
  <c r="D5" s="1"/>
  <c r="C20" i="12" s="1"/>
  <c r="E64" i="16" s="1"/>
  <c r="F134" i="19"/>
  <c r="F128"/>
  <c r="G124"/>
  <c r="G128" s="1"/>
  <c r="F156"/>
  <c r="G34"/>
  <c r="F38"/>
  <c r="G36"/>
  <c r="G156" s="1"/>
  <c r="F163"/>
  <c r="J163" s="1"/>
  <c r="G30"/>
  <c r="F150"/>
  <c r="L38" i="12"/>
  <c r="L115" s="1"/>
  <c r="H9" i="22" s="1"/>
  <c r="H14" s="1"/>
  <c r="L39" i="12"/>
  <c r="L116" s="1"/>
  <c r="H10" i="22" s="1"/>
  <c r="H15" s="1"/>
  <c r="L40" i="12"/>
  <c r="L117" s="1"/>
  <c r="H11" i="22" s="1"/>
  <c r="H16" s="1"/>
  <c r="G16" i="19"/>
  <c r="E14" i="21"/>
  <c r="N21" i="12"/>
  <c r="C13" i="21"/>
  <c r="G17" i="19"/>
  <c r="G20" s="1"/>
  <c r="F20"/>
  <c r="G46"/>
  <c r="G23"/>
  <c r="G26" s="1"/>
  <c r="F26"/>
  <c r="G29"/>
  <c r="G32" s="1"/>
  <c r="F32"/>
  <c r="E95"/>
  <c r="F95" s="1"/>
  <c r="G95" s="1"/>
  <c r="E89"/>
  <c r="F89" s="1"/>
  <c r="G89" s="1"/>
  <c r="E98"/>
  <c r="E97"/>
  <c r="F97" s="1"/>
  <c r="G97" s="1"/>
  <c r="E92"/>
  <c r="E91"/>
  <c r="F91" s="1"/>
  <c r="G91" s="1"/>
  <c r="F88"/>
  <c r="E107"/>
  <c r="F107" s="1"/>
  <c r="G107" s="1"/>
  <c r="E101"/>
  <c r="F101" s="1"/>
  <c r="G101" s="1"/>
  <c r="E110"/>
  <c r="E109"/>
  <c r="F109" s="1"/>
  <c r="G109" s="1"/>
  <c r="E104"/>
  <c r="E103"/>
  <c r="F103" s="1"/>
  <c r="G103" s="1"/>
  <c r="F100"/>
  <c r="E106"/>
  <c r="F106" s="1"/>
  <c r="G118"/>
  <c r="G122" s="1"/>
  <c r="F171"/>
  <c r="G38"/>
  <c r="F116"/>
  <c r="F140"/>
  <c r="E47"/>
  <c r="F47" s="1"/>
  <c r="G47" s="1"/>
  <c r="E41"/>
  <c r="F41" s="1"/>
  <c r="E50"/>
  <c r="E49"/>
  <c r="F49" s="1"/>
  <c r="E44"/>
  <c r="E43"/>
  <c r="F43" s="1"/>
  <c r="F40"/>
  <c r="G42"/>
  <c r="G150" s="1"/>
  <c r="E59"/>
  <c r="F59" s="1"/>
  <c r="G59" s="1"/>
  <c r="E53"/>
  <c r="F53" s="1"/>
  <c r="G53" s="1"/>
  <c r="E62"/>
  <c r="E61"/>
  <c r="F61" s="1"/>
  <c r="G61" s="1"/>
  <c r="E56"/>
  <c r="E55"/>
  <c r="F55" s="1"/>
  <c r="G55" s="1"/>
  <c r="F52"/>
  <c r="E58"/>
  <c r="F58" s="1"/>
  <c r="E71"/>
  <c r="F71" s="1"/>
  <c r="G71" s="1"/>
  <c r="E65"/>
  <c r="F65" s="1"/>
  <c r="G65" s="1"/>
  <c r="E74"/>
  <c r="E73"/>
  <c r="F73" s="1"/>
  <c r="G73" s="1"/>
  <c r="E68"/>
  <c r="E67"/>
  <c r="F67" s="1"/>
  <c r="G67" s="1"/>
  <c r="F64"/>
  <c r="E70"/>
  <c r="F70" s="1"/>
  <c r="E83"/>
  <c r="F83" s="1"/>
  <c r="G83" s="1"/>
  <c r="E77"/>
  <c r="F77" s="1"/>
  <c r="G77" s="1"/>
  <c r="E86"/>
  <c r="E85"/>
  <c r="F85" s="1"/>
  <c r="G85" s="1"/>
  <c r="E80"/>
  <c r="E79"/>
  <c r="F79" s="1"/>
  <c r="G79" s="1"/>
  <c r="F76"/>
  <c r="E82"/>
  <c r="F82" s="1"/>
  <c r="E94"/>
  <c r="F94" s="1"/>
  <c r="G142"/>
  <c r="G146" s="1"/>
  <c r="D29" i="12"/>
  <c r="D31"/>
  <c r="D30"/>
  <c r="M13" i="21"/>
  <c r="E15"/>
  <c r="H38" i="12"/>
  <c r="H116"/>
  <c r="F10" i="22" s="1"/>
  <c r="F15" s="1"/>
  <c r="G19" i="17"/>
  <c r="H40" i="12"/>
  <c r="H115"/>
  <c r="F9" i="22" s="1"/>
  <c r="F14" s="1"/>
  <c r="H37" i="12"/>
  <c r="E114" i="16"/>
  <c r="E119"/>
  <c r="F115" i="17"/>
  <c r="F119"/>
  <c r="G119" s="1"/>
  <c r="E115" i="16"/>
  <c r="E120"/>
  <c r="E124"/>
  <c r="F124" s="1"/>
  <c r="G124" s="1"/>
  <c r="E128"/>
  <c r="E133"/>
  <c r="F112" i="17"/>
  <c r="H61" i="12" s="1"/>
  <c r="F120" i="17"/>
  <c r="G120" s="1"/>
  <c r="F124"/>
  <c r="G124" s="1"/>
  <c r="F132"/>
  <c r="G132" s="1"/>
  <c r="E112" i="16"/>
  <c r="F112" s="1"/>
  <c r="G112" s="1"/>
  <c r="E116"/>
  <c r="E121"/>
  <c r="E125"/>
  <c r="E130"/>
  <c r="E134"/>
  <c r="E139"/>
  <c r="E144"/>
  <c r="F113" i="17"/>
  <c r="F125"/>
  <c r="G125" s="1"/>
  <c r="F136"/>
  <c r="F140" s="1"/>
  <c r="D10" i="21"/>
  <c r="I20" i="12" s="1"/>
  <c r="E64" i="17" s="1"/>
  <c r="E71" s="1"/>
  <c r="F71" s="1"/>
  <c r="G71" s="1"/>
  <c r="E10" i="21"/>
  <c r="I21" i="12" s="1"/>
  <c r="E88" i="17" s="1"/>
  <c r="L8" i="21"/>
  <c r="M8"/>
  <c r="C10"/>
  <c r="I19" i="12" s="1"/>
  <c r="E40" i="17" s="1"/>
  <c r="F146" i="12"/>
  <c r="G18" i="17"/>
  <c r="F26"/>
  <c r="G22"/>
  <c r="G26" s="1"/>
  <c r="G35"/>
  <c r="G130"/>
  <c r="F20"/>
  <c r="G29"/>
  <c r="E72"/>
  <c r="F72" s="1"/>
  <c r="G72" s="1"/>
  <c r="E66"/>
  <c r="F66" s="1"/>
  <c r="G66" s="1"/>
  <c r="G17"/>
  <c r="F38"/>
  <c r="G34"/>
  <c r="G118"/>
  <c r="F146"/>
  <c r="G142"/>
  <c r="G146" s="1"/>
  <c r="F32"/>
  <c r="G28"/>
  <c r="F128"/>
  <c r="G136" i="16"/>
  <c r="D20" i="12"/>
  <c r="E3" i="21"/>
  <c r="E4" s="1"/>
  <c r="C3"/>
  <c r="C4" s="1"/>
  <c r="G17" i="16"/>
  <c r="D38" i="12"/>
  <c r="G19" i="16"/>
  <c r="D40" i="12"/>
  <c r="F20" i="16"/>
  <c r="D37" i="12"/>
  <c r="D39"/>
  <c r="F26" i="16"/>
  <c r="G22"/>
  <c r="G26" s="1"/>
  <c r="G16"/>
  <c r="F14"/>
  <c r="G10"/>
  <c r="G14" s="1"/>
  <c r="F8"/>
  <c r="G4"/>
  <c r="G8" s="1"/>
  <c r="L118" i="12" l="1"/>
  <c r="H12" i="22" s="1"/>
  <c r="H8"/>
  <c r="H13" s="1"/>
  <c r="D148" i="12"/>
  <c r="D5" i="22"/>
  <c r="G112" i="19"/>
  <c r="L61" i="12"/>
  <c r="G113" i="17"/>
  <c r="H62" i="12"/>
  <c r="G115" i="17"/>
  <c r="H64" i="12"/>
  <c r="G113" i="19"/>
  <c r="L62" i="12"/>
  <c r="G114" i="17"/>
  <c r="H63" i="12"/>
  <c r="L56"/>
  <c r="L54"/>
  <c r="H19" i="22" s="1"/>
  <c r="G140" i="19"/>
  <c r="D147" i="12"/>
  <c r="D4" i="22"/>
  <c r="G114" i="19"/>
  <c r="L63" i="12"/>
  <c r="L53"/>
  <c r="H18" i="22" s="1"/>
  <c r="L55" i="12"/>
  <c r="H20" i="22" s="1"/>
  <c r="D149" i="12"/>
  <c r="D6" i="22"/>
  <c r="G115" i="19"/>
  <c r="L64" i="12"/>
  <c r="H163" i="19"/>
  <c r="F161"/>
  <c r="J161" s="1"/>
  <c r="F164"/>
  <c r="H164" s="1"/>
  <c r="G155"/>
  <c r="F155"/>
  <c r="F50"/>
  <c r="G163"/>
  <c r="H171"/>
  <c r="N19" i="12"/>
  <c r="C14" i="21"/>
  <c r="C15" s="1"/>
  <c r="D14"/>
  <c r="D15" s="1"/>
  <c r="N20" i="12"/>
  <c r="G76" i="19"/>
  <c r="G80" s="1"/>
  <c r="F80"/>
  <c r="G43"/>
  <c r="F172"/>
  <c r="G41"/>
  <c r="F170"/>
  <c r="F162"/>
  <c r="G82"/>
  <c r="G86" s="1"/>
  <c r="F86"/>
  <c r="G70"/>
  <c r="G74" s="1"/>
  <c r="F74"/>
  <c r="G58"/>
  <c r="F62"/>
  <c r="G49"/>
  <c r="G157" s="1"/>
  <c r="F157"/>
  <c r="G106"/>
  <c r="G110" s="1"/>
  <c r="F110"/>
  <c r="G88"/>
  <c r="G92" s="1"/>
  <c r="F92"/>
  <c r="F149"/>
  <c r="G64"/>
  <c r="G68" s="1"/>
  <c r="F68"/>
  <c r="G52"/>
  <c r="G56" s="1"/>
  <c r="F56"/>
  <c r="G40"/>
  <c r="F44"/>
  <c r="F169"/>
  <c r="H169" s="1"/>
  <c r="G100"/>
  <c r="G104" s="1"/>
  <c r="F104"/>
  <c r="F151"/>
  <c r="G94"/>
  <c r="G98" s="1"/>
  <c r="F98"/>
  <c r="F148"/>
  <c r="G149"/>
  <c r="G162"/>
  <c r="F154"/>
  <c r="E147" i="12"/>
  <c r="H114"/>
  <c r="F8" i="22" s="1"/>
  <c r="F13" s="1"/>
  <c r="H117" i="12"/>
  <c r="F11" i="22" s="1"/>
  <c r="F16" s="1"/>
  <c r="G136" i="17"/>
  <c r="G140" s="1"/>
  <c r="G128"/>
  <c r="F116"/>
  <c r="G20"/>
  <c r="E67"/>
  <c r="F67" s="1"/>
  <c r="G67" s="1"/>
  <c r="E68"/>
  <c r="E76" i="16"/>
  <c r="G122" i="17"/>
  <c r="G112"/>
  <c r="G116" s="1"/>
  <c r="E70"/>
  <c r="F70" s="1"/>
  <c r="E73"/>
  <c r="F73" s="1"/>
  <c r="G73" s="1"/>
  <c r="E65"/>
  <c r="F65" s="1"/>
  <c r="G65" s="1"/>
  <c r="G134"/>
  <c r="F122"/>
  <c r="F64"/>
  <c r="E74"/>
  <c r="F134"/>
  <c r="G70"/>
  <c r="G38"/>
  <c r="G32"/>
  <c r="G20" i="16"/>
  <c r="F132"/>
  <c r="G132" s="1"/>
  <c r="F126"/>
  <c r="G126" s="1"/>
  <c r="F133"/>
  <c r="G133" s="1"/>
  <c r="F127"/>
  <c r="G127" s="1"/>
  <c r="F130"/>
  <c r="F131"/>
  <c r="G131" s="1"/>
  <c r="F125"/>
  <c r="B19" i="12"/>
  <c r="B21"/>
  <c r="E5" i="21"/>
  <c r="C21" i="12" s="1"/>
  <c r="D21"/>
  <c r="G116" i="19" l="1"/>
  <c r="F147" i="12"/>
  <c r="D150"/>
  <c r="C20" i="15" s="1"/>
  <c r="F148" i="12"/>
  <c r="E148"/>
  <c r="H21" i="22"/>
  <c r="F149" i="12"/>
  <c r="E149"/>
  <c r="H1" i="19"/>
  <c r="H1" i="17"/>
  <c r="H161" i="19"/>
  <c r="H172"/>
  <c r="F152"/>
  <c r="F166"/>
  <c r="H166" s="1"/>
  <c r="J164"/>
  <c r="F158"/>
  <c r="G50"/>
  <c r="J166"/>
  <c r="G164"/>
  <c r="G151"/>
  <c r="F159"/>
  <c r="F165"/>
  <c r="G62"/>
  <c r="G158" s="1"/>
  <c r="G154"/>
  <c r="G159" s="1"/>
  <c r="G44"/>
  <c r="G161"/>
  <c r="G148"/>
  <c r="H170"/>
  <c r="J162"/>
  <c r="H162"/>
  <c r="F153"/>
  <c r="F68" i="17"/>
  <c r="G74"/>
  <c r="F74"/>
  <c r="G64"/>
  <c r="G68" s="1"/>
  <c r="E100" i="16"/>
  <c r="E88"/>
  <c r="E84" i="17"/>
  <c r="F84" s="1"/>
  <c r="G84" s="1"/>
  <c r="E80"/>
  <c r="E78"/>
  <c r="F78" s="1"/>
  <c r="G78" s="1"/>
  <c r="E79"/>
  <c r="F79" s="1"/>
  <c r="G79" s="1"/>
  <c r="E83"/>
  <c r="F83" s="1"/>
  <c r="G83" s="1"/>
  <c r="E86"/>
  <c r="F76"/>
  <c r="E77"/>
  <c r="F77" s="1"/>
  <c r="G77" s="1"/>
  <c r="E85"/>
  <c r="F85" s="1"/>
  <c r="G85" s="1"/>
  <c r="E82"/>
  <c r="F82" s="1"/>
  <c r="G125" i="16"/>
  <c r="G128" s="1"/>
  <c r="F128"/>
  <c r="F144"/>
  <c r="G144" s="1"/>
  <c r="F138"/>
  <c r="G138" s="1"/>
  <c r="F145"/>
  <c r="G145" s="1"/>
  <c r="F139"/>
  <c r="G139" s="1"/>
  <c r="F142"/>
  <c r="F143"/>
  <c r="G143" s="1"/>
  <c r="F137"/>
  <c r="F134"/>
  <c r="G130"/>
  <c r="G134" s="1"/>
  <c r="C5" i="21"/>
  <c r="C19" i="12" s="1"/>
  <c r="D19"/>
  <c r="E150" l="1"/>
  <c r="D20" i="15" s="1"/>
  <c r="F150" i="12"/>
  <c r="E20" i="15" s="1"/>
  <c r="E6" i="13"/>
  <c r="E3"/>
  <c r="F6" i="17"/>
  <c r="F7"/>
  <c r="F10"/>
  <c r="E2" i="13"/>
  <c r="E4"/>
  <c r="F13" i="17"/>
  <c r="G13" s="1"/>
  <c r="F12"/>
  <c r="G12" s="1"/>
  <c r="F11"/>
  <c r="G11" s="1"/>
  <c r="E5" i="13"/>
  <c r="F5" i="17"/>
  <c r="E7" i="13"/>
  <c r="F4" i="17"/>
  <c r="F4" i="13"/>
  <c r="F7"/>
  <c r="F3"/>
  <c r="F7" i="19"/>
  <c r="F6" i="13"/>
  <c r="F2"/>
  <c r="F9" s="1"/>
  <c r="L108" i="12" s="1"/>
  <c r="F13" i="19"/>
  <c r="G13" s="1"/>
  <c r="F10"/>
  <c r="F5" i="13"/>
  <c r="F6" i="19"/>
  <c r="F5"/>
  <c r="F4"/>
  <c r="F12"/>
  <c r="G12" s="1"/>
  <c r="F11"/>
  <c r="G11" s="1"/>
  <c r="G153"/>
  <c r="G166"/>
  <c r="J165"/>
  <c r="H165"/>
  <c r="G152"/>
  <c r="G165"/>
  <c r="F80" i="17"/>
  <c r="G76"/>
  <c r="G80" s="1"/>
  <c r="E95"/>
  <c r="F95" s="1"/>
  <c r="G95" s="1"/>
  <c r="E98"/>
  <c r="F88"/>
  <c r="E89"/>
  <c r="F89" s="1"/>
  <c r="G89" s="1"/>
  <c r="E97"/>
  <c r="F97" s="1"/>
  <c r="G97" s="1"/>
  <c r="E94"/>
  <c r="F94" s="1"/>
  <c r="E96"/>
  <c r="F96" s="1"/>
  <c r="G96" s="1"/>
  <c r="E92"/>
  <c r="E90"/>
  <c r="F90" s="1"/>
  <c r="G90" s="1"/>
  <c r="E91"/>
  <c r="F91" s="1"/>
  <c r="G91" s="1"/>
  <c r="F86"/>
  <c r="G82"/>
  <c r="G86" s="1"/>
  <c r="E60"/>
  <c r="F60" s="1"/>
  <c r="G60" s="1"/>
  <c r="E56"/>
  <c r="E54"/>
  <c r="F54" s="1"/>
  <c r="G54" s="1"/>
  <c r="E55"/>
  <c r="F55" s="1"/>
  <c r="G55" s="1"/>
  <c r="E59"/>
  <c r="F59" s="1"/>
  <c r="G59" s="1"/>
  <c r="E62"/>
  <c r="F52"/>
  <c r="E53"/>
  <c r="F53" s="1"/>
  <c r="G53" s="1"/>
  <c r="E61"/>
  <c r="F61" s="1"/>
  <c r="G61" s="1"/>
  <c r="E58"/>
  <c r="F58" s="1"/>
  <c r="E108"/>
  <c r="F108" s="1"/>
  <c r="G108" s="1"/>
  <c r="E104"/>
  <c r="E102"/>
  <c r="F102" s="1"/>
  <c r="G102" s="1"/>
  <c r="E103"/>
  <c r="F103" s="1"/>
  <c r="G103" s="1"/>
  <c r="E107"/>
  <c r="F107" s="1"/>
  <c r="G107" s="1"/>
  <c r="E110"/>
  <c r="F100"/>
  <c r="E101"/>
  <c r="F101" s="1"/>
  <c r="G101" s="1"/>
  <c r="E109"/>
  <c r="F109" s="1"/>
  <c r="G109" s="1"/>
  <c r="E106"/>
  <c r="F106" s="1"/>
  <c r="E47"/>
  <c r="F47" s="1"/>
  <c r="E50"/>
  <c r="F40"/>
  <c r="H53" i="12" s="1"/>
  <c r="E41" i="17"/>
  <c r="F41" s="1"/>
  <c r="H54" i="12" s="1"/>
  <c r="E49" i="17"/>
  <c r="F49" s="1"/>
  <c r="E46"/>
  <c r="F46" s="1"/>
  <c r="E48"/>
  <c r="F48" s="1"/>
  <c r="E44"/>
  <c r="E42"/>
  <c r="F42" s="1"/>
  <c r="E43"/>
  <c r="F43" s="1"/>
  <c r="H56" i="12" s="1"/>
  <c r="F146" i="16"/>
  <c r="G142"/>
  <c r="G146" s="1"/>
  <c r="G137"/>
  <c r="G140" s="1"/>
  <c r="F140"/>
  <c r="E52"/>
  <c r="E40"/>
  <c r="D32" i="12"/>
  <c r="D7" i="22" s="1"/>
  <c r="F18" l="1"/>
  <c r="H85" i="12"/>
  <c r="F19" i="22"/>
  <c r="H86" i="12"/>
  <c r="H55"/>
  <c r="F21" i="22"/>
  <c r="H88" i="12"/>
  <c r="G6" i="19"/>
  <c r="L30" i="12"/>
  <c r="G5" i="17"/>
  <c r="H29" i="12"/>
  <c r="H31"/>
  <c r="G7" i="17"/>
  <c r="H30" i="12"/>
  <c r="G6" i="17"/>
  <c r="L28" i="12"/>
  <c r="F8" i="19"/>
  <c r="G4"/>
  <c r="F14"/>
  <c r="G10"/>
  <c r="G14" s="1"/>
  <c r="G7"/>
  <c r="L31" i="12"/>
  <c r="F8" i="17"/>
  <c r="G4"/>
  <c r="H28" i="12"/>
  <c r="E9" i="13"/>
  <c r="H108" i="12" s="1"/>
  <c r="G5" i="19"/>
  <c r="L29" i="12"/>
  <c r="G10" i="17"/>
  <c r="G14" s="1"/>
  <c r="F14"/>
  <c r="F164"/>
  <c r="F151"/>
  <c r="G43"/>
  <c r="F172"/>
  <c r="G46"/>
  <c r="F154"/>
  <c r="F50"/>
  <c r="F62"/>
  <c r="G58"/>
  <c r="G62" s="1"/>
  <c r="G94"/>
  <c r="G98" s="1"/>
  <c r="F98"/>
  <c r="F163"/>
  <c r="F171"/>
  <c r="F150"/>
  <c r="G42"/>
  <c r="G49"/>
  <c r="G157" s="1"/>
  <c r="F157"/>
  <c r="G47"/>
  <c r="G155" s="1"/>
  <c r="F155"/>
  <c r="G100"/>
  <c r="G104" s="1"/>
  <c r="F104"/>
  <c r="F170"/>
  <c r="F162"/>
  <c r="G41"/>
  <c r="F149"/>
  <c r="F110"/>
  <c r="G106"/>
  <c r="G110" s="1"/>
  <c r="G48"/>
  <c r="G156" s="1"/>
  <c r="F156"/>
  <c r="F169"/>
  <c r="F161"/>
  <c r="F148"/>
  <c r="F44"/>
  <c r="G40"/>
  <c r="G52"/>
  <c r="G56" s="1"/>
  <c r="F56"/>
  <c r="F92"/>
  <c r="G88"/>
  <c r="G92" s="1"/>
  <c r="F120" i="16"/>
  <c r="G120" s="1"/>
  <c r="F114"/>
  <c r="F121"/>
  <c r="G121" s="1"/>
  <c r="F118"/>
  <c r="D61" i="12" s="1"/>
  <c r="F115" i="16"/>
  <c r="F113"/>
  <c r="F119"/>
  <c r="G119" s="1"/>
  <c r="D41" i="12"/>
  <c r="F20" i="22" l="1"/>
  <c r="H87" i="12"/>
  <c r="F4" i="22"/>
  <c r="H123" i="12"/>
  <c r="F25" i="22" s="1"/>
  <c r="H147" i="12"/>
  <c r="H131"/>
  <c r="J108"/>
  <c r="I108"/>
  <c r="H6" i="22"/>
  <c r="L125" i="12"/>
  <c r="H27" i="22" s="1"/>
  <c r="L149" i="12"/>
  <c r="L133"/>
  <c r="G8" i="19"/>
  <c r="H148" i="12"/>
  <c r="F5" i="22"/>
  <c r="H124" i="12"/>
  <c r="F26" i="22" s="1"/>
  <c r="H132" i="12"/>
  <c r="G8" i="17"/>
  <c r="H5" i="22"/>
  <c r="L124" i="12"/>
  <c r="H26" i="22" s="1"/>
  <c r="L148" i="12"/>
  <c r="L132"/>
  <c r="F3" i="22"/>
  <c r="H122" i="12"/>
  <c r="F24" i="22" s="1"/>
  <c r="H146" i="12"/>
  <c r="H130"/>
  <c r="H4" i="22"/>
  <c r="L147" i="12"/>
  <c r="L131"/>
  <c r="L123"/>
  <c r="H25" i="22" s="1"/>
  <c r="H3"/>
  <c r="L122" i="12"/>
  <c r="H24" i="22" s="1"/>
  <c r="L146" i="12"/>
  <c r="L130"/>
  <c r="H29" i="22" s="1"/>
  <c r="F6"/>
  <c r="H125" i="12"/>
  <c r="F27" i="22" s="1"/>
  <c r="H133" i="12"/>
  <c r="H149"/>
  <c r="F152" i="17"/>
  <c r="F153"/>
  <c r="G149"/>
  <c r="G162"/>
  <c r="J163"/>
  <c r="H163"/>
  <c r="H171"/>
  <c r="J161"/>
  <c r="H161"/>
  <c r="H169"/>
  <c r="F166"/>
  <c r="H170"/>
  <c r="J162"/>
  <c r="H162"/>
  <c r="G150"/>
  <c r="G163"/>
  <c r="F158"/>
  <c r="G151"/>
  <c r="G164"/>
  <c r="G161"/>
  <c r="G44"/>
  <c r="G148"/>
  <c r="F159"/>
  <c r="F165"/>
  <c r="G154"/>
  <c r="G159" s="1"/>
  <c r="G50"/>
  <c r="G158" s="1"/>
  <c r="J164"/>
  <c r="H164"/>
  <c r="H172"/>
  <c r="D62" i="12"/>
  <c r="G114" i="16"/>
  <c r="D63" i="12"/>
  <c r="G115" i="16"/>
  <c r="D64" i="12"/>
  <c r="G113" i="16"/>
  <c r="F116"/>
  <c r="F122"/>
  <c r="G118"/>
  <c r="G122" s="1"/>
  <c r="D108" i="12"/>
  <c r="L141" l="1"/>
  <c r="H32" i="22"/>
  <c r="H140" i="12"/>
  <c r="F31" i="22"/>
  <c r="H139" i="12"/>
  <c r="F30" i="22"/>
  <c r="G166" i="17"/>
  <c r="H141" i="12"/>
  <c r="F32" i="22"/>
  <c r="L139" i="12"/>
  <c r="H30" i="22"/>
  <c r="H138" i="12"/>
  <c r="F29" i="22"/>
  <c r="L140" i="12"/>
  <c r="H31" i="22"/>
  <c r="L150" i="12"/>
  <c r="K20" i="15" s="1"/>
  <c r="L134" i="12"/>
  <c r="L138"/>
  <c r="L142" s="1"/>
  <c r="K19" i="15" s="1"/>
  <c r="L126" i="12"/>
  <c r="G153" i="17"/>
  <c r="G152"/>
  <c r="G165"/>
  <c r="J165"/>
  <c r="H165"/>
  <c r="J166"/>
  <c r="H166"/>
  <c r="G116" i="16"/>
  <c r="I15" i="20"/>
  <c r="H15"/>
  <c r="L14"/>
  <c r="N14" s="1"/>
  <c r="J14"/>
  <c r="I14"/>
  <c r="F14"/>
  <c r="E14"/>
  <c r="D14"/>
  <c r="L13"/>
  <c r="N13" s="1"/>
  <c r="J13"/>
  <c r="I13"/>
  <c r="F13"/>
  <c r="E13"/>
  <c r="D13"/>
  <c r="L12"/>
  <c r="N12" s="1"/>
  <c r="J12"/>
  <c r="I12"/>
  <c r="F12"/>
  <c r="E12"/>
  <c r="D12"/>
  <c r="L11"/>
  <c r="L15" s="1"/>
  <c r="J11"/>
  <c r="I11"/>
  <c r="F11"/>
  <c r="E11"/>
  <c r="D11"/>
  <c r="L7"/>
  <c r="H7"/>
  <c r="N6"/>
  <c r="M6"/>
  <c r="L6"/>
  <c r="J6"/>
  <c r="I6"/>
  <c r="F6"/>
  <c r="D6"/>
  <c r="E6" s="1"/>
  <c r="N5"/>
  <c r="M5"/>
  <c r="L5"/>
  <c r="J5"/>
  <c r="I5"/>
  <c r="F5"/>
  <c r="D5"/>
  <c r="E5" s="1"/>
  <c r="N4"/>
  <c r="M4"/>
  <c r="L4"/>
  <c r="J4"/>
  <c r="I4"/>
  <c r="F4"/>
  <c r="D4"/>
  <c r="E4" s="1"/>
  <c r="N3"/>
  <c r="M3"/>
  <c r="M7" s="1"/>
  <c r="L3"/>
  <c r="J3"/>
  <c r="I3"/>
  <c r="I7" s="1"/>
  <c r="F3"/>
  <c r="D3"/>
  <c r="E3" s="1"/>
  <c r="K18" i="15" l="1"/>
  <c r="H33" i="22"/>
  <c r="K17" i="15"/>
  <c r="H28" i="22"/>
  <c r="F7" i="20"/>
  <c r="J15"/>
  <c r="N7"/>
  <c r="J7"/>
  <c r="E7"/>
  <c r="M11"/>
  <c r="M15" s="1"/>
  <c r="M12"/>
  <c r="M13"/>
  <c r="M14"/>
  <c r="D7"/>
  <c r="N11"/>
  <c r="N15" s="1"/>
  <c r="D65" i="12" l="1"/>
  <c r="N29" l="1"/>
  <c r="I4" i="22" s="1"/>
  <c r="J31" i="12"/>
  <c r="G6" i="22" s="1"/>
  <c r="I31" i="12"/>
  <c r="J30"/>
  <c r="G5" i="22" s="1"/>
  <c r="I30" i="12"/>
  <c r="I29"/>
  <c r="J28"/>
  <c r="G3" i="22" s="1"/>
  <c r="I28" i="12"/>
  <c r="N31"/>
  <c r="I6" i="22" s="1"/>
  <c r="M31" i="12"/>
  <c r="N30"/>
  <c r="I5" i="22" s="1"/>
  <c r="M30" i="12"/>
  <c r="I32" l="1"/>
  <c r="L32"/>
  <c r="H7" i="22" s="1"/>
  <c r="M28" i="12"/>
  <c r="H32"/>
  <c r="F7" i="22" s="1"/>
  <c r="J29" i="12"/>
  <c r="N28"/>
  <c r="M29"/>
  <c r="J32" l="1"/>
  <c r="G7" i="22" s="1"/>
  <c r="G4"/>
  <c r="N32" i="12"/>
  <c r="I7" i="22" s="1"/>
  <c r="I3"/>
  <c r="M32" i="12"/>
  <c r="D110" i="16" l="1"/>
  <c r="D104"/>
  <c r="E106"/>
  <c r="F106" s="1"/>
  <c r="D98"/>
  <c r="D92"/>
  <c r="E96"/>
  <c r="F96" s="1"/>
  <c r="G96" s="1"/>
  <c r="D86"/>
  <c r="D80"/>
  <c r="E84"/>
  <c r="F84" s="1"/>
  <c r="G84" s="1"/>
  <c r="D74"/>
  <c r="D68"/>
  <c r="E66"/>
  <c r="F66" s="1"/>
  <c r="G66" s="1"/>
  <c r="D62"/>
  <c r="D56"/>
  <c r="E60"/>
  <c r="F60" s="1"/>
  <c r="G60" s="1"/>
  <c r="D50"/>
  <c r="D44"/>
  <c r="E48"/>
  <c r="F48" s="1"/>
  <c r="G48" s="1"/>
  <c r="D38"/>
  <c r="F37"/>
  <c r="G37" s="1"/>
  <c r="F36"/>
  <c r="G36" s="1"/>
  <c r="F35"/>
  <c r="G35" s="1"/>
  <c r="F34"/>
  <c r="D32"/>
  <c r="F31"/>
  <c r="F30"/>
  <c r="F29"/>
  <c r="F28"/>
  <c r="D45" i="12" l="1"/>
  <c r="D46"/>
  <c r="F38" i="16"/>
  <c r="G30"/>
  <c r="D47" i="12"/>
  <c r="D48"/>
  <c r="G34" i="16"/>
  <c r="G38" s="1"/>
  <c r="E78"/>
  <c r="F78" s="1"/>
  <c r="G78" s="1"/>
  <c r="E72"/>
  <c r="F72" s="1"/>
  <c r="G72" s="1"/>
  <c r="E42"/>
  <c r="F42" s="1"/>
  <c r="E90"/>
  <c r="F90" s="1"/>
  <c r="G90" s="1"/>
  <c r="F100"/>
  <c r="G100" s="1"/>
  <c r="E54"/>
  <c r="F54" s="1"/>
  <c r="G54" s="1"/>
  <c r="F32"/>
  <c r="G28"/>
  <c r="G31"/>
  <c r="G29"/>
  <c r="E47"/>
  <c r="F47" s="1"/>
  <c r="G47" s="1"/>
  <c r="E41"/>
  <c r="F41" s="1"/>
  <c r="E50"/>
  <c r="E49"/>
  <c r="F49" s="1"/>
  <c r="G49" s="1"/>
  <c r="E44"/>
  <c r="E43"/>
  <c r="F43" s="1"/>
  <c r="F40"/>
  <c r="E46"/>
  <c r="F46" s="1"/>
  <c r="E59"/>
  <c r="F59" s="1"/>
  <c r="G59" s="1"/>
  <c r="E53"/>
  <c r="F53" s="1"/>
  <c r="G53" s="1"/>
  <c r="E62"/>
  <c r="E61"/>
  <c r="F61" s="1"/>
  <c r="G61" s="1"/>
  <c r="E56"/>
  <c r="E55"/>
  <c r="F55" s="1"/>
  <c r="G55" s="1"/>
  <c r="F52"/>
  <c r="E58"/>
  <c r="F58" s="1"/>
  <c r="E71"/>
  <c r="F71" s="1"/>
  <c r="G71" s="1"/>
  <c r="E65"/>
  <c r="F65" s="1"/>
  <c r="G65" s="1"/>
  <c r="E74"/>
  <c r="E73"/>
  <c r="F73" s="1"/>
  <c r="G73" s="1"/>
  <c r="E68"/>
  <c r="E67"/>
  <c r="F67" s="1"/>
  <c r="G67" s="1"/>
  <c r="F64"/>
  <c r="E70"/>
  <c r="F70" s="1"/>
  <c r="E83"/>
  <c r="F83" s="1"/>
  <c r="G83" s="1"/>
  <c r="E77"/>
  <c r="F77" s="1"/>
  <c r="G77" s="1"/>
  <c r="E86"/>
  <c r="E85"/>
  <c r="F85" s="1"/>
  <c r="G85" s="1"/>
  <c r="E80"/>
  <c r="E79"/>
  <c r="F79" s="1"/>
  <c r="G79" s="1"/>
  <c r="F76"/>
  <c r="E82"/>
  <c r="F82" s="1"/>
  <c r="E95"/>
  <c r="F95" s="1"/>
  <c r="G95" s="1"/>
  <c r="E89"/>
  <c r="F89" s="1"/>
  <c r="G89" s="1"/>
  <c r="E98"/>
  <c r="E97"/>
  <c r="F97" s="1"/>
  <c r="G97" s="1"/>
  <c r="E92"/>
  <c r="E91"/>
  <c r="F91" s="1"/>
  <c r="G91" s="1"/>
  <c r="F88"/>
  <c r="E94"/>
  <c r="F94" s="1"/>
  <c r="G106"/>
  <c r="E110"/>
  <c r="E109"/>
  <c r="F109" s="1"/>
  <c r="G109" s="1"/>
  <c r="E104"/>
  <c r="E103"/>
  <c r="F103" s="1"/>
  <c r="G103" s="1"/>
  <c r="E107"/>
  <c r="F107" s="1"/>
  <c r="G107" s="1"/>
  <c r="E101"/>
  <c r="F101" s="1"/>
  <c r="G101" s="1"/>
  <c r="E102"/>
  <c r="F102" s="1"/>
  <c r="E108"/>
  <c r="F108" s="1"/>
  <c r="H13" i="15"/>
  <c r="G13"/>
  <c r="B6"/>
  <c r="B5"/>
  <c r="B9"/>
  <c r="B10"/>
  <c r="C10"/>
  <c r="N117" i="12"/>
  <c r="I11" i="22" s="1"/>
  <c r="M116" i="12"/>
  <c r="I117"/>
  <c r="J116"/>
  <c r="G10" i="22" s="1"/>
  <c r="J115" i="12"/>
  <c r="G9" i="22" s="1"/>
  <c r="J114" i="12"/>
  <c r="G8" i="22" s="1"/>
  <c r="N115" i="12"/>
  <c r="I9" i="22" s="1"/>
  <c r="N116" i="12"/>
  <c r="I10" i="22" s="1"/>
  <c r="M115" i="12"/>
  <c r="B13" i="15"/>
  <c r="B12"/>
  <c r="B11"/>
  <c r="B8"/>
  <c r="M64" i="12"/>
  <c r="M63"/>
  <c r="M62"/>
  <c r="M61"/>
  <c r="I80"/>
  <c r="I79"/>
  <c r="I78"/>
  <c r="I77"/>
  <c r="I72"/>
  <c r="I71"/>
  <c r="I70"/>
  <c r="I69"/>
  <c r="I64"/>
  <c r="I63"/>
  <c r="I62"/>
  <c r="I61"/>
  <c r="I48"/>
  <c r="I47"/>
  <c r="I46"/>
  <c r="I45"/>
  <c r="I40"/>
  <c r="I39"/>
  <c r="I38"/>
  <c r="I37"/>
  <c r="E64"/>
  <c r="E63"/>
  <c r="E62"/>
  <c r="E61"/>
  <c r="E31"/>
  <c r="E30"/>
  <c r="E29"/>
  <c r="E28"/>
  <c r="M40"/>
  <c r="M39"/>
  <c r="M38"/>
  <c r="M37"/>
  <c r="E40"/>
  <c r="E39"/>
  <c r="E38"/>
  <c r="E37"/>
  <c r="C7" i="15"/>
  <c r="B7"/>
  <c r="B3"/>
  <c r="D56" i="12" l="1"/>
  <c r="D54"/>
  <c r="G42" i="16"/>
  <c r="D55" i="12"/>
  <c r="D117"/>
  <c r="D115"/>
  <c r="D53"/>
  <c r="E47"/>
  <c r="D114"/>
  <c r="E45"/>
  <c r="J117"/>
  <c r="E46"/>
  <c r="E48"/>
  <c r="D116"/>
  <c r="I49"/>
  <c r="H8" i="15" s="1"/>
  <c r="D49" i="12"/>
  <c r="C8" i="15" s="1"/>
  <c r="E41" i="12"/>
  <c r="D7" i="15" s="1"/>
  <c r="F117" i="12"/>
  <c r="E11" i="22" s="1"/>
  <c r="G155" i="16"/>
  <c r="F149"/>
  <c r="G157"/>
  <c r="F155"/>
  <c r="F114" i="12"/>
  <c r="E8" i="22" s="1"/>
  <c r="E65" i="12"/>
  <c r="D10" i="15" s="1"/>
  <c r="M65" i="12"/>
  <c r="L10" i="15" s="1"/>
  <c r="M55" i="12"/>
  <c r="M54"/>
  <c r="M56"/>
  <c r="K4" i="15"/>
  <c r="I41" i="12"/>
  <c r="H7" i="15" s="1"/>
  <c r="I116" i="12"/>
  <c r="H118"/>
  <c r="I81"/>
  <c r="H12" i="15" s="1"/>
  <c r="I73" i="12"/>
  <c r="H11" i="15" s="1"/>
  <c r="I65" i="12"/>
  <c r="H10" i="15" s="1"/>
  <c r="F163" i="16"/>
  <c r="G102"/>
  <c r="F150"/>
  <c r="F157"/>
  <c r="F104"/>
  <c r="F169"/>
  <c r="G40"/>
  <c r="F44"/>
  <c r="F151"/>
  <c r="F161"/>
  <c r="F162"/>
  <c r="F172"/>
  <c r="G43"/>
  <c r="G151" s="1"/>
  <c r="F170"/>
  <c r="G41"/>
  <c r="G162" s="1"/>
  <c r="G32"/>
  <c r="G88"/>
  <c r="G92" s="1"/>
  <c r="F92"/>
  <c r="G76"/>
  <c r="G80" s="1"/>
  <c r="F80"/>
  <c r="G64"/>
  <c r="G68" s="1"/>
  <c r="F68"/>
  <c r="G52"/>
  <c r="G56" s="1"/>
  <c r="F56"/>
  <c r="F156"/>
  <c r="G108"/>
  <c r="G156" s="1"/>
  <c r="F110"/>
  <c r="G94"/>
  <c r="G98" s="1"/>
  <c r="F98"/>
  <c r="G82"/>
  <c r="G86" s="1"/>
  <c r="F86"/>
  <c r="G70"/>
  <c r="G74" s="1"/>
  <c r="F74"/>
  <c r="G58"/>
  <c r="G62" s="1"/>
  <c r="F62"/>
  <c r="G46"/>
  <c r="F154"/>
  <c r="F50"/>
  <c r="F171"/>
  <c r="F164"/>
  <c r="F148"/>
  <c r="M117" i="12"/>
  <c r="I114"/>
  <c r="I115"/>
  <c r="M114"/>
  <c r="M118" s="1"/>
  <c r="L4" i="15" s="1"/>
  <c r="N114" i="12"/>
  <c r="K13" i="15"/>
  <c r="F108" i="12"/>
  <c r="E13" i="15" s="1"/>
  <c r="D9" i="13"/>
  <c r="D7"/>
  <c r="D6"/>
  <c r="D5"/>
  <c r="D4"/>
  <c r="D3"/>
  <c r="D2"/>
  <c r="C9"/>
  <c r="B9"/>
  <c r="I13" i="15"/>
  <c r="F116" i="12" l="1"/>
  <c r="E10" i="22" s="1"/>
  <c r="D10"/>
  <c r="D15" s="1"/>
  <c r="F115" i="12"/>
  <c r="E9" i="22" s="1"/>
  <c r="D9"/>
  <c r="D14" s="1"/>
  <c r="J118" i="12"/>
  <c r="G11" i="22"/>
  <c r="G4" i="15"/>
  <c r="F12" i="22"/>
  <c r="N118" i="12"/>
  <c r="I8" i="22"/>
  <c r="E114" i="12"/>
  <c r="D8" i="22"/>
  <c r="D13" s="1"/>
  <c r="E117" i="12"/>
  <c r="D11" i="22"/>
  <c r="D16" s="1"/>
  <c r="D124" i="12"/>
  <c r="D26" i="22" s="1"/>
  <c r="D20"/>
  <c r="D130" i="12"/>
  <c r="D18" i="22"/>
  <c r="D123" i="12"/>
  <c r="D25" i="22" s="1"/>
  <c r="D19"/>
  <c r="D133" i="12"/>
  <c r="D21" i="22"/>
  <c r="M133" i="12"/>
  <c r="D125"/>
  <c r="D27" i="22" s="1"/>
  <c r="G150" i="16"/>
  <c r="D122" i="12"/>
  <c r="D24" i="22" s="1"/>
  <c r="D131" i="12"/>
  <c r="E130"/>
  <c r="F130"/>
  <c r="E29" i="22" s="1"/>
  <c r="E115" i="12"/>
  <c r="M53"/>
  <c r="M57" s="1"/>
  <c r="L9" i="15" s="1"/>
  <c r="D132" i="12"/>
  <c r="D31" i="22" s="1"/>
  <c r="E133" i="12"/>
  <c r="H172" i="16"/>
  <c r="D118" i="12"/>
  <c r="E49"/>
  <c r="D8" i="15" s="1"/>
  <c r="E116" i="12"/>
  <c r="H171" i="16"/>
  <c r="H169"/>
  <c r="H16" i="15"/>
  <c r="E54" i="12"/>
  <c r="E56"/>
  <c r="E55"/>
  <c r="H170" i="16"/>
  <c r="D57" i="12"/>
  <c r="D22" i="22" s="1"/>
  <c r="E53" i="12"/>
  <c r="F118"/>
  <c r="I54"/>
  <c r="I56"/>
  <c r="I55"/>
  <c r="M45"/>
  <c r="M47"/>
  <c r="M48"/>
  <c r="M46"/>
  <c r="F152" i="16"/>
  <c r="G163"/>
  <c r="G149"/>
  <c r="G110"/>
  <c r="G104"/>
  <c r="F159"/>
  <c r="F165"/>
  <c r="H165" s="1"/>
  <c r="N108" i="12"/>
  <c r="M13" i="15" s="1"/>
  <c r="E108" i="12"/>
  <c r="D13" i="15" s="1"/>
  <c r="C13"/>
  <c r="J164" i="16"/>
  <c r="H164"/>
  <c r="F158"/>
  <c r="G164"/>
  <c r="G148"/>
  <c r="J162"/>
  <c r="H162"/>
  <c r="G44"/>
  <c r="G50"/>
  <c r="G154"/>
  <c r="G159" s="1"/>
  <c r="F153"/>
  <c r="G161"/>
  <c r="J161"/>
  <c r="H161"/>
  <c r="F166"/>
  <c r="J163"/>
  <c r="H163"/>
  <c r="I118" i="12"/>
  <c r="H4" i="15" s="1"/>
  <c r="H5" s="1"/>
  <c r="M108" i="12"/>
  <c r="L13" i="15" s="1"/>
  <c r="H96" i="12"/>
  <c r="H95"/>
  <c r="H94"/>
  <c r="H93"/>
  <c r="D94"/>
  <c r="L88"/>
  <c r="M88" s="1"/>
  <c r="L87"/>
  <c r="L86"/>
  <c r="M86" s="1"/>
  <c r="L85"/>
  <c r="I87"/>
  <c r="I86"/>
  <c r="D88"/>
  <c r="F88" s="1"/>
  <c r="D87"/>
  <c r="F87" s="1"/>
  <c r="D86"/>
  <c r="D85"/>
  <c r="E85" s="1"/>
  <c r="M80"/>
  <c r="F79"/>
  <c r="E78"/>
  <c r="E72"/>
  <c r="D95"/>
  <c r="F70"/>
  <c r="D93"/>
  <c r="J72"/>
  <c r="J71"/>
  <c r="J70"/>
  <c r="E70"/>
  <c r="H73"/>
  <c r="G11" i="15" s="1"/>
  <c r="F69" i="12"/>
  <c r="J79"/>
  <c r="J78"/>
  <c r="K3" i="15"/>
  <c r="K14" s="1"/>
  <c r="F29" i="12"/>
  <c r="E4" i="22" s="1"/>
  <c r="E32" i="12"/>
  <c r="D3" i="15" s="1"/>
  <c r="L3"/>
  <c r="L14" s="1"/>
  <c r="H3"/>
  <c r="F31" i="12"/>
  <c r="E6" i="22" s="1"/>
  <c r="F30" i="12"/>
  <c r="E5" i="22" s="1"/>
  <c r="I96" i="12" l="1"/>
  <c r="H104"/>
  <c r="M4" i="15"/>
  <c r="I12" i="22"/>
  <c r="I95" i="12"/>
  <c r="H103"/>
  <c r="D141"/>
  <c r="D32" i="22"/>
  <c r="D138" i="12"/>
  <c r="D29" i="22"/>
  <c r="I94" i="12"/>
  <c r="H102"/>
  <c r="I4" i="15"/>
  <c r="G12" i="22"/>
  <c r="I93" i="12"/>
  <c r="H101"/>
  <c r="E4" i="15"/>
  <c r="E12" i="22"/>
  <c r="C4" i="15"/>
  <c r="C6" s="1"/>
  <c r="D12" i="22"/>
  <c r="D17" s="1"/>
  <c r="D23" s="1"/>
  <c r="E131" i="12"/>
  <c r="D30" i="22"/>
  <c r="F133" i="12"/>
  <c r="E32" i="22" s="1"/>
  <c r="C9" i="15"/>
  <c r="C5"/>
  <c r="C15" s="1"/>
  <c r="N133" i="12"/>
  <c r="I32" i="22" s="1"/>
  <c r="E118" i="12"/>
  <c r="D4" i="15" s="1"/>
  <c r="D5" s="1"/>
  <c r="M147" i="12"/>
  <c r="M148"/>
  <c r="M141"/>
  <c r="M131"/>
  <c r="N140"/>
  <c r="N71"/>
  <c r="M72"/>
  <c r="N146"/>
  <c r="M146"/>
  <c r="N130"/>
  <c r="I29" i="22" s="1"/>
  <c r="M138" i="12"/>
  <c r="D139"/>
  <c r="F139" s="1"/>
  <c r="I148"/>
  <c r="J149"/>
  <c r="I149"/>
  <c r="F131"/>
  <c r="E30" i="22" s="1"/>
  <c r="D134" i="12"/>
  <c r="M139"/>
  <c r="N139"/>
  <c r="M132"/>
  <c r="N132"/>
  <c r="I31" i="22" s="1"/>
  <c r="D140" i="12"/>
  <c r="F132"/>
  <c r="E31" i="22" s="1"/>
  <c r="E132" i="12"/>
  <c r="E134" s="1"/>
  <c r="D18" i="15" s="1"/>
  <c r="F141" i="12"/>
  <c r="E141"/>
  <c r="F138"/>
  <c r="E138"/>
  <c r="J132"/>
  <c r="G31" i="22" s="1"/>
  <c r="I132" i="12"/>
  <c r="J140"/>
  <c r="I140"/>
  <c r="I141"/>
  <c r="J141"/>
  <c r="I131"/>
  <c r="J131"/>
  <c r="G30" i="22" s="1"/>
  <c r="J133" i="12"/>
  <c r="G32" i="22" s="1"/>
  <c r="I133" i="12"/>
  <c r="J139"/>
  <c r="I139"/>
  <c r="L94"/>
  <c r="M94" s="1"/>
  <c r="M70"/>
  <c r="N70"/>
  <c r="N72"/>
  <c r="N78"/>
  <c r="M78"/>
  <c r="F125"/>
  <c r="E27" i="22" s="1"/>
  <c r="E125" i="12"/>
  <c r="F122"/>
  <c r="E24" i="22" s="1"/>
  <c r="D126" i="12"/>
  <c r="E122"/>
  <c r="E57"/>
  <c r="D9" i="15" s="1"/>
  <c r="F124" i="12"/>
  <c r="E26" i="22" s="1"/>
  <c r="E124" i="12"/>
  <c r="F123"/>
  <c r="E25" i="22" s="1"/>
  <c r="E123" i="12"/>
  <c r="I53"/>
  <c r="I57" s="1"/>
  <c r="H9" i="15" s="1"/>
  <c r="I125" i="12"/>
  <c r="J125"/>
  <c r="G27" i="22" s="1"/>
  <c r="I124" i="12"/>
  <c r="J124"/>
  <c r="G26" i="22" s="1"/>
  <c r="J123" i="12"/>
  <c r="G25" i="22" s="1"/>
  <c r="I123" i="12"/>
  <c r="G153" i="16"/>
  <c r="J165"/>
  <c r="M125" i="12"/>
  <c r="N125"/>
  <c r="I27" i="22" s="1"/>
  <c r="M122" i="12"/>
  <c r="N122"/>
  <c r="I24" i="22" s="1"/>
  <c r="M123" i="12"/>
  <c r="N123"/>
  <c r="I25" i="22" s="1"/>
  <c r="N124" i="12"/>
  <c r="I26" i="22" s="1"/>
  <c r="M124" i="12"/>
  <c r="G165" i="16"/>
  <c r="G166"/>
  <c r="G158"/>
  <c r="G152"/>
  <c r="D101" i="12"/>
  <c r="F101" s="1"/>
  <c r="D103"/>
  <c r="F103" s="1"/>
  <c r="D102"/>
  <c r="E102" s="1"/>
  <c r="N86"/>
  <c r="N87"/>
  <c r="M87"/>
  <c r="N85"/>
  <c r="M85"/>
  <c r="H14" i="15"/>
  <c r="H6"/>
  <c r="L96" i="12"/>
  <c r="M96" s="1"/>
  <c r="N79"/>
  <c r="M79"/>
  <c r="C12" i="15"/>
  <c r="N77" i="12"/>
  <c r="M77"/>
  <c r="D96"/>
  <c r="D104" s="1"/>
  <c r="E104" s="1"/>
  <c r="L95"/>
  <c r="M71"/>
  <c r="I97"/>
  <c r="N69"/>
  <c r="M69"/>
  <c r="J86"/>
  <c r="J88"/>
  <c r="I88"/>
  <c r="J166" i="16"/>
  <c r="H166"/>
  <c r="F80" i="12"/>
  <c r="C3" i="15"/>
  <c r="C14" s="1"/>
  <c r="E71" i="12"/>
  <c r="E88"/>
  <c r="H97"/>
  <c r="L93"/>
  <c r="F71"/>
  <c r="D89"/>
  <c r="D97"/>
  <c r="F86"/>
  <c r="F85"/>
  <c r="E86"/>
  <c r="E87"/>
  <c r="J87"/>
  <c r="N88"/>
  <c r="L89"/>
  <c r="F77"/>
  <c r="D73"/>
  <c r="C11" i="15" s="1"/>
  <c r="L73" i="12"/>
  <c r="K11" i="15" s="1"/>
  <c r="E69" i="12"/>
  <c r="J69"/>
  <c r="J73" s="1"/>
  <c r="I11" i="15" s="1"/>
  <c r="F72" i="12"/>
  <c r="F73" s="1"/>
  <c r="E11" i="15" s="1"/>
  <c r="N80" i="12"/>
  <c r="G3" i="15"/>
  <c r="G14" s="1"/>
  <c r="F78" i="12"/>
  <c r="E79"/>
  <c r="E80"/>
  <c r="L81"/>
  <c r="K12" i="15" s="1"/>
  <c r="E77" i="12"/>
  <c r="J77"/>
  <c r="M3" i="15"/>
  <c r="M14" s="1"/>
  <c r="I3"/>
  <c r="I14" s="1"/>
  <c r="F28" i="12"/>
  <c r="N64"/>
  <c r="N63"/>
  <c r="N62"/>
  <c r="N61"/>
  <c r="N56"/>
  <c r="I21" i="22" s="1"/>
  <c r="N55" i="12"/>
  <c r="I20" i="22" s="1"/>
  <c r="N54" i="12"/>
  <c r="I19" i="22" s="1"/>
  <c r="N53" i="12"/>
  <c r="I18" i="22" s="1"/>
  <c r="N48" i="12"/>
  <c r="N47"/>
  <c r="N46"/>
  <c r="N45"/>
  <c r="J40"/>
  <c r="G16" i="22" s="1"/>
  <c r="J39" i="12"/>
  <c r="J38"/>
  <c r="J37"/>
  <c r="J48"/>
  <c r="J47"/>
  <c r="J46"/>
  <c r="J45"/>
  <c r="J56"/>
  <c r="J55"/>
  <c r="J54"/>
  <c r="J53"/>
  <c r="J64"/>
  <c r="J63"/>
  <c r="J62"/>
  <c r="J61"/>
  <c r="J93"/>
  <c r="F64"/>
  <c r="F63"/>
  <c r="F62"/>
  <c r="F61"/>
  <c r="F56"/>
  <c r="E21" i="22" s="1"/>
  <c r="F55" i="12"/>
  <c r="E20" i="22" s="1"/>
  <c r="F54" i="12"/>
  <c r="E19" i="22" s="1"/>
  <c r="F53" i="12"/>
  <c r="E18" i="22" s="1"/>
  <c r="F48" i="12"/>
  <c r="F47"/>
  <c r="F46"/>
  <c r="F45"/>
  <c r="N40"/>
  <c r="I16" i="22" s="1"/>
  <c r="N39" i="12"/>
  <c r="I15" i="22" s="1"/>
  <c r="N38" i="12"/>
  <c r="I14" i="22" s="1"/>
  <c r="N37" i="12"/>
  <c r="I13" i="22" s="1"/>
  <c r="F40" i="12"/>
  <c r="E16" i="22" s="1"/>
  <c r="F39" i="12"/>
  <c r="E15" i="22" s="1"/>
  <c r="F38" i="12"/>
  <c r="E14" i="22" s="1"/>
  <c r="F37" i="12"/>
  <c r="E13" i="22" s="1"/>
  <c r="F95" i="12"/>
  <c r="E94"/>
  <c r="E93"/>
  <c r="L49"/>
  <c r="K8" i="15" s="1"/>
  <c r="K6" s="1"/>
  <c r="M41" i="12"/>
  <c r="L7" i="15" s="1"/>
  <c r="L5" s="1"/>
  <c r="L41" i="12"/>
  <c r="L57"/>
  <c r="H65"/>
  <c r="G10" i="15" s="1"/>
  <c r="H57" i="12"/>
  <c r="H49"/>
  <c r="G8" i="15" s="1"/>
  <c r="G6" s="1"/>
  <c r="H41" i="12"/>
  <c r="G7" i="15" s="1"/>
  <c r="G5" s="1"/>
  <c r="K9" l="1"/>
  <c r="F32" i="12"/>
  <c r="E7" i="22" s="1"/>
  <c r="E3"/>
  <c r="C18" i="15"/>
  <c r="D33" i="22"/>
  <c r="G18"/>
  <c r="G13"/>
  <c r="C17" i="15"/>
  <c r="D28" i="22"/>
  <c r="D34" s="1"/>
  <c r="G21"/>
  <c r="F17"/>
  <c r="G20"/>
  <c r="G15"/>
  <c r="G9" i="15"/>
  <c r="F22" i="22"/>
  <c r="F23" s="1"/>
  <c r="K7" i="15"/>
  <c r="K5" s="1"/>
  <c r="H17" i="22"/>
  <c r="G19"/>
  <c r="G14"/>
  <c r="E3" i="15"/>
  <c r="E14" s="1"/>
  <c r="N73" i="12"/>
  <c r="M11" i="15" s="1"/>
  <c r="D14"/>
  <c r="D6"/>
  <c r="D15" s="1"/>
  <c r="N148" i="12"/>
  <c r="D142"/>
  <c r="C19" i="15" s="1"/>
  <c r="N141" i="12"/>
  <c r="N138"/>
  <c r="N131"/>
  <c r="N147"/>
  <c r="M140"/>
  <c r="M142" s="1"/>
  <c r="L19" i="15" s="1"/>
  <c r="J148" i="12"/>
  <c r="N149"/>
  <c r="M149"/>
  <c r="M150" s="1"/>
  <c r="L20" i="15" s="1"/>
  <c r="M130" i="12"/>
  <c r="M134" s="1"/>
  <c r="L18" i="15" s="1"/>
  <c r="E139" i="12"/>
  <c r="F134"/>
  <c r="I101"/>
  <c r="J147"/>
  <c r="I147"/>
  <c r="F140"/>
  <c r="F142" s="1"/>
  <c r="E19" i="15" s="1"/>
  <c r="E140" i="12"/>
  <c r="H142"/>
  <c r="G19" i="15" s="1"/>
  <c r="J138" i="12"/>
  <c r="J142" s="1"/>
  <c r="I19" i="15" s="1"/>
  <c r="I138" i="12"/>
  <c r="I142" s="1"/>
  <c r="H19" i="15" s="1"/>
  <c r="I130" i="12"/>
  <c r="I134" s="1"/>
  <c r="H18" i="15" s="1"/>
  <c r="J130" i="12"/>
  <c r="H134"/>
  <c r="J85"/>
  <c r="J89" s="1"/>
  <c r="L104"/>
  <c r="N104" s="1"/>
  <c r="E96"/>
  <c r="N81"/>
  <c r="M12" i="15" s="1"/>
  <c r="M73" i="12"/>
  <c r="L11" i="15" s="1"/>
  <c r="L102" i="12"/>
  <c r="M102" s="1"/>
  <c r="F126"/>
  <c r="E126"/>
  <c r="D17" i="15" s="1"/>
  <c r="I85" i="12"/>
  <c r="I89" s="1"/>
  <c r="E101"/>
  <c r="E103"/>
  <c r="H89"/>
  <c r="H126"/>
  <c r="I122"/>
  <c r="I126" s="1"/>
  <c r="H17" i="15" s="1"/>
  <c r="J122" i="12"/>
  <c r="M126"/>
  <c r="L17" i="15" s="1"/>
  <c r="N126" i="12"/>
  <c r="F104"/>
  <c r="F102"/>
  <c r="D105"/>
  <c r="D110" s="1"/>
  <c r="E73"/>
  <c r="D11" i="15" s="1"/>
  <c r="N89" i="12"/>
  <c r="M89"/>
  <c r="G15" i="15"/>
  <c r="H15"/>
  <c r="C16"/>
  <c r="C21" s="1"/>
  <c r="C24" s="1"/>
  <c r="E81" i="12"/>
  <c r="D12" i="15" s="1"/>
  <c r="M81" i="12"/>
  <c r="L12" i="15" s="1"/>
  <c r="K16"/>
  <c r="M95" i="12"/>
  <c r="L103"/>
  <c r="L97"/>
  <c r="M93"/>
  <c r="L101"/>
  <c r="N93"/>
  <c r="I103"/>
  <c r="J103"/>
  <c r="I104"/>
  <c r="J104"/>
  <c r="I102"/>
  <c r="J102"/>
  <c r="F89"/>
  <c r="E89"/>
  <c r="F81"/>
  <c r="E12" i="15" s="1"/>
  <c r="E16" s="1"/>
  <c r="J80" i="12"/>
  <c r="J81" s="1"/>
  <c r="I12" i="15" s="1"/>
  <c r="I16" s="1"/>
  <c r="H81" i="12"/>
  <c r="G12" i="15" s="1"/>
  <c r="G16" s="1"/>
  <c r="F93" i="12"/>
  <c r="F57"/>
  <c r="F94"/>
  <c r="J94"/>
  <c r="N94"/>
  <c r="J95"/>
  <c r="N95"/>
  <c r="F96"/>
  <c r="J96"/>
  <c r="N96"/>
  <c r="J65"/>
  <c r="I10" i="15" s="1"/>
  <c r="N49" i="12"/>
  <c r="M8" i="15" s="1"/>
  <c r="M6" s="1"/>
  <c r="N41" i="12"/>
  <c r="M7" i="15" s="1"/>
  <c r="M5" s="1"/>
  <c r="F65" i="12"/>
  <c r="E10" i="15" s="1"/>
  <c r="J41" i="12"/>
  <c r="I7" i="15" s="1"/>
  <c r="I5" s="1"/>
  <c r="N65" i="12"/>
  <c r="M10" i="15" s="1"/>
  <c r="F49" i="12"/>
  <c r="E8" i="15" s="1"/>
  <c r="E6" s="1"/>
  <c r="J57" i="12"/>
  <c r="J49"/>
  <c r="I8" i="15" s="1"/>
  <c r="I6" s="1"/>
  <c r="N57" i="12"/>
  <c r="F41"/>
  <c r="E7" i="15" s="1"/>
  <c r="E5" s="1"/>
  <c r="E95" i="12"/>
  <c r="L65"/>
  <c r="K10" i="15" s="1"/>
  <c r="K15" s="1"/>
  <c r="K21" s="1"/>
  <c r="K24" s="1"/>
  <c r="M49" i="12"/>
  <c r="L8" i="15" s="1"/>
  <c r="L6" s="1"/>
  <c r="L15" s="1"/>
  <c r="M17" l="1"/>
  <c r="I28" i="22"/>
  <c r="G17" i="15"/>
  <c r="F28" i="22"/>
  <c r="F34" s="1"/>
  <c r="E18" i="15"/>
  <c r="E33" i="22"/>
  <c r="N134" i="12"/>
  <c r="I30" i="22"/>
  <c r="I17"/>
  <c r="H22"/>
  <c r="M9" i="15"/>
  <c r="M15" s="1"/>
  <c r="I22" i="22"/>
  <c r="I23" s="1"/>
  <c r="J126" i="12"/>
  <c r="G24" i="22"/>
  <c r="E17" i="15"/>
  <c r="E28" i="22"/>
  <c r="J134" i="12"/>
  <c r="G29" i="22"/>
  <c r="I9" i="15"/>
  <c r="G22" i="22"/>
  <c r="G23" s="1"/>
  <c r="G18" i="15"/>
  <c r="G21" s="1"/>
  <c r="G24" s="1"/>
  <c r="F33" i="22"/>
  <c r="E22"/>
  <c r="H23"/>
  <c r="H34" s="1"/>
  <c r="G17"/>
  <c r="E17"/>
  <c r="N150" i="12"/>
  <c r="M20" i="15" s="1"/>
  <c r="M16"/>
  <c r="E9"/>
  <c r="K23"/>
  <c r="K22"/>
  <c r="C22"/>
  <c r="C23"/>
  <c r="N142" i="12"/>
  <c r="M19" i="15" s="1"/>
  <c r="J101" i="12"/>
  <c r="J105" s="1"/>
  <c r="J110" s="1"/>
  <c r="E142"/>
  <c r="D19" i="15" s="1"/>
  <c r="H105" i="12"/>
  <c r="H110" s="1"/>
  <c r="I146"/>
  <c r="I150" s="1"/>
  <c r="H20" i="15" s="1"/>
  <c r="H21" s="1"/>
  <c r="H24" s="1"/>
  <c r="J146" i="12"/>
  <c r="J150" s="1"/>
  <c r="I20" i="15" s="1"/>
  <c r="H150" i="12"/>
  <c r="G20" i="15" s="1"/>
  <c r="M104" i="12"/>
  <c r="D16" i="15"/>
  <c r="E97" i="12"/>
  <c r="N102"/>
  <c r="L16" i="15"/>
  <c r="L21" s="1"/>
  <c r="L24" s="1"/>
  <c r="E105" i="12"/>
  <c r="E110" s="1"/>
  <c r="F105"/>
  <c r="F110" s="1"/>
  <c r="E15" i="15"/>
  <c r="E21" s="1"/>
  <c r="E24" s="1"/>
  <c r="N103" i="12"/>
  <c r="M103"/>
  <c r="M97"/>
  <c r="N101"/>
  <c r="M101"/>
  <c r="L105"/>
  <c r="I105"/>
  <c r="I110" s="1"/>
  <c r="I15" i="15"/>
  <c r="J97" i="12"/>
  <c r="N97"/>
  <c r="F97"/>
  <c r="E23" i="22" l="1"/>
  <c r="E34" s="1"/>
  <c r="I18" i="15"/>
  <c r="I21" s="1"/>
  <c r="G33" i="22"/>
  <c r="I17" i="15"/>
  <c r="G28" i="22"/>
  <c r="G34" s="1"/>
  <c r="M18" i="15"/>
  <c r="M21" s="1"/>
  <c r="I33" i="22"/>
  <c r="I34" s="1"/>
  <c r="H22" i="15"/>
  <c r="H23"/>
  <c r="G22"/>
  <c r="G23"/>
  <c r="D21"/>
  <c r="L23"/>
  <c r="L22"/>
  <c r="E23"/>
  <c r="E22"/>
  <c r="D23"/>
  <c r="D22"/>
  <c r="D24" s="1"/>
  <c r="L110" i="12"/>
  <c r="Q108"/>
  <c r="Q105"/>
  <c r="Q106"/>
  <c r="N105"/>
  <c r="M105"/>
  <c r="M24" i="15" l="1"/>
  <c r="M22"/>
  <c r="M23"/>
  <c r="I24"/>
  <c r="I22"/>
  <c r="I23"/>
  <c r="Q107" i="12"/>
  <c r="M110"/>
  <c r="R108"/>
  <c r="R105"/>
  <c r="R106"/>
  <c r="N110"/>
  <c r="S108"/>
  <c r="S105"/>
  <c r="S106"/>
  <c r="T103"/>
  <c r="S107" l="1"/>
  <c r="R107"/>
</calcChain>
</file>

<file path=xl/sharedStrings.xml><?xml version="1.0" encoding="utf-8"?>
<sst xmlns="http://schemas.openxmlformats.org/spreadsheetml/2006/main" count="2014" uniqueCount="145">
  <si>
    <t>Activity</t>
  </si>
  <si>
    <t>Role</t>
  </si>
  <si>
    <t>Sub Activity</t>
  </si>
  <si>
    <t>Statistician</t>
  </si>
  <si>
    <t>Sr. Stats. Prog.</t>
  </si>
  <si>
    <t>Stats. Prog.</t>
  </si>
  <si>
    <t>Total</t>
  </si>
  <si>
    <t>Sr. Statistician</t>
  </si>
  <si>
    <t>USD / HR</t>
  </si>
  <si>
    <t>Cost</t>
  </si>
  <si>
    <t>C&amp;V</t>
  </si>
  <si>
    <t>SDTM dataset</t>
  </si>
  <si>
    <t>ADaM dataset</t>
  </si>
  <si>
    <t>Tables</t>
  </si>
  <si>
    <t>Listings</t>
  </si>
  <si>
    <t>Graphs</t>
  </si>
  <si>
    <t>unique</t>
  </si>
  <si>
    <t>repeat</t>
  </si>
  <si>
    <t>Deliverables</t>
  </si>
  <si>
    <t>no. of units</t>
  </si>
  <si>
    <t>Low complexity</t>
  </si>
  <si>
    <t>Medium complexity</t>
  </si>
  <si>
    <t>High complexity</t>
  </si>
  <si>
    <t>Efforts in hours</t>
  </si>
  <si>
    <t>Efforts in days</t>
  </si>
  <si>
    <t>M3- Statistical methodology</t>
  </si>
  <si>
    <t>M6- intext tables</t>
  </si>
  <si>
    <t>M7- post text tables</t>
  </si>
  <si>
    <t>M8- SDTM &amp; ADaM Analysis dataset specifications</t>
  </si>
  <si>
    <t>SDTM eSub Package</t>
  </si>
  <si>
    <t>ADaM eSub Package</t>
  </si>
  <si>
    <t>Total Efforts = Planning + Execution</t>
  </si>
  <si>
    <t>C&amp;V&amp;spec</t>
  </si>
  <si>
    <t>TLFs</t>
  </si>
  <si>
    <t>Intext tables</t>
  </si>
  <si>
    <t>Specification development included in the efforts for SDTM ad ADaM dataset activity. E-submission for SDTM and ADaM displayed seperately</t>
  </si>
  <si>
    <t>Efforts calculations with details</t>
  </si>
  <si>
    <t>M3,M6 and M7</t>
  </si>
  <si>
    <t>C&amp;R</t>
  </si>
  <si>
    <t>Creation and Review during development</t>
  </si>
  <si>
    <t>Creation &amp; Validation</t>
  </si>
  <si>
    <t>Creation &amp; Validation &amp; specification development</t>
  </si>
  <si>
    <t xml:space="preserve">Statistical programming </t>
  </si>
  <si>
    <t>eSub Package</t>
  </si>
  <si>
    <t>Total study cost</t>
  </si>
  <si>
    <t>Role of a TP</t>
  </si>
  <si>
    <t>2) Study programming team meetings with DM and stat</t>
  </si>
  <si>
    <t>3) attend RAP review meetings (M3, M7 )</t>
  </si>
  <si>
    <t>4) Attend dryrun review meetings</t>
  </si>
  <si>
    <t>5) Attend Trial team meetings as required</t>
  </si>
  <si>
    <t>6) attend data quality review meeting as applicable</t>
  </si>
  <si>
    <t>Cost for the role of a TP</t>
  </si>
  <si>
    <t>Role of TP</t>
  </si>
  <si>
    <t>hours</t>
  </si>
  <si>
    <t>units</t>
  </si>
  <si>
    <t>7) Review of PDS, and output review (accounted for in SDTM and ADaM creation)</t>
  </si>
  <si>
    <t>Total study cost including TP Role</t>
  </si>
  <si>
    <t>TP+study</t>
  </si>
  <si>
    <t>Complexity</t>
  </si>
  <si>
    <t>Activities</t>
  </si>
  <si>
    <t xml:space="preserve">Total Efforts in hours </t>
  </si>
  <si>
    <t>Total Efforts in Days</t>
  </si>
  <si>
    <t>Total Rate in USD</t>
  </si>
  <si>
    <t>Low</t>
  </si>
  <si>
    <t>Project management</t>
  </si>
  <si>
    <t>SAP</t>
  </si>
  <si>
    <t>E-submission</t>
  </si>
  <si>
    <t>Programming specifications</t>
  </si>
  <si>
    <t>Programming specification</t>
  </si>
  <si>
    <t>Spec development &amp; review</t>
  </si>
  <si>
    <t>Medium</t>
  </si>
  <si>
    <t>Complex</t>
  </si>
  <si>
    <t>Hours / Unit</t>
  </si>
  <si>
    <t>No. of Units</t>
  </si>
  <si>
    <t>Efforts</t>
  </si>
  <si>
    <t>ADaM</t>
  </si>
  <si>
    <t>Creation</t>
  </si>
  <si>
    <t>Validation</t>
  </si>
  <si>
    <t>Tables - Unique</t>
  </si>
  <si>
    <t>Tables - Repeat</t>
  </si>
  <si>
    <t>Listings - Unique</t>
  </si>
  <si>
    <t>Listings - Repeat</t>
  </si>
  <si>
    <t>Figuress - Unique</t>
  </si>
  <si>
    <t>Figures - Repeat</t>
  </si>
  <si>
    <t xml:space="preserve">Total </t>
  </si>
  <si>
    <t>Total Check</t>
  </si>
  <si>
    <t>Grand Total</t>
  </si>
  <si>
    <t>Very High complexity</t>
  </si>
  <si>
    <t>1) Programming team management, Timeline management , negotiation with the team</t>
  </si>
  <si>
    <t>dryrun</t>
  </si>
  <si>
    <t>final run</t>
  </si>
  <si>
    <t>dryrun -2</t>
  </si>
  <si>
    <t xml:space="preserve">SAP and Mock shells </t>
  </si>
  <si>
    <t>Review</t>
  </si>
  <si>
    <t>SDTM</t>
  </si>
  <si>
    <t>TLF</t>
  </si>
  <si>
    <t>Table</t>
  </si>
  <si>
    <t>Figure</t>
  </si>
  <si>
    <t>Listing</t>
  </si>
  <si>
    <t>Ratio</t>
  </si>
  <si>
    <t>Actual number</t>
  </si>
  <si>
    <t>multiplier</t>
  </si>
  <si>
    <t>Repeat</t>
  </si>
  <si>
    <t>Intext TLF</t>
  </si>
  <si>
    <t>Intext</t>
  </si>
  <si>
    <t>Tables - Intext</t>
  </si>
  <si>
    <t>Listings - Intext</t>
  </si>
  <si>
    <t>Figures - Intext</t>
  </si>
  <si>
    <t>C&amp;V&amp;Review</t>
  </si>
  <si>
    <t>To accommodate Medical Review efforts are added here</t>
  </si>
  <si>
    <t>Programming + programming spec +Review</t>
  </si>
  <si>
    <t>DMC</t>
  </si>
  <si>
    <t>IA</t>
  </si>
  <si>
    <t>Independent stat and programming</t>
  </si>
  <si>
    <t>SAP amendment</t>
  </si>
  <si>
    <t>Amendment</t>
  </si>
  <si>
    <t>Multiplier for unit for SAP</t>
  </si>
  <si>
    <t>total units for low complexity</t>
  </si>
  <si>
    <t>Total units for medium complexity</t>
  </si>
  <si>
    <t>Total units for high complexity</t>
  </si>
  <si>
    <t>Only Programming and validation with review and no specifications development</t>
  </si>
  <si>
    <t>Programming and validation with review</t>
  </si>
  <si>
    <t>Submission package</t>
  </si>
  <si>
    <t>Interim analysis</t>
  </si>
  <si>
    <t>SAP amendments (1)</t>
  </si>
  <si>
    <t>Interim analysis (IS&amp;IP)</t>
  </si>
  <si>
    <t>Overall efforts including all the totals</t>
  </si>
  <si>
    <t>Overall study effort excluding IS&amp;IP and SAP amendments</t>
  </si>
  <si>
    <t>Overall study effort excluding IS&amp;IP and SAP amendments and e-submission and DMC only 1 IA included</t>
  </si>
  <si>
    <t>SAP (Statistical Analysis Plan including mock shells and Specification development including SDTM mapping and PDS)</t>
  </si>
  <si>
    <t>Programming and validation  of datasets with review with specifications development</t>
  </si>
  <si>
    <t>Programming of SDTM, ADaM and TLF and intext with validation and review without specifications development</t>
  </si>
  <si>
    <t>Low / Simple</t>
  </si>
  <si>
    <t>Medium / Standard</t>
  </si>
  <si>
    <t>Only highlighted values to be updated, rest is automatically calculated.</t>
  </si>
  <si>
    <t>BSP</t>
  </si>
  <si>
    <t>Cost per DSMB Analysis</t>
  </si>
  <si>
    <t>Domain</t>
  </si>
  <si>
    <t>Cost for Programming specifications</t>
  </si>
  <si>
    <t>Cost per RAP
SAP including Mock shells</t>
  </si>
  <si>
    <t>Cost for TLF with intext tables</t>
  </si>
  <si>
    <t>Cost for SDTM and ADaM creation</t>
  </si>
  <si>
    <t>Overall study effort excluding IS&amp;IP and SAP amendments and e-submission and DMC and IA</t>
  </si>
  <si>
    <r>
      <t xml:space="preserve">Total cost of study </t>
    </r>
    <r>
      <rPr>
        <b/>
        <sz val="9"/>
        <color theme="1"/>
        <rFont val="Calibri"/>
        <family val="2"/>
        <scheme val="minor"/>
      </rPr>
      <t>including TP role excluding DSMB and Interim Analysis</t>
    </r>
  </si>
  <si>
    <r>
      <t xml:space="preserve">Total cost of study </t>
    </r>
    <r>
      <rPr>
        <b/>
        <sz val="9"/>
        <color theme="1"/>
        <rFont val="Calibri"/>
        <family val="2"/>
        <scheme val="minor"/>
      </rPr>
      <t>including TP 1 DSMB and 1 Interim Analysis</t>
    </r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</si>
</sst>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38">
    <xf numFmtId="0" fontId="0" fillId="0" borderId="0" xfId="0"/>
    <xf numFmtId="164" fontId="0" fillId="3" borderId="3" xfId="0" applyNumberFormat="1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164" fontId="0" fillId="3" borderId="1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64" fontId="0" fillId="3" borderId="8" xfId="0" applyNumberForma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36" xfId="0" applyFill="1" applyBorder="1" applyAlignment="1"/>
    <xf numFmtId="0" fontId="0" fillId="5" borderId="37" xfId="0" applyFill="1" applyBorder="1"/>
    <xf numFmtId="0" fontId="0" fillId="5" borderId="38" xfId="0" applyFill="1" applyBorder="1"/>
    <xf numFmtId="0" fontId="0" fillId="5" borderId="16" xfId="0" applyFill="1" applyBorder="1" applyAlignment="1"/>
    <xf numFmtId="0" fontId="0" fillId="5" borderId="17" xfId="0" applyFill="1" applyBorder="1" applyAlignment="1">
      <alignment wrapText="1"/>
    </xf>
    <xf numFmtId="0" fontId="0" fillId="5" borderId="0" xfId="0" applyFill="1" applyBorder="1"/>
    <xf numFmtId="0" fontId="0" fillId="5" borderId="28" xfId="0" applyFill="1" applyBorder="1" applyAlignment="1"/>
    <xf numFmtId="0" fontId="0" fillId="6" borderId="0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30" xfId="0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5" xfId="0" applyFill="1" applyBorder="1"/>
    <xf numFmtId="164" fontId="0" fillId="3" borderId="11" xfId="0" applyNumberFormat="1" applyFill="1" applyBorder="1"/>
    <xf numFmtId="0" fontId="0" fillId="7" borderId="28" xfId="0" applyFill="1" applyBorder="1"/>
    <xf numFmtId="0" fontId="0" fillId="7" borderId="0" xfId="0" applyFill="1" applyBorder="1"/>
    <xf numFmtId="0" fontId="0" fillId="7" borderId="37" xfId="0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4" borderId="17" xfId="0" applyFont="1" applyFill="1" applyBorder="1"/>
    <xf numFmtId="0" fontId="1" fillId="4" borderId="18" xfId="0" applyFont="1" applyFill="1" applyBorder="1"/>
    <xf numFmtId="0" fontId="1" fillId="7" borderId="14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 wrapText="1"/>
    </xf>
    <xf numFmtId="0" fontId="1" fillId="7" borderId="14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0" xfId="0" applyFill="1" applyBorder="1" applyAlignment="1">
      <alignment wrapText="1"/>
    </xf>
    <xf numFmtId="0" fontId="1" fillId="7" borderId="32" xfId="0" applyFont="1" applyFill="1" applyBorder="1" applyAlignment="1">
      <alignment horizontal="center"/>
    </xf>
    <xf numFmtId="0" fontId="1" fillId="7" borderId="39" xfId="0" applyFont="1" applyFill="1" applyBorder="1"/>
    <xf numFmtId="0" fontId="0" fillId="3" borderId="40" xfId="0" applyFill="1" applyBorder="1"/>
    <xf numFmtId="0" fontId="0" fillId="3" borderId="39" xfId="0" applyFill="1" applyBorder="1"/>
    <xf numFmtId="0" fontId="1" fillId="7" borderId="32" xfId="0" applyFont="1" applyFill="1" applyBorder="1" applyAlignment="1">
      <alignment horizontal="center"/>
    </xf>
    <xf numFmtId="1" fontId="0" fillId="3" borderId="40" xfId="0" applyNumberFormat="1" applyFill="1" applyBorder="1"/>
    <xf numFmtId="1" fontId="0" fillId="3" borderId="39" xfId="0" applyNumberFormat="1" applyFill="1" applyBorder="1"/>
    <xf numFmtId="2" fontId="0" fillId="3" borderId="9" xfId="0" applyNumberFormat="1" applyFill="1" applyBorder="1"/>
    <xf numFmtId="164" fontId="2" fillId="8" borderId="11" xfId="0" applyNumberFormat="1" applyFont="1" applyFill="1" applyBorder="1"/>
    <xf numFmtId="164" fontId="2" fillId="8" borderId="3" xfId="0" applyNumberFormat="1" applyFont="1" applyFill="1" applyBorder="1"/>
    <xf numFmtId="0" fontId="0" fillId="9" borderId="20" xfId="0" applyFill="1" applyBorder="1"/>
    <xf numFmtId="0" fontId="0" fillId="9" borderId="0" xfId="0" applyFill="1" applyBorder="1"/>
    <xf numFmtId="0" fontId="0" fillId="9" borderId="37" xfId="0" applyFill="1" applyBorder="1"/>
    <xf numFmtId="1" fontId="0" fillId="9" borderId="20" xfId="0" applyNumberFormat="1" applyFill="1" applyBorder="1"/>
    <xf numFmtId="1" fontId="0" fillId="9" borderId="0" xfId="0" applyNumberFormat="1" applyFill="1" applyBorder="1"/>
    <xf numFmtId="1" fontId="0" fillId="9" borderId="37" xfId="0" applyNumberFormat="1" applyFill="1" applyBorder="1"/>
    <xf numFmtId="1" fontId="0" fillId="5" borderId="0" xfId="0" applyNumberFormat="1" applyFill="1" applyBorder="1"/>
    <xf numFmtId="1" fontId="0" fillId="5" borderId="0" xfId="0" applyNumberFormat="1" applyFill="1" applyBorder="1" applyAlignment="1">
      <alignment wrapText="1"/>
    </xf>
    <xf numFmtId="1" fontId="0" fillId="5" borderId="0" xfId="0" applyNumberFormat="1" applyFill="1" applyBorder="1" applyAlignment="1">
      <alignment horizontal="left" wrapText="1"/>
    </xf>
    <xf numFmtId="1" fontId="0" fillId="6" borderId="0" xfId="0" applyNumberFormat="1" applyFill="1" applyBorder="1"/>
    <xf numFmtId="1" fontId="0" fillId="7" borderId="0" xfId="0" applyNumberFormat="1" applyFill="1" applyBorder="1"/>
    <xf numFmtId="1" fontId="1" fillId="7" borderId="9" xfId="0" applyNumberFormat="1" applyFont="1" applyFill="1" applyBorder="1"/>
    <xf numFmtId="1" fontId="0" fillId="3" borderId="15" xfId="0" applyNumberFormat="1" applyFill="1" applyBorder="1"/>
    <xf numFmtId="1" fontId="0" fillId="3" borderId="9" xfId="0" applyNumberFormat="1" applyFill="1" applyBorder="1"/>
    <xf numFmtId="1" fontId="0" fillId="3" borderId="7" xfId="0" applyNumberFormat="1" applyFill="1" applyBorder="1"/>
    <xf numFmtId="1" fontId="0" fillId="7" borderId="37" xfId="0" applyNumberFormat="1" applyFill="1" applyBorder="1"/>
    <xf numFmtId="1" fontId="0" fillId="0" borderId="0" xfId="0" applyNumberFormat="1"/>
    <xf numFmtId="1" fontId="0" fillId="6" borderId="0" xfId="0" applyNumberFormat="1" applyFill="1" applyBorder="1" applyAlignment="1">
      <alignment horizontal="left"/>
    </xf>
    <xf numFmtId="1" fontId="1" fillId="7" borderId="4" xfId="0" applyNumberFormat="1" applyFont="1" applyFill="1" applyBorder="1" applyAlignment="1">
      <alignment horizontal="center"/>
    </xf>
    <xf numFmtId="1" fontId="0" fillId="9" borderId="34" xfId="0" applyNumberFormat="1" applyFill="1" applyBorder="1"/>
    <xf numFmtId="1" fontId="0" fillId="9" borderId="35" xfId="0" applyNumberFormat="1" applyFill="1" applyBorder="1"/>
    <xf numFmtId="1" fontId="0" fillId="9" borderId="38" xfId="0" applyNumberFormat="1" applyFill="1" applyBorder="1"/>
    <xf numFmtId="1" fontId="0" fillId="5" borderId="35" xfId="0" applyNumberFormat="1" applyFill="1" applyBorder="1"/>
    <xf numFmtId="1" fontId="0" fillId="6" borderId="6" xfId="0" applyNumberFormat="1" applyFill="1" applyBorder="1"/>
    <xf numFmtId="1" fontId="0" fillId="7" borderId="35" xfId="0" applyNumberFormat="1" applyFill="1" applyBorder="1"/>
    <xf numFmtId="1" fontId="0" fillId="7" borderId="38" xfId="0" applyNumberFormat="1" applyFill="1" applyBorder="1"/>
    <xf numFmtId="0" fontId="1" fillId="0" borderId="0" xfId="0" applyFont="1"/>
    <xf numFmtId="0" fontId="0" fillId="10" borderId="0" xfId="0" applyFill="1"/>
    <xf numFmtId="0" fontId="1" fillId="11" borderId="9" xfId="0" applyFont="1" applyFill="1" applyBorder="1"/>
    <xf numFmtId="2" fontId="1" fillId="11" borderId="9" xfId="0" applyNumberFormat="1" applyFont="1" applyFill="1" applyBorder="1"/>
    <xf numFmtId="1" fontId="1" fillId="11" borderId="9" xfId="0" applyNumberFormat="1" applyFont="1" applyFill="1" applyBorder="1"/>
    <xf numFmtId="0" fontId="1" fillId="11" borderId="39" xfId="0" applyFont="1" applyFill="1" applyBorder="1"/>
    <xf numFmtId="1" fontId="1" fillId="11" borderId="39" xfId="0" applyNumberFormat="1" applyFont="1" applyFill="1" applyBorder="1"/>
    <xf numFmtId="0" fontId="1" fillId="11" borderId="23" xfId="0" applyFont="1" applyFill="1" applyBorder="1"/>
    <xf numFmtId="164" fontId="1" fillId="11" borderId="21" xfId="0" applyNumberFormat="1" applyFont="1" applyFill="1" applyBorder="1"/>
    <xf numFmtId="164" fontId="1" fillId="11" borderId="22" xfId="0" applyNumberFormat="1" applyFont="1" applyFill="1" applyBorder="1"/>
    <xf numFmtId="1" fontId="1" fillId="11" borderId="23" xfId="0" applyNumberFormat="1" applyFont="1" applyFill="1" applyBorder="1"/>
    <xf numFmtId="0" fontId="1" fillId="11" borderId="17" xfId="0" applyFont="1" applyFill="1" applyBorder="1"/>
    <xf numFmtId="1" fontId="1" fillId="11" borderId="17" xfId="0" applyNumberFormat="1" applyFont="1" applyFill="1" applyBorder="1"/>
    <xf numFmtId="0" fontId="1" fillId="12" borderId="21" xfId="0" applyFont="1" applyFill="1" applyBorder="1" applyAlignment="1">
      <alignment wrapText="1"/>
    </xf>
    <xf numFmtId="0" fontId="1" fillId="12" borderId="23" xfId="0" applyFont="1" applyFill="1" applyBorder="1"/>
    <xf numFmtId="164" fontId="1" fillId="12" borderId="21" xfId="0" applyNumberFormat="1" applyFont="1" applyFill="1" applyBorder="1"/>
    <xf numFmtId="164" fontId="1" fillId="12" borderId="22" xfId="0" applyNumberFormat="1" applyFont="1" applyFill="1" applyBorder="1"/>
    <xf numFmtId="1" fontId="1" fillId="12" borderId="23" xfId="0" applyNumberFormat="1" applyFont="1" applyFill="1" applyBorder="1"/>
    <xf numFmtId="0" fontId="1" fillId="12" borderId="17" xfId="0" applyFont="1" applyFill="1" applyBorder="1"/>
    <xf numFmtId="1" fontId="1" fillId="12" borderId="17" xfId="0" applyNumberFormat="1" applyFont="1" applyFill="1" applyBorder="1"/>
    <xf numFmtId="0" fontId="1" fillId="7" borderId="32" xfId="0" applyFont="1" applyFill="1" applyBorder="1" applyAlignment="1">
      <alignment horizontal="center"/>
    </xf>
    <xf numFmtId="164" fontId="0" fillId="3" borderId="7" xfId="0" applyNumberFormat="1" applyFill="1" applyBorder="1"/>
    <xf numFmtId="0" fontId="1" fillId="5" borderId="41" xfId="0" applyFont="1" applyFill="1" applyBorder="1"/>
    <xf numFmtId="0" fontId="1" fillId="7" borderId="41" xfId="0" applyFont="1" applyFill="1" applyBorder="1"/>
    <xf numFmtId="0" fontId="1" fillId="16" borderId="48" xfId="0" applyFont="1" applyFill="1" applyBorder="1"/>
    <xf numFmtId="0" fontId="1" fillId="17" borderId="41" xfId="0" applyFont="1" applyFill="1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7" borderId="46" xfId="0" applyFont="1" applyFill="1" applyBorder="1"/>
    <xf numFmtId="0" fontId="1" fillId="7" borderId="47" xfId="0" applyFont="1" applyFill="1" applyBorder="1"/>
    <xf numFmtId="0" fontId="1" fillId="14" borderId="46" xfId="0" applyFont="1" applyFill="1" applyBorder="1"/>
    <xf numFmtId="0" fontId="1" fillId="14" borderId="47" xfId="0" applyFont="1" applyFill="1" applyBorder="1"/>
    <xf numFmtId="0" fontId="1" fillId="15" borderId="46" xfId="0" applyFont="1" applyFill="1" applyBorder="1"/>
    <xf numFmtId="0" fontId="1" fillId="15" borderId="47" xfId="0" applyFont="1" applyFill="1" applyBorder="1"/>
    <xf numFmtId="0" fontId="1" fillId="18" borderId="46" xfId="0" applyFont="1" applyFill="1" applyBorder="1"/>
    <xf numFmtId="0" fontId="1" fillId="18" borderId="47" xfId="0" applyFont="1" applyFill="1" applyBorder="1"/>
    <xf numFmtId="0" fontId="1" fillId="18" borderId="46" xfId="0" applyFont="1" applyFill="1" applyBorder="1" applyAlignment="1">
      <alignment horizontal="left"/>
    </xf>
    <xf numFmtId="0" fontId="0" fillId="0" borderId="50" xfId="0" applyBorder="1"/>
    <xf numFmtId="0" fontId="0" fillId="0" borderId="4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164" fontId="0" fillId="0" borderId="22" xfId="0" applyNumberFormat="1" applyBorder="1"/>
    <xf numFmtId="164" fontId="0" fillId="18" borderId="22" xfId="0" applyNumberFormat="1" applyFill="1" applyBorder="1"/>
    <xf numFmtId="164" fontId="0" fillId="7" borderId="22" xfId="0" applyNumberFormat="1" applyFill="1" applyBorder="1"/>
    <xf numFmtId="164" fontId="0" fillId="16" borderId="27" xfId="0" applyNumberFormat="1" applyFill="1" applyBorder="1"/>
    <xf numFmtId="164" fontId="0" fillId="0" borderId="2" xfId="0" applyNumberFormat="1" applyBorder="1"/>
    <xf numFmtId="164" fontId="0" fillId="0" borderId="7" xfId="0" applyNumberFormat="1" applyBorder="1"/>
    <xf numFmtId="164" fontId="0" fillId="0" borderId="44" xfId="0" applyNumberFormat="1" applyBorder="1"/>
    <xf numFmtId="164" fontId="0" fillId="18" borderId="44" xfId="0" applyNumberFormat="1" applyFill="1" applyBorder="1"/>
    <xf numFmtId="164" fontId="0" fillId="7" borderId="44" xfId="0" applyNumberFormat="1" applyFill="1" applyBorder="1"/>
    <xf numFmtId="164" fontId="0" fillId="16" borderId="45" xfId="0" applyNumberFormat="1" applyFill="1" applyBorder="1"/>
    <xf numFmtId="1" fontId="0" fillId="0" borderId="4" xfId="0" applyNumberFormat="1" applyBorder="1"/>
    <xf numFmtId="1" fontId="0" fillId="0" borderId="9" xfId="0" applyNumberFormat="1" applyBorder="1"/>
    <xf numFmtId="1" fontId="0" fillId="0" borderId="33" xfId="0" applyNumberFormat="1" applyBorder="1"/>
    <xf numFmtId="1" fontId="0" fillId="0" borderId="49" xfId="0" applyNumberFormat="1" applyBorder="1"/>
    <xf numFmtId="1" fontId="0" fillId="0" borderId="23" xfId="0" applyNumberFormat="1" applyBorder="1"/>
    <xf numFmtId="1" fontId="0" fillId="18" borderId="23" xfId="0" applyNumberFormat="1" applyFill="1" applyBorder="1"/>
    <xf numFmtId="1" fontId="0" fillId="7" borderId="23" xfId="0" applyNumberFormat="1" applyFill="1" applyBorder="1"/>
    <xf numFmtId="1" fontId="0" fillId="16" borderId="26" xfId="0" applyNumberFormat="1" applyFill="1" applyBorder="1"/>
    <xf numFmtId="164" fontId="0" fillId="0" borderId="45" xfId="0" applyNumberFormat="1" applyBorder="1"/>
    <xf numFmtId="164" fontId="0" fillId="18" borderId="45" xfId="0" applyNumberFormat="1" applyFill="1" applyBorder="1"/>
    <xf numFmtId="164" fontId="0" fillId="0" borderId="27" xfId="0" applyNumberFormat="1" applyBorder="1"/>
    <xf numFmtId="164" fontId="0" fillId="18" borderId="27" xfId="0" applyNumberFormat="1" applyFill="1" applyBorder="1"/>
    <xf numFmtId="1" fontId="0" fillId="0" borderId="26" xfId="0" applyNumberFormat="1" applyBorder="1"/>
    <xf numFmtId="1" fontId="0" fillId="18" borderId="26" xfId="0" applyNumberFormat="1" applyFill="1" applyBorder="1"/>
    <xf numFmtId="0" fontId="0" fillId="19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3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3" fontId="1" fillId="0" borderId="0" xfId="0" applyNumberFormat="1" applyFont="1"/>
    <xf numFmtId="0" fontId="1" fillId="7" borderId="32" xfId="0" applyFont="1" applyFill="1" applyBorder="1" applyAlignment="1">
      <alignment horizontal="center"/>
    </xf>
    <xf numFmtId="0" fontId="0" fillId="6" borderId="55" xfId="0" applyFill="1" applyBorder="1"/>
    <xf numFmtId="0" fontId="0" fillId="6" borderId="53" xfId="0" applyFill="1" applyBorder="1"/>
    <xf numFmtId="1" fontId="0" fillId="6" borderId="9" xfId="0" applyNumberFormat="1" applyFill="1" applyBorder="1"/>
    <xf numFmtId="0" fontId="0" fillId="6" borderId="9" xfId="0" applyFill="1" applyBorder="1"/>
    <xf numFmtId="0" fontId="0" fillId="6" borderId="31" xfId="0" applyFill="1" applyBorder="1"/>
    <xf numFmtId="0" fontId="0" fillId="0" borderId="0" xfId="0" applyAlignment="1">
      <alignment wrapText="1"/>
    </xf>
    <xf numFmtId="0" fontId="1" fillId="13" borderId="48" xfId="0" applyFont="1" applyFill="1" applyBorder="1" applyAlignment="1">
      <alignment wrapText="1"/>
    </xf>
    <xf numFmtId="0" fontId="1" fillId="13" borderId="45" xfId="0" applyFont="1" applyFill="1" applyBorder="1" applyAlignment="1">
      <alignment wrapText="1"/>
    </xf>
    <xf numFmtId="0" fontId="1" fillId="13" borderId="27" xfId="0" applyFont="1" applyFill="1" applyBorder="1" applyAlignment="1">
      <alignment wrapText="1"/>
    </xf>
    <xf numFmtId="0" fontId="1" fillId="13" borderId="26" xfId="0" applyFont="1" applyFill="1" applyBorder="1" applyAlignment="1">
      <alignment wrapText="1"/>
    </xf>
    <xf numFmtId="0" fontId="0" fillId="0" borderId="50" xfId="0" applyBorder="1" applyAlignment="1">
      <alignment wrapText="1"/>
    </xf>
    <xf numFmtId="0" fontId="1" fillId="13" borderId="35" xfId="0" applyFont="1" applyFill="1" applyBorder="1" applyAlignment="1">
      <alignment wrapText="1"/>
    </xf>
    <xf numFmtId="0" fontId="1" fillId="13" borderId="51" xfId="0" applyFont="1" applyFill="1" applyBorder="1" applyAlignment="1">
      <alignment wrapText="1"/>
    </xf>
    <xf numFmtId="0" fontId="1" fillId="13" borderId="52" xfId="0" applyFont="1" applyFill="1" applyBorder="1" applyAlignment="1">
      <alignment wrapText="1"/>
    </xf>
    <xf numFmtId="0" fontId="1" fillId="7" borderId="41" xfId="0" applyFont="1" applyFill="1" applyBorder="1" applyAlignment="1">
      <alignment wrapText="1"/>
    </xf>
    <xf numFmtId="0" fontId="1" fillId="16" borderId="36" xfId="0" applyFont="1" applyFill="1" applyBorder="1"/>
    <xf numFmtId="0" fontId="0" fillId="0" borderId="35" xfId="0" applyBorder="1"/>
    <xf numFmtId="164" fontId="0" fillId="16" borderId="51" xfId="0" applyNumberFormat="1" applyFill="1" applyBorder="1"/>
    <xf numFmtId="164" fontId="0" fillId="16" borderId="29" xfId="0" applyNumberFormat="1" applyFill="1" applyBorder="1"/>
    <xf numFmtId="1" fontId="0" fillId="16" borderId="52" xfId="0" applyNumberFormat="1" applyFill="1" applyBorder="1"/>
    <xf numFmtId="164" fontId="0" fillId="16" borderId="21" xfId="0" applyNumberFormat="1" applyFill="1" applyBorder="1"/>
    <xf numFmtId="164" fontId="0" fillId="16" borderId="22" xfId="0" applyNumberFormat="1" applyFill="1" applyBorder="1"/>
    <xf numFmtId="1" fontId="0" fillId="16" borderId="23" xfId="0" applyNumberFormat="1" applyFill="1" applyBorder="1"/>
    <xf numFmtId="164" fontId="0" fillId="16" borderId="41" xfId="0" applyNumberFormat="1" applyFill="1" applyBorder="1"/>
    <xf numFmtId="0" fontId="1" fillId="18" borderId="46" xfId="0" applyFont="1" applyFill="1" applyBorder="1" applyAlignment="1">
      <alignment horizontal="left" wrapText="1"/>
    </xf>
    <xf numFmtId="0" fontId="1" fillId="17" borderId="41" xfId="0" applyFont="1" applyFill="1" applyBorder="1" applyAlignment="1">
      <alignment wrapText="1"/>
    </xf>
    <xf numFmtId="164" fontId="0" fillId="17" borderId="41" xfId="0" applyNumberFormat="1" applyFill="1" applyBorder="1"/>
    <xf numFmtId="0" fontId="1" fillId="20" borderId="50" xfId="0" applyFont="1" applyFill="1" applyBorder="1" applyAlignment="1">
      <alignment wrapText="1"/>
    </xf>
    <xf numFmtId="0" fontId="0" fillId="0" borderId="41" xfId="0" applyBorder="1"/>
    <xf numFmtId="164" fontId="1" fillId="20" borderId="50" xfId="0" applyNumberFormat="1" applyFont="1" applyFill="1" applyBorder="1" applyAlignment="1">
      <alignment wrapText="1"/>
    </xf>
    <xf numFmtId="0" fontId="1" fillId="21" borderId="41" xfId="0" applyFont="1" applyFill="1" applyBorder="1"/>
    <xf numFmtId="164" fontId="0" fillId="21" borderId="41" xfId="0" applyNumberFormat="1" applyFill="1" applyBorder="1"/>
    <xf numFmtId="0" fontId="1" fillId="21" borderId="41" xfId="0" applyFont="1" applyFill="1" applyBorder="1" applyAlignment="1">
      <alignment wrapText="1"/>
    </xf>
    <xf numFmtId="9" fontId="0" fillId="19" borderId="0" xfId="0" applyNumberFormat="1" applyFill="1"/>
    <xf numFmtId="0" fontId="0" fillId="19" borderId="0" xfId="0" applyFill="1"/>
    <xf numFmtId="0" fontId="0" fillId="9" borderId="19" xfId="0" applyFill="1" applyBorder="1" applyAlignment="1">
      <alignment wrapText="1"/>
    </xf>
    <xf numFmtId="0" fontId="3" fillId="9" borderId="28" xfId="0" applyFont="1" applyFill="1" applyBorder="1" applyAlignment="1">
      <alignment wrapText="1"/>
    </xf>
    <xf numFmtId="0" fontId="3" fillId="9" borderId="36" xfId="0" applyFont="1" applyFill="1" applyBorder="1" applyAlignment="1">
      <alignment wrapText="1"/>
    </xf>
    <xf numFmtId="0" fontId="1" fillId="4" borderId="16" xfId="0" applyFont="1" applyFill="1" applyBorder="1" applyAlignment="1">
      <alignment wrapText="1"/>
    </xf>
    <xf numFmtId="0" fontId="1" fillId="5" borderId="28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0" fillId="6" borderId="54" xfId="0" applyFill="1" applyBorder="1" applyAlignment="1">
      <alignment wrapText="1"/>
    </xf>
    <xf numFmtId="0" fontId="0" fillId="6" borderId="55" xfId="0" applyFill="1" applyBorder="1" applyAlignment="1">
      <alignment wrapText="1"/>
    </xf>
    <xf numFmtId="0" fontId="0" fillId="6" borderId="53" xfId="0" applyFill="1" applyBorder="1" applyAlignment="1">
      <alignment wrapText="1"/>
    </xf>
    <xf numFmtId="0" fontId="0" fillId="6" borderId="25" xfId="0" applyFill="1" applyBorder="1" applyAlignment="1">
      <alignment wrapText="1"/>
    </xf>
    <xf numFmtId="0" fontId="0" fillId="7" borderId="28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1" fillId="7" borderId="10" xfId="0" applyFont="1" applyFill="1" applyBorder="1" applyAlignment="1">
      <alignment horizontal="center" wrapText="1"/>
    </xf>
    <xf numFmtId="0" fontId="1" fillId="7" borderId="24" xfId="0" applyFont="1" applyFill="1" applyBorder="1" applyAlignment="1">
      <alignment horizontal="center" wrapText="1"/>
    </xf>
    <xf numFmtId="0" fontId="1" fillId="11" borderId="7" xfId="0" applyFont="1" applyFill="1" applyBorder="1" applyAlignment="1">
      <alignment wrapText="1"/>
    </xf>
    <xf numFmtId="0" fontId="0" fillId="7" borderId="36" xfId="0" applyFill="1" applyBorder="1" applyAlignment="1">
      <alignment wrapText="1"/>
    </xf>
    <xf numFmtId="0" fontId="1" fillId="11" borderId="21" xfId="0" applyFont="1" applyFill="1" applyBorder="1" applyAlignment="1">
      <alignment wrapText="1"/>
    </xf>
    <xf numFmtId="0" fontId="1" fillId="4" borderId="17" xfId="0" applyFont="1" applyFill="1" applyBorder="1" applyAlignment="1">
      <alignment wrapText="1"/>
    </xf>
    <xf numFmtId="0" fontId="0" fillId="5" borderId="37" xfId="0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29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7" xfId="0" applyFill="1" applyBorder="1" applyAlignment="1">
      <alignment wrapText="1"/>
    </xf>
    <xf numFmtId="0" fontId="1" fillId="7" borderId="12" xfId="0" applyFont="1" applyFill="1" applyBorder="1" applyAlignment="1">
      <alignment horizontal="center" wrapText="1"/>
    </xf>
    <xf numFmtId="0" fontId="1" fillId="7" borderId="27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wrapText="1"/>
    </xf>
    <xf numFmtId="0" fontId="0" fillId="7" borderId="37" xfId="0" applyFill="1" applyBorder="1" applyAlignment="1">
      <alignment wrapText="1"/>
    </xf>
    <xf numFmtId="0" fontId="1" fillId="11" borderId="22" xfId="0" applyFont="1" applyFill="1" applyBorder="1" applyAlignment="1">
      <alignment wrapText="1"/>
    </xf>
    <xf numFmtId="0" fontId="1" fillId="12" borderId="22" xfId="0" applyFont="1" applyFill="1" applyBorder="1" applyAlignment="1">
      <alignment wrapText="1"/>
    </xf>
    <xf numFmtId="0" fontId="0" fillId="9" borderId="20" xfId="0" applyFill="1" applyBorder="1" applyAlignment="1"/>
    <xf numFmtId="0" fontId="3" fillId="9" borderId="0" xfId="0" applyFont="1" applyFill="1" applyBorder="1" applyAlignment="1"/>
    <xf numFmtId="0" fontId="3" fillId="9" borderId="37" xfId="0" applyFont="1" applyFill="1" applyBorder="1" applyAlignment="1"/>
    <xf numFmtId="0" fontId="5" fillId="0" borderId="0" xfId="0" applyFont="1"/>
    <xf numFmtId="1" fontId="6" fillId="5" borderId="4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 vertical="center"/>
    </xf>
    <xf numFmtId="1" fontId="8" fillId="5" borderId="23" xfId="0" applyNumberFormat="1" applyFont="1" applyFill="1" applyBorder="1" applyAlignment="1">
      <alignment horizontal="center" vertical="center"/>
    </xf>
    <xf numFmtId="0" fontId="6" fillId="5" borderId="41" xfId="1" applyFont="1" applyFill="1" applyBorder="1" applyAlignment="1">
      <alignment horizontal="center" vertical="center" wrapText="1"/>
    </xf>
    <xf numFmtId="0" fontId="6" fillId="5" borderId="48" xfId="1" applyFont="1" applyFill="1" applyBorder="1" applyAlignment="1">
      <alignment horizontal="center" vertical="center" wrapText="1"/>
    </xf>
    <xf numFmtId="0" fontId="6" fillId="15" borderId="42" xfId="0" applyFont="1" applyFill="1" applyBorder="1" applyAlignment="1">
      <alignment horizontal="center"/>
    </xf>
    <xf numFmtId="0" fontId="6" fillId="15" borderId="57" xfId="0" applyFont="1" applyFill="1" applyBorder="1" applyAlignment="1">
      <alignment horizontal="center"/>
    </xf>
    <xf numFmtId="0" fontId="8" fillId="15" borderId="44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6" fillId="15" borderId="56" xfId="0" applyFont="1" applyFill="1" applyBorder="1" applyAlignment="1">
      <alignment horizontal="center"/>
    </xf>
    <xf numFmtId="1" fontId="6" fillId="5" borderId="61" xfId="0" applyNumberFormat="1" applyFont="1" applyFill="1" applyBorder="1" applyAlignment="1">
      <alignment horizontal="center" vertical="center"/>
    </xf>
    <xf numFmtId="0" fontId="8" fillId="15" borderId="44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62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 vertical="center"/>
    </xf>
    <xf numFmtId="0" fontId="8" fillId="16" borderId="45" xfId="0" applyFont="1" applyFill="1" applyBorder="1" applyAlignment="1">
      <alignment vertical="center"/>
    </xf>
    <xf numFmtId="0" fontId="8" fillId="16" borderId="24" xfId="0" applyFont="1" applyFill="1" applyBorder="1" applyAlignment="1">
      <alignment vertical="center"/>
    </xf>
    <xf numFmtId="0" fontId="8" fillId="16" borderId="26" xfId="0" applyFont="1" applyFill="1" applyBorder="1" applyAlignment="1">
      <alignment vertical="center"/>
    </xf>
    <xf numFmtId="0" fontId="0" fillId="19" borderId="44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1" fillId="15" borderId="46" xfId="0" applyFont="1" applyFill="1" applyBorder="1" applyAlignment="1">
      <alignment horizontal="left"/>
    </xf>
    <xf numFmtId="0" fontId="1" fillId="15" borderId="47" xfId="0" applyFont="1" applyFill="1" applyBorder="1" applyAlignment="1">
      <alignment horizontal="left"/>
    </xf>
    <xf numFmtId="0" fontId="1" fillId="18" borderId="46" xfId="0" applyFont="1" applyFill="1" applyBorder="1" applyAlignment="1">
      <alignment horizontal="left"/>
    </xf>
    <xf numFmtId="0" fontId="1" fillId="18" borderId="47" xfId="0" applyFont="1" applyFill="1" applyBorder="1" applyAlignment="1">
      <alignment horizontal="left"/>
    </xf>
    <xf numFmtId="0" fontId="1" fillId="7" borderId="46" xfId="0" applyFont="1" applyFill="1" applyBorder="1" applyAlignment="1">
      <alignment horizontal="left" wrapText="1"/>
    </xf>
    <xf numFmtId="0" fontId="1" fillId="7" borderId="47" xfId="0" applyFont="1" applyFill="1" applyBorder="1" applyAlignment="1">
      <alignment horizontal="left" wrapText="1"/>
    </xf>
    <xf numFmtId="0" fontId="1" fillId="14" borderId="46" xfId="0" applyFont="1" applyFill="1" applyBorder="1" applyAlignment="1">
      <alignment horizontal="left" wrapText="1"/>
    </xf>
    <xf numFmtId="0" fontId="1" fillId="14" borderId="47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 wrapText="1"/>
    </xf>
    <xf numFmtId="0" fontId="4" fillId="3" borderId="47" xfId="0" applyFont="1" applyFill="1" applyBorder="1" applyAlignment="1">
      <alignment horizontal="left" wrapText="1"/>
    </xf>
    <xf numFmtId="0" fontId="6" fillId="5" borderId="58" xfId="1" applyFont="1" applyFill="1" applyBorder="1" applyAlignment="1">
      <alignment horizontal="center" vertical="center" wrapText="1"/>
    </xf>
    <xf numFmtId="0" fontId="6" fillId="5" borderId="50" xfId="1" applyFont="1" applyFill="1" applyBorder="1" applyAlignment="1">
      <alignment horizontal="center" vertical="center" wrapText="1"/>
    </xf>
    <xf numFmtId="0" fontId="6" fillId="5" borderId="48" xfId="1" applyFont="1" applyFill="1" applyBorder="1" applyAlignment="1">
      <alignment horizontal="center"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48" xfId="0" applyFont="1" applyFill="1" applyBorder="1" applyAlignment="1">
      <alignment horizontal="center" vertical="center" wrapText="1"/>
    </xf>
    <xf numFmtId="0" fontId="8" fillId="16" borderId="21" xfId="0" applyFont="1" applyFill="1" applyBorder="1" applyAlignment="1">
      <alignment horizontal="center" vertical="center"/>
    </xf>
    <xf numFmtId="0" fontId="8" fillId="16" borderId="23" xfId="0" applyFont="1" applyFill="1" applyBorder="1" applyAlignment="1">
      <alignment horizontal="center" vertical="center"/>
    </xf>
    <xf numFmtId="0" fontId="8" fillId="16" borderId="44" xfId="0" applyFont="1" applyFill="1" applyBorder="1" applyAlignment="1">
      <alignment horizontal="center" vertical="center"/>
    </xf>
    <xf numFmtId="0" fontId="8" fillId="16" borderId="58" xfId="0" applyFont="1" applyFill="1" applyBorder="1" applyAlignment="1">
      <alignment horizontal="center" vertical="center"/>
    </xf>
    <xf numFmtId="0" fontId="8" fillId="16" borderId="48" xfId="0" applyFont="1" applyFill="1" applyBorder="1" applyAlignment="1">
      <alignment horizontal="center" vertical="center"/>
    </xf>
    <xf numFmtId="0" fontId="6" fillId="5" borderId="46" xfId="1" applyFont="1" applyFill="1" applyBorder="1" applyAlignment="1">
      <alignment horizontal="center" vertical="center" wrapText="1"/>
    </xf>
    <xf numFmtId="0" fontId="6" fillId="5" borderId="59" xfId="1" applyFont="1" applyFill="1" applyBorder="1" applyAlignment="1">
      <alignment horizontal="center" vertical="center" wrapText="1"/>
    </xf>
    <xf numFmtId="0" fontId="6" fillId="5" borderId="47" xfId="1" applyFont="1" applyFill="1" applyBorder="1" applyAlignment="1">
      <alignment horizontal="center" vertical="center" wrapText="1"/>
    </xf>
    <xf numFmtId="0" fontId="8" fillId="16" borderId="19" xfId="0" applyFont="1" applyFill="1" applyBorder="1" applyAlignment="1">
      <alignment horizontal="center" vertical="center"/>
    </xf>
    <xf numFmtId="0" fontId="8" fillId="16" borderId="36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wrapText="1"/>
    </xf>
    <xf numFmtId="0" fontId="1" fillId="7" borderId="24" xfId="0" applyFont="1" applyFill="1" applyBorder="1" applyAlignment="1">
      <alignment horizontal="center" wrapText="1"/>
    </xf>
    <xf numFmtId="0" fontId="1" fillId="7" borderId="12" xfId="0" applyFont="1" applyFill="1" applyBorder="1" applyAlignment="1">
      <alignment horizontal="center" wrapText="1"/>
    </xf>
    <xf numFmtId="0" fontId="1" fillId="7" borderId="27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0" fontId="0" fillId="19" borderId="0" xfId="0" applyFill="1" applyBorder="1"/>
    <xf numFmtId="0" fontId="0" fillId="19" borderId="28" xfId="0" applyFill="1" applyBorder="1" applyAlignment="1"/>
    <xf numFmtId="1" fontId="0" fillId="19" borderId="0" xfId="0" applyNumberFormat="1" applyFill="1" applyBorder="1"/>
    <xf numFmtId="164" fontId="0" fillId="19" borderId="11" xfId="0" applyNumberFormat="1" applyFill="1" applyBorder="1"/>
    <xf numFmtId="0" fontId="0" fillId="19" borderId="7" xfId="0" applyFill="1" applyBorder="1"/>
  </cellXfs>
  <cellStyles count="2">
    <cellStyle name="Normal" xfId="0" builtinId="0"/>
    <cellStyle name="Normal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1%202019%20forecasted%20workload_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amp;SP%20efforts%20_with%20different%20components%20rate%20c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&amp;SP%20efforts%20_with%20different%20components%20rate%20card_revised%20rat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782762/AppData/Local/Temp/notesE14DF3/B&amp;SP%20Calci_nv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&amp;SP%20efforts%20_new%20request%20with%20details+TP%20role_july%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load"/>
      <sheetName val="Fig"/>
      <sheetName val="Pricing"/>
      <sheetName val="Parachute"/>
      <sheetName val="TITAIN"/>
      <sheetName val="Mercury"/>
      <sheetName val="Rat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30</v>
          </cell>
        </row>
        <row r="3">
          <cell r="B3">
            <v>40</v>
          </cell>
        </row>
        <row r="4">
          <cell r="B4">
            <v>25</v>
          </cell>
        </row>
        <row r="5">
          <cell r="B5">
            <v>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te"/>
      <sheetName val="Total efforts"/>
      <sheetName val="Efforts with Complexity"/>
      <sheetName val="Responsibility of TP"/>
    </sheetNames>
    <sheetDataSet>
      <sheetData sheetId="0">
        <row r="2">
          <cell r="B2">
            <v>30</v>
          </cell>
        </row>
        <row r="3">
          <cell r="B3">
            <v>40</v>
          </cell>
        </row>
        <row r="4">
          <cell r="B4">
            <v>25</v>
          </cell>
        </row>
        <row r="5">
          <cell r="B5">
            <v>33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te"/>
      <sheetName val="Rate card"/>
      <sheetName val="Total efforts"/>
      <sheetName val="Efforts with Complexity"/>
      <sheetName val="Responsibility of TP"/>
    </sheetNames>
    <sheetDataSet>
      <sheetData sheetId="0">
        <row r="2">
          <cell r="B2">
            <v>35</v>
          </cell>
        </row>
        <row r="3">
          <cell r="B3">
            <v>48</v>
          </cell>
        </row>
        <row r="4">
          <cell r="B4">
            <v>26</v>
          </cell>
        </row>
        <row r="5">
          <cell r="B5">
            <v>41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Rate"/>
      <sheetName val="General Efforts_100 ops"/>
      <sheetName val="General Efforts_150 ops"/>
      <sheetName val="General Efforts_250 ops"/>
      <sheetName val="Subgroup analysis"/>
      <sheetName val="esub efforts"/>
      <sheetName val="e-sub SDTM - Efforts"/>
      <sheetName val="e-sub ADaM - Efforts"/>
    </sheetNames>
    <sheetDataSet>
      <sheetData sheetId="0" refreshError="1"/>
      <sheetData sheetId="1" refreshError="1">
        <row r="2">
          <cell r="B2">
            <v>30</v>
          </cell>
        </row>
        <row r="3">
          <cell r="B3">
            <v>40</v>
          </cell>
        </row>
        <row r="4">
          <cell r="B4">
            <v>25</v>
          </cell>
        </row>
        <row r="5">
          <cell r="B5">
            <v>33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ate"/>
      <sheetName val="Efforts with Complexity"/>
      <sheetName val="Revised for complex FTE model"/>
      <sheetName val="Responsibility of TP"/>
    </sheetNames>
    <sheetDataSet>
      <sheetData sheetId="0">
        <row r="2">
          <cell r="B2">
            <v>30</v>
          </cell>
        </row>
        <row r="3">
          <cell r="B3">
            <v>40</v>
          </cell>
        </row>
        <row r="4">
          <cell r="B4">
            <v>25</v>
          </cell>
        </row>
        <row r="5">
          <cell r="B5">
            <v>33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5" sqref="B5"/>
    </sheetView>
  </sheetViews>
  <sheetFormatPr defaultRowHeight="15"/>
  <cols>
    <col min="1" max="1" width="19.42578125" customWidth="1"/>
    <col min="4" max="4" width="13.7109375" bestFit="1" customWidth="1"/>
  </cols>
  <sheetData>
    <row r="1" spans="1:2">
      <c r="A1" t="s">
        <v>1</v>
      </c>
      <c r="B1" t="s">
        <v>8</v>
      </c>
    </row>
    <row r="2" spans="1:2">
      <c r="A2" t="s">
        <v>3</v>
      </c>
      <c r="B2" s="209">
        <v>30</v>
      </c>
    </row>
    <row r="3" spans="1:2">
      <c r="A3" t="s">
        <v>7</v>
      </c>
      <c r="B3" s="209">
        <v>40</v>
      </c>
    </row>
    <row r="4" spans="1:2">
      <c r="A4" t="s">
        <v>5</v>
      </c>
      <c r="B4" s="209">
        <v>25</v>
      </c>
    </row>
    <row r="5" spans="1:2">
      <c r="A5" t="s">
        <v>4</v>
      </c>
      <c r="B5" s="209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H11" sqref="H11:H15"/>
    </sheetView>
  </sheetViews>
  <sheetFormatPr defaultRowHeight="15"/>
  <sheetData>
    <row r="1" spans="1:14">
      <c r="A1" s="159" t="s">
        <v>0</v>
      </c>
      <c r="B1" s="161" t="s">
        <v>2</v>
      </c>
      <c r="C1" s="163" t="s">
        <v>1</v>
      </c>
      <c r="D1" s="308" t="s">
        <v>20</v>
      </c>
      <c r="E1" s="309"/>
      <c r="F1" s="310"/>
      <c r="G1" s="165"/>
      <c r="H1" s="157" t="s">
        <v>21</v>
      </c>
      <c r="I1" s="158"/>
      <c r="J1" s="78"/>
      <c r="K1" s="165"/>
      <c r="L1" s="317" t="s">
        <v>22</v>
      </c>
      <c r="M1" s="317"/>
      <c r="N1" s="318"/>
    </row>
    <row r="2" spans="1:14" ht="15.75" thickBot="1">
      <c r="A2" s="160"/>
      <c r="B2" s="162"/>
      <c r="C2" s="164"/>
      <c r="D2" s="26" t="s">
        <v>23</v>
      </c>
      <c r="E2" s="27" t="s">
        <v>24</v>
      </c>
      <c r="F2" s="71" t="s">
        <v>9</v>
      </c>
      <c r="G2" s="51"/>
      <c r="H2" s="26" t="s">
        <v>23</v>
      </c>
      <c r="I2" s="27" t="s">
        <v>24</v>
      </c>
      <c r="J2" s="71" t="s">
        <v>9</v>
      </c>
      <c r="K2" s="51"/>
      <c r="L2" s="26" t="s">
        <v>23</v>
      </c>
      <c r="M2" s="27" t="s">
        <v>24</v>
      </c>
      <c r="N2" s="71" t="s">
        <v>9</v>
      </c>
    </row>
    <row r="3" spans="1:14">
      <c r="A3" s="28" t="s">
        <v>29</v>
      </c>
      <c r="B3" s="29" t="s">
        <v>10</v>
      </c>
      <c r="C3" s="30" t="s">
        <v>3</v>
      </c>
      <c r="D3" s="31">
        <f>0.8*H3</f>
        <v>2.4000000000000004</v>
      </c>
      <c r="E3" s="1">
        <f>D3/8</f>
        <v>0.30000000000000004</v>
      </c>
      <c r="F3" s="72">
        <f>D3*[5]Rate!$B$2</f>
        <v>72.000000000000014</v>
      </c>
      <c r="G3" s="52"/>
      <c r="H3" s="336">
        <v>3</v>
      </c>
      <c r="I3" s="1">
        <f>H3/8</f>
        <v>0.375</v>
      </c>
      <c r="J3" s="72">
        <f>H3*[5]Rate!$B$2</f>
        <v>90</v>
      </c>
      <c r="K3" s="55"/>
      <c r="L3" s="31">
        <f t="shared" ref="L3:L5" si="0">1.25*H3</f>
        <v>3.75</v>
      </c>
      <c r="M3" s="1">
        <f>L3/8</f>
        <v>0.46875</v>
      </c>
      <c r="N3" s="72">
        <f>L3*[5]Rate!$B$2</f>
        <v>112.5</v>
      </c>
    </row>
    <row r="4" spans="1:14">
      <c r="A4" s="2" t="s">
        <v>29</v>
      </c>
      <c r="B4" s="3" t="s">
        <v>10</v>
      </c>
      <c r="C4" s="4" t="s">
        <v>7</v>
      </c>
      <c r="D4" s="31">
        <f t="shared" ref="D4:D6" si="1">0.8*H4</f>
        <v>0</v>
      </c>
      <c r="E4" s="5">
        <f>D4/8</f>
        <v>0</v>
      </c>
      <c r="F4" s="72">
        <f>D4*[5]Rate!$B$3</f>
        <v>0</v>
      </c>
      <c r="G4" s="52"/>
      <c r="H4" s="336">
        <v>0</v>
      </c>
      <c r="I4" s="5">
        <f>H4/8</f>
        <v>0</v>
      </c>
      <c r="J4" s="72">
        <f>H4*[5]Rate!$B$3</f>
        <v>0</v>
      </c>
      <c r="K4" s="55"/>
      <c r="L4" s="31">
        <f t="shared" si="0"/>
        <v>0</v>
      </c>
      <c r="M4" s="5">
        <f>L4/8</f>
        <v>0</v>
      </c>
      <c r="N4" s="72">
        <f>L4*[5]Rate!$B$3</f>
        <v>0</v>
      </c>
    </row>
    <row r="5" spans="1:14">
      <c r="A5" s="2" t="s">
        <v>29</v>
      </c>
      <c r="B5" s="3" t="s">
        <v>10</v>
      </c>
      <c r="C5" s="4" t="s">
        <v>5</v>
      </c>
      <c r="D5" s="31">
        <f t="shared" si="1"/>
        <v>128</v>
      </c>
      <c r="E5" s="5">
        <f>D5/8</f>
        <v>16</v>
      </c>
      <c r="F5" s="72">
        <f>D5*[5]Rate!$B$4</f>
        <v>3200</v>
      </c>
      <c r="G5" s="52"/>
      <c r="H5" s="336">
        <v>160</v>
      </c>
      <c r="I5" s="5">
        <f>H5/8</f>
        <v>20</v>
      </c>
      <c r="J5" s="72">
        <f>H5*[5]Rate!$B$4</f>
        <v>4000</v>
      </c>
      <c r="K5" s="55"/>
      <c r="L5" s="31">
        <f t="shared" si="0"/>
        <v>200</v>
      </c>
      <c r="M5" s="5">
        <f>L5/8</f>
        <v>25</v>
      </c>
      <c r="N5" s="72">
        <f>L5*[5]Rate!$B$4</f>
        <v>5000</v>
      </c>
    </row>
    <row r="6" spans="1:14">
      <c r="A6" s="2" t="s">
        <v>29</v>
      </c>
      <c r="B6" s="3" t="s">
        <v>10</v>
      </c>
      <c r="C6" s="4" t="s">
        <v>4</v>
      </c>
      <c r="D6" s="31">
        <f t="shared" si="1"/>
        <v>64</v>
      </c>
      <c r="E6" s="5">
        <f>D6/8</f>
        <v>8</v>
      </c>
      <c r="F6" s="72">
        <f>D6*[5]Rate!$B$5</f>
        <v>2112</v>
      </c>
      <c r="G6" s="52"/>
      <c r="H6" s="336">
        <v>80</v>
      </c>
      <c r="I6" s="5">
        <f>H6/8</f>
        <v>10</v>
      </c>
      <c r="J6" s="72">
        <f>H6*[5]Rate!$B$5</f>
        <v>2640</v>
      </c>
      <c r="K6" s="55"/>
      <c r="L6" s="31">
        <f>1.25*H6</f>
        <v>100</v>
      </c>
      <c r="M6" s="5">
        <f>L6/8</f>
        <v>12.5</v>
      </c>
      <c r="N6" s="72">
        <f>L6*[5]Rate!$B$5</f>
        <v>3300</v>
      </c>
    </row>
    <row r="7" spans="1:14" ht="15.75" thickBot="1">
      <c r="A7" s="6" t="s">
        <v>29</v>
      </c>
      <c r="B7" s="7" t="s">
        <v>10</v>
      </c>
      <c r="C7" s="8" t="s">
        <v>6</v>
      </c>
      <c r="D7" s="6">
        <f t="shared" ref="D7:E7" si="2">SUM(D3:D6)</f>
        <v>194.4</v>
      </c>
      <c r="E7" s="6">
        <f t="shared" si="2"/>
        <v>24.3</v>
      </c>
      <c r="F7" s="74">
        <f t="shared" ref="F7:J7" si="3">SUM(F3:F6)</f>
        <v>5384</v>
      </c>
      <c r="G7" s="53"/>
      <c r="H7" s="337">
        <f t="shared" si="3"/>
        <v>243</v>
      </c>
      <c r="I7" s="9">
        <f t="shared" si="3"/>
        <v>30.375</v>
      </c>
      <c r="J7" s="73">
        <f t="shared" si="3"/>
        <v>6730</v>
      </c>
      <c r="K7" s="56"/>
      <c r="L7" s="6">
        <f t="shared" ref="L7:N7" si="4">SUM(L3:L6)</f>
        <v>303.75</v>
      </c>
      <c r="M7" s="9">
        <f t="shared" si="4"/>
        <v>37.96875</v>
      </c>
      <c r="N7" s="73">
        <f t="shared" si="4"/>
        <v>8412.5</v>
      </c>
    </row>
    <row r="8" spans="1:14" ht="15.75" thickBot="1">
      <c r="A8" s="32"/>
      <c r="B8" s="33"/>
      <c r="C8" s="33"/>
      <c r="D8" s="33"/>
      <c r="E8" s="33"/>
      <c r="F8" s="70"/>
      <c r="G8" s="33"/>
      <c r="H8" s="33"/>
      <c r="I8" s="33"/>
      <c r="J8" s="70"/>
      <c r="K8" s="33"/>
      <c r="L8" s="33"/>
      <c r="M8" s="33"/>
      <c r="N8" s="84"/>
    </row>
    <row r="9" spans="1:14">
      <c r="A9" s="159" t="s">
        <v>0</v>
      </c>
      <c r="B9" s="161" t="s">
        <v>2</v>
      </c>
      <c r="C9" s="163" t="s">
        <v>1</v>
      </c>
      <c r="D9" s="308" t="s">
        <v>20</v>
      </c>
      <c r="E9" s="309"/>
      <c r="F9" s="310"/>
      <c r="G9" s="165"/>
      <c r="H9" s="157" t="s">
        <v>21</v>
      </c>
      <c r="I9" s="158"/>
      <c r="J9" s="78"/>
      <c r="K9" s="165"/>
      <c r="L9" s="317" t="s">
        <v>22</v>
      </c>
      <c r="M9" s="317"/>
      <c r="N9" s="318"/>
    </row>
    <row r="10" spans="1:14" ht="15.75" thickBot="1">
      <c r="A10" s="160"/>
      <c r="B10" s="162"/>
      <c r="C10" s="164"/>
      <c r="D10" s="26" t="s">
        <v>23</v>
      </c>
      <c r="E10" s="27" t="s">
        <v>24</v>
      </c>
      <c r="F10" s="71" t="s">
        <v>9</v>
      </c>
      <c r="G10" s="51"/>
      <c r="H10" s="26" t="s">
        <v>23</v>
      </c>
      <c r="I10" s="27" t="s">
        <v>24</v>
      </c>
      <c r="J10" s="71" t="s">
        <v>9</v>
      </c>
      <c r="K10" s="51"/>
      <c r="L10" s="26" t="s">
        <v>23</v>
      </c>
      <c r="M10" s="27" t="s">
        <v>24</v>
      </c>
      <c r="N10" s="71" t="s">
        <v>9</v>
      </c>
    </row>
    <row r="11" spans="1:14">
      <c r="A11" s="28" t="s">
        <v>30</v>
      </c>
      <c r="B11" s="29" t="s">
        <v>10</v>
      </c>
      <c r="C11" s="30" t="s">
        <v>3</v>
      </c>
      <c r="D11" s="31">
        <f t="shared" ref="D11:D14" si="5">0.8*H11</f>
        <v>8</v>
      </c>
      <c r="E11" s="1">
        <f>D11/8</f>
        <v>1</v>
      </c>
      <c r="F11" s="72">
        <f>D11*[5]Rate!$B$2</f>
        <v>240</v>
      </c>
      <c r="G11" s="52"/>
      <c r="H11" s="336">
        <v>10</v>
      </c>
      <c r="I11" s="1">
        <f>H11/8</f>
        <v>1.25</v>
      </c>
      <c r="J11" s="72">
        <f>H11*[5]Rate!$B$2</f>
        <v>300</v>
      </c>
      <c r="K11" s="55"/>
      <c r="L11" s="31">
        <f t="shared" ref="L11:L14" si="6">1.25*H11</f>
        <v>12.5</v>
      </c>
      <c r="M11" s="1">
        <f>L11/8</f>
        <v>1.5625</v>
      </c>
      <c r="N11" s="72">
        <f>L11*[5]Rate!$B$2</f>
        <v>375</v>
      </c>
    </row>
    <row r="12" spans="1:14">
      <c r="A12" s="2" t="s">
        <v>30</v>
      </c>
      <c r="B12" s="3" t="s">
        <v>10</v>
      </c>
      <c r="C12" s="4" t="s">
        <v>7</v>
      </c>
      <c r="D12" s="31">
        <f t="shared" si="5"/>
        <v>0</v>
      </c>
      <c r="E12" s="5">
        <f>D12/8</f>
        <v>0</v>
      </c>
      <c r="F12" s="72">
        <f>D12*[5]Rate!$B$3</f>
        <v>0</v>
      </c>
      <c r="G12" s="52"/>
      <c r="H12" s="336">
        <v>0</v>
      </c>
      <c r="I12" s="5">
        <f>H12/8</f>
        <v>0</v>
      </c>
      <c r="J12" s="72">
        <f>H12*[5]Rate!$B$3</f>
        <v>0</v>
      </c>
      <c r="K12" s="55"/>
      <c r="L12" s="31">
        <f t="shared" si="6"/>
        <v>0</v>
      </c>
      <c r="M12" s="5">
        <f>L12/8</f>
        <v>0</v>
      </c>
      <c r="N12" s="72">
        <f>L12*[5]Rate!$B$3</f>
        <v>0</v>
      </c>
    </row>
    <row r="13" spans="1:14">
      <c r="A13" s="2" t="s">
        <v>30</v>
      </c>
      <c r="B13" s="3" t="s">
        <v>10</v>
      </c>
      <c r="C13" s="4" t="s">
        <v>5</v>
      </c>
      <c r="D13" s="31">
        <f t="shared" si="5"/>
        <v>92.800000000000011</v>
      </c>
      <c r="E13" s="5">
        <f>D13/8</f>
        <v>11.600000000000001</v>
      </c>
      <c r="F13" s="72">
        <f>D13*[5]Rate!$B$4</f>
        <v>2320.0000000000005</v>
      </c>
      <c r="G13" s="52"/>
      <c r="H13" s="336">
        <v>116</v>
      </c>
      <c r="I13" s="5">
        <f>H13/8</f>
        <v>14.5</v>
      </c>
      <c r="J13" s="72">
        <f>H13*[5]Rate!$B$4</f>
        <v>2900</v>
      </c>
      <c r="K13" s="55"/>
      <c r="L13" s="31">
        <f t="shared" si="6"/>
        <v>145</v>
      </c>
      <c r="M13" s="5">
        <f>L13/8</f>
        <v>18.125</v>
      </c>
      <c r="N13" s="72">
        <f>L13*[5]Rate!$B$4</f>
        <v>3625</v>
      </c>
    </row>
    <row r="14" spans="1:14">
      <c r="A14" s="2" t="s">
        <v>30</v>
      </c>
      <c r="B14" s="3" t="s">
        <v>10</v>
      </c>
      <c r="C14" s="4" t="s">
        <v>4</v>
      </c>
      <c r="D14" s="31">
        <f t="shared" si="5"/>
        <v>49.6</v>
      </c>
      <c r="E14" s="5">
        <f>D14/8</f>
        <v>6.2</v>
      </c>
      <c r="F14" s="72">
        <f>D14*[5]Rate!$B$5</f>
        <v>1636.8</v>
      </c>
      <c r="G14" s="52"/>
      <c r="H14" s="336">
        <v>62</v>
      </c>
      <c r="I14" s="5">
        <f>H14/8</f>
        <v>7.75</v>
      </c>
      <c r="J14" s="72">
        <f>H14*[5]Rate!$B$5</f>
        <v>2046</v>
      </c>
      <c r="K14" s="55"/>
      <c r="L14" s="31">
        <f t="shared" si="6"/>
        <v>77.5</v>
      </c>
      <c r="M14" s="5">
        <f>L14/8</f>
        <v>9.6875</v>
      </c>
      <c r="N14" s="72">
        <f>L14*[5]Rate!$B$5</f>
        <v>2557.5</v>
      </c>
    </row>
    <row r="15" spans="1:14" ht="15.75" thickBot="1">
      <c r="A15" s="6" t="s">
        <v>30</v>
      </c>
      <c r="B15" s="7" t="s">
        <v>10</v>
      </c>
      <c r="C15" s="8" t="s">
        <v>6</v>
      </c>
      <c r="D15" s="107">
        <f>SUM(D11:D14)</f>
        <v>150.4</v>
      </c>
      <c r="E15" s="107">
        <f t="shared" ref="E15:F15" si="7">SUM(E11:E14)</f>
        <v>18.8</v>
      </c>
      <c r="F15" s="107">
        <f t="shared" si="7"/>
        <v>4196.8</v>
      </c>
      <c r="G15" s="53"/>
      <c r="H15" s="337">
        <f t="shared" ref="H15:J15" si="8">SUM(H11:H14)</f>
        <v>188</v>
      </c>
      <c r="I15" s="9">
        <f t="shared" si="8"/>
        <v>23.5</v>
      </c>
      <c r="J15" s="73">
        <f t="shared" si="8"/>
        <v>5246</v>
      </c>
      <c r="K15" s="56"/>
      <c r="L15" s="6">
        <f t="shared" ref="L15:N15" si="9">SUM(L11:L14)</f>
        <v>235</v>
      </c>
      <c r="M15" s="9">
        <f t="shared" si="9"/>
        <v>29.375</v>
      </c>
      <c r="N15" s="73">
        <f t="shared" si="9"/>
        <v>6557.5</v>
      </c>
    </row>
  </sheetData>
  <mergeCells count="4">
    <mergeCell ref="D1:F1"/>
    <mergeCell ref="L1:N1"/>
    <mergeCell ref="D9:F9"/>
    <mergeCell ref="L9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C1" sqref="C1:E1"/>
    </sheetView>
  </sheetViews>
  <sheetFormatPr defaultRowHeight="15"/>
  <cols>
    <col min="1" max="1" width="30.5703125" bestFit="1" customWidth="1"/>
    <col min="2" max="2" width="26" bestFit="1" customWidth="1"/>
    <col min="3" max="3" width="20" bestFit="1" customWidth="1"/>
    <col min="4" max="4" width="13.7109375" hidden="1" customWidth="1"/>
    <col min="5" max="5" width="16.140625" bestFit="1" customWidth="1"/>
    <col min="6" max="6" width="1" customWidth="1"/>
    <col min="7" max="7" width="20" bestFit="1" customWidth="1"/>
    <col min="8" max="8" width="18.7109375" hidden="1" customWidth="1"/>
    <col min="9" max="9" width="16.28515625" bestFit="1" customWidth="1"/>
    <col min="10" max="10" width="0.85546875" customWidth="1"/>
    <col min="11" max="11" width="20" bestFit="1" customWidth="1"/>
    <col min="12" max="12" width="18.7109375" hidden="1" customWidth="1"/>
    <col min="13" max="13" width="16.28515625" bestFit="1" customWidth="1"/>
  </cols>
  <sheetData>
    <row r="1" spans="1:13" ht="15.75" thickBot="1">
      <c r="A1" s="278" t="s">
        <v>58</v>
      </c>
      <c r="B1" s="277"/>
      <c r="C1" s="278" t="s">
        <v>132</v>
      </c>
      <c r="D1" s="276"/>
      <c r="E1" s="277"/>
      <c r="F1" s="153"/>
      <c r="G1" s="275" t="s">
        <v>133</v>
      </c>
      <c r="H1" s="276"/>
      <c r="I1" s="277"/>
      <c r="J1" s="153"/>
      <c r="K1" s="275" t="s">
        <v>71</v>
      </c>
      <c r="L1" s="276"/>
      <c r="M1" s="277"/>
    </row>
    <row r="2" spans="1:13" s="180" customFormat="1" ht="30.75" thickBot="1">
      <c r="A2" s="181" t="s">
        <v>1</v>
      </c>
      <c r="B2" s="181" t="s">
        <v>59</v>
      </c>
      <c r="C2" s="182" t="s">
        <v>60</v>
      </c>
      <c r="D2" s="183" t="s">
        <v>61</v>
      </c>
      <c r="E2" s="184" t="s">
        <v>62</v>
      </c>
      <c r="F2" s="185"/>
      <c r="G2" s="186" t="s">
        <v>60</v>
      </c>
      <c r="H2" s="187" t="s">
        <v>61</v>
      </c>
      <c r="I2" s="188" t="s">
        <v>62</v>
      </c>
      <c r="J2" s="185"/>
      <c r="K2" s="186" t="s">
        <v>60</v>
      </c>
      <c r="L2" s="187" t="s">
        <v>61</v>
      </c>
      <c r="M2" s="188" t="s">
        <v>62</v>
      </c>
    </row>
    <row r="3" spans="1:13">
      <c r="A3" s="281" t="s">
        <v>65</v>
      </c>
      <c r="B3" s="120" t="str">
        <f>'Efforts with Complexity'!A32</f>
        <v>M3,M6 and M7</v>
      </c>
      <c r="C3" s="127">
        <f>'Efforts with Complexity'!D32</f>
        <v>116</v>
      </c>
      <c r="D3" s="125">
        <f>'Efforts with Complexity'!E32</f>
        <v>14.5</v>
      </c>
      <c r="E3" s="139">
        <f>'Efforts with Complexity'!F32</f>
        <v>3517</v>
      </c>
      <c r="F3" s="123"/>
      <c r="G3" s="127">
        <f>'Efforts with Complexity'!H32</f>
        <v>176</v>
      </c>
      <c r="H3" s="125">
        <f>'Efforts with Complexity'!I32</f>
        <v>22</v>
      </c>
      <c r="I3" s="139">
        <f>'Efforts with Complexity'!J32</f>
        <v>5333</v>
      </c>
      <c r="J3" s="123"/>
      <c r="K3" s="127">
        <f>'Efforts with Complexity'!L32</f>
        <v>210</v>
      </c>
      <c r="L3" s="125">
        <f>'Efforts with Complexity'!M32</f>
        <v>26.25</v>
      </c>
      <c r="M3" s="139">
        <f>'Efforts with Complexity'!N32</f>
        <v>6370</v>
      </c>
    </row>
    <row r="4" spans="1:13" ht="15.75" thickBot="1">
      <c r="A4" s="282"/>
      <c r="B4" s="121" t="s">
        <v>67</v>
      </c>
      <c r="C4" s="128">
        <f>'Efforts with Complexity'!D118</f>
        <v>183.25</v>
      </c>
      <c r="D4" s="126">
        <f>'Efforts with Complexity'!E118</f>
        <v>22.90625</v>
      </c>
      <c r="E4" s="140">
        <f>'Efforts with Complexity'!F118</f>
        <v>5469</v>
      </c>
      <c r="F4" s="123"/>
      <c r="G4" s="128">
        <f>'Efforts with Complexity'!H118</f>
        <v>291.75</v>
      </c>
      <c r="H4" s="126">
        <f>'Efforts with Complexity'!I118</f>
        <v>36.46875</v>
      </c>
      <c r="I4" s="140">
        <f>'Efforts with Complexity'!J118</f>
        <v>8713</v>
      </c>
      <c r="J4" s="123"/>
      <c r="K4" s="128">
        <f>'Efforts with Complexity'!L118</f>
        <v>366.5</v>
      </c>
      <c r="L4" s="126">
        <f>'Efforts with Complexity'!M118</f>
        <v>45.8125</v>
      </c>
      <c r="M4" s="140">
        <f>'Efforts with Complexity'!N118</f>
        <v>10938</v>
      </c>
    </row>
    <row r="5" spans="1:13" ht="21.75" customHeight="1">
      <c r="A5" s="287" t="s">
        <v>120</v>
      </c>
      <c r="B5" s="112" t="str">
        <f>'Efforts with Complexity'!A39</f>
        <v>SDTM dataset</v>
      </c>
      <c r="C5" s="133">
        <f t="shared" ref="C5:E6" si="0">C7-50%*C$4</f>
        <v>196.375</v>
      </c>
      <c r="D5" s="127">
        <f t="shared" si="0"/>
        <v>24.546875</v>
      </c>
      <c r="E5" s="141">
        <f t="shared" si="0"/>
        <v>5785.5</v>
      </c>
      <c r="F5" s="123"/>
      <c r="G5" s="127">
        <f>G7-50%*G$4</f>
        <v>286.125</v>
      </c>
      <c r="H5" s="125">
        <f>H7-50%*H$4</f>
        <v>35.765625</v>
      </c>
      <c r="I5" s="139">
        <f>(I7-50%*I$4)</f>
        <v>8423.5</v>
      </c>
      <c r="J5" s="123"/>
      <c r="K5" s="127">
        <f t="shared" ref="K5:M6" si="1">K7-50%*K$4</f>
        <v>392.75</v>
      </c>
      <c r="L5" s="125">
        <f t="shared" si="1"/>
        <v>49.09375</v>
      </c>
      <c r="M5" s="139">
        <f t="shared" si="1"/>
        <v>11571</v>
      </c>
    </row>
    <row r="6" spans="1:13" ht="18.75" customHeight="1" thickBot="1">
      <c r="A6" s="288"/>
      <c r="B6" s="113" t="str">
        <f>'Efforts with Complexity'!A47</f>
        <v>ADaM dataset</v>
      </c>
      <c r="C6" s="134">
        <f t="shared" si="0"/>
        <v>253.375</v>
      </c>
      <c r="D6" s="128">
        <f t="shared" si="0"/>
        <v>31.671875</v>
      </c>
      <c r="E6" s="142">
        <f t="shared" si="0"/>
        <v>7705.5</v>
      </c>
      <c r="F6" s="123"/>
      <c r="G6" s="128">
        <f t="shared" ref="G6:I6" si="2">G8-50%*G$4</f>
        <v>429.125</v>
      </c>
      <c r="H6" s="126">
        <f t="shared" si="2"/>
        <v>53.640625</v>
      </c>
      <c r="I6" s="140">
        <f t="shared" si="2"/>
        <v>13043.5</v>
      </c>
      <c r="J6" s="123"/>
      <c r="K6" s="128">
        <f t="shared" si="1"/>
        <v>506.75</v>
      </c>
      <c r="L6" s="126">
        <f t="shared" si="1"/>
        <v>63.34375</v>
      </c>
      <c r="M6" s="140">
        <f t="shared" si="1"/>
        <v>15411</v>
      </c>
    </row>
    <row r="7" spans="1:13">
      <c r="A7" s="283" t="s">
        <v>130</v>
      </c>
      <c r="B7" s="114" t="str">
        <f>'Efforts with Complexity'!A41</f>
        <v>SDTM dataset</v>
      </c>
      <c r="C7" s="127">
        <f>'Efforts with Complexity'!D41</f>
        <v>288</v>
      </c>
      <c r="D7" s="125">
        <f>'Efforts with Complexity'!E41</f>
        <v>36</v>
      </c>
      <c r="E7" s="139">
        <f>'Efforts with Complexity'!F41</f>
        <v>8520</v>
      </c>
      <c r="F7" s="123"/>
      <c r="G7" s="127">
        <f>'Efforts with Complexity'!H41</f>
        <v>432</v>
      </c>
      <c r="H7" s="125">
        <f>'Efforts with Complexity'!I41</f>
        <v>54</v>
      </c>
      <c r="I7" s="139">
        <f>'Efforts with Complexity'!J41</f>
        <v>12780</v>
      </c>
      <c r="J7" s="123"/>
      <c r="K7" s="127">
        <f>'Efforts with Complexity'!L41</f>
        <v>576</v>
      </c>
      <c r="L7" s="125">
        <f>'Efforts with Complexity'!M41</f>
        <v>72</v>
      </c>
      <c r="M7" s="139">
        <f>'Efforts with Complexity'!N41</f>
        <v>17040</v>
      </c>
    </row>
    <row r="8" spans="1:13" ht="15.75" thickBot="1">
      <c r="A8" s="284"/>
      <c r="B8" s="115" t="str">
        <f>'Efforts with Complexity'!A49</f>
        <v>ADaM dataset</v>
      </c>
      <c r="C8" s="128">
        <f>'Efforts with Complexity'!D49</f>
        <v>345</v>
      </c>
      <c r="D8" s="126">
        <f>'Efforts with Complexity'!E49</f>
        <v>43.125</v>
      </c>
      <c r="E8" s="140">
        <f>'Efforts with Complexity'!F49</f>
        <v>10440</v>
      </c>
      <c r="F8" s="123"/>
      <c r="G8" s="128">
        <f>'Efforts with Complexity'!H49</f>
        <v>575</v>
      </c>
      <c r="H8" s="126">
        <f>'Efforts with Complexity'!I49</f>
        <v>71.875</v>
      </c>
      <c r="I8" s="140">
        <f>'Efforts with Complexity'!J49</f>
        <v>17400</v>
      </c>
      <c r="J8" s="123"/>
      <c r="K8" s="128">
        <f>'Efforts with Complexity'!L49</f>
        <v>690</v>
      </c>
      <c r="L8" s="126">
        <f>'Efforts with Complexity'!M49</f>
        <v>86.25</v>
      </c>
      <c r="M8" s="140">
        <f>'Efforts with Complexity'!N49</f>
        <v>20880</v>
      </c>
    </row>
    <row r="9" spans="1:13">
      <c r="A9" s="285" t="s">
        <v>121</v>
      </c>
      <c r="B9" s="116" t="str">
        <f>'Efforts with Complexity'!A57</f>
        <v>TLFs</v>
      </c>
      <c r="C9" s="127">
        <f>'Efforts with Complexity'!D57</f>
        <v>523</v>
      </c>
      <c r="D9" s="125">
        <f>'Efforts with Complexity'!E57</f>
        <v>65.375</v>
      </c>
      <c r="E9" s="139">
        <f>'Efforts with Complexity'!F57</f>
        <v>14781.5</v>
      </c>
      <c r="F9" s="123"/>
      <c r="G9" s="127">
        <f>'Efforts with Complexity'!H57</f>
        <v>803</v>
      </c>
      <c r="H9" s="125">
        <f>'Efforts with Complexity'!I57</f>
        <v>100.375</v>
      </c>
      <c r="I9" s="139">
        <f>'Efforts with Complexity'!J57</f>
        <v>22686</v>
      </c>
      <c r="J9" s="123"/>
      <c r="K9" s="127">
        <f>'Efforts with Complexity'!L57</f>
        <v>987.5</v>
      </c>
      <c r="L9" s="125">
        <f>'Efforts with Complexity'!M57</f>
        <v>123.4375</v>
      </c>
      <c r="M9" s="139">
        <f>'Efforts with Complexity'!N57</f>
        <v>27884.5</v>
      </c>
    </row>
    <row r="10" spans="1:13" ht="15.75" thickBot="1">
      <c r="A10" s="286"/>
      <c r="B10" s="117" t="str">
        <f>'Efforts with Complexity'!A65</f>
        <v>Intext tables</v>
      </c>
      <c r="C10" s="128">
        <f>'Efforts with Complexity'!D65</f>
        <v>64</v>
      </c>
      <c r="D10" s="126">
        <f>'Efforts with Complexity'!E65</f>
        <v>8</v>
      </c>
      <c r="E10" s="140">
        <f>'Efforts with Complexity'!F65</f>
        <v>1863.5</v>
      </c>
      <c r="F10" s="123"/>
      <c r="G10" s="128">
        <f>'Efforts with Complexity'!H65</f>
        <v>128</v>
      </c>
      <c r="H10" s="126">
        <f>'Efforts with Complexity'!I65</f>
        <v>16</v>
      </c>
      <c r="I10" s="140">
        <f>'Efforts with Complexity'!J65</f>
        <v>3727</v>
      </c>
      <c r="J10" s="123"/>
      <c r="K10" s="128">
        <f>'Efforts with Complexity'!L65</f>
        <v>192</v>
      </c>
      <c r="L10" s="126">
        <f>'Efforts with Complexity'!M65</f>
        <v>24</v>
      </c>
      <c r="M10" s="140">
        <f>'Efforts with Complexity'!N65</f>
        <v>5590.5</v>
      </c>
    </row>
    <row r="11" spans="1:13">
      <c r="A11" s="279" t="s">
        <v>122</v>
      </c>
      <c r="B11" s="118" t="str">
        <f>'Efforts with Complexity'!A73</f>
        <v>SDTM eSub Package</v>
      </c>
      <c r="C11" s="127">
        <f>'Efforts with Complexity'!D73</f>
        <v>194.4</v>
      </c>
      <c r="D11" s="125">
        <f>'Efforts with Complexity'!E73</f>
        <v>24.3</v>
      </c>
      <c r="E11" s="139">
        <f>'Efforts with Complexity'!F73</f>
        <v>5384</v>
      </c>
      <c r="F11" s="123"/>
      <c r="G11" s="127">
        <f>'Efforts with Complexity'!H73</f>
        <v>243</v>
      </c>
      <c r="H11" s="125">
        <f>'Efforts with Complexity'!I73</f>
        <v>30.375</v>
      </c>
      <c r="I11" s="139">
        <f>'Efforts with Complexity'!J73</f>
        <v>6730</v>
      </c>
      <c r="J11" s="123"/>
      <c r="K11" s="127">
        <f>'Efforts with Complexity'!L73</f>
        <v>303.75</v>
      </c>
      <c r="L11" s="125">
        <f>'Efforts with Complexity'!M73</f>
        <v>37.96875</v>
      </c>
      <c r="M11" s="139">
        <f>'Efforts with Complexity'!N73</f>
        <v>8412.5</v>
      </c>
    </row>
    <row r="12" spans="1:13" ht="15.75" thickBot="1">
      <c r="A12" s="280"/>
      <c r="B12" s="119" t="str">
        <f>'Efforts with Complexity'!A81</f>
        <v>ADaM eSub Package</v>
      </c>
      <c r="C12" s="128">
        <f>'Efforts with Complexity'!D81</f>
        <v>150.4</v>
      </c>
      <c r="D12" s="126">
        <f>'Efforts with Complexity'!E81</f>
        <v>18.8</v>
      </c>
      <c r="E12" s="140">
        <f>'Efforts with Complexity'!F81</f>
        <v>4196.8</v>
      </c>
      <c r="F12" s="123"/>
      <c r="G12" s="128">
        <f>'Efforts with Complexity'!H81</f>
        <v>188</v>
      </c>
      <c r="H12" s="126">
        <f>'Efforts with Complexity'!I81</f>
        <v>23.5</v>
      </c>
      <c r="I12" s="140">
        <f>'Efforts with Complexity'!J81</f>
        <v>5246</v>
      </c>
      <c r="J12" s="123"/>
      <c r="K12" s="128">
        <f>'Efforts with Complexity'!L81</f>
        <v>235</v>
      </c>
      <c r="L12" s="126">
        <f>'Efforts with Complexity'!M81</f>
        <v>29.375</v>
      </c>
      <c r="M12" s="140">
        <f>'Efforts with Complexity'!N81</f>
        <v>6557.5</v>
      </c>
    </row>
    <row r="13" spans="1:13" ht="15.75" thickBot="1">
      <c r="A13" s="108" t="s">
        <v>64</v>
      </c>
      <c r="B13" s="108" t="str">
        <f>'Efforts with Complexity'!A108</f>
        <v>Cost for the role of a TP</v>
      </c>
      <c r="C13" s="135">
        <f>'Efforts with Complexity'!D108</f>
        <v>43.5</v>
      </c>
      <c r="D13" s="129">
        <f>'Efforts with Complexity'!E108</f>
        <v>5.4375</v>
      </c>
      <c r="E13" s="143">
        <f>'Efforts with Complexity'!F108</f>
        <v>1435.5</v>
      </c>
      <c r="F13" s="123"/>
      <c r="G13" s="147">
        <f>'Efforts with Complexity'!H108</f>
        <v>44.037037037037045</v>
      </c>
      <c r="H13" s="149">
        <f>'Efforts with Complexity'!I108</f>
        <v>5.5046296296296306</v>
      </c>
      <c r="I13" s="151">
        <f>'Efforts with Complexity'!J108</f>
        <v>1453.2222222222224</v>
      </c>
      <c r="J13" s="123"/>
      <c r="K13" s="147">
        <f>'Efforts with Complexity'!L108</f>
        <v>52.629629629629633</v>
      </c>
      <c r="L13" s="149">
        <f>'Efforts with Complexity'!M108</f>
        <v>6.5787037037037042</v>
      </c>
      <c r="M13" s="151">
        <f>'Efforts with Complexity'!N108</f>
        <v>1736.7777777777778</v>
      </c>
    </row>
    <row r="14" spans="1:13" ht="75.75" thickBot="1">
      <c r="A14" s="199" t="s">
        <v>129</v>
      </c>
      <c r="B14" s="122" t="s">
        <v>6</v>
      </c>
      <c r="C14" s="136">
        <f>SUM(C3:C4)</f>
        <v>299.25</v>
      </c>
      <c r="D14" s="130">
        <f t="shared" ref="D14:E14" si="3">SUM(D3:D4)</f>
        <v>37.40625</v>
      </c>
      <c r="E14" s="144">
        <f t="shared" si="3"/>
        <v>8986</v>
      </c>
      <c r="F14" s="123"/>
      <c r="G14" s="148">
        <f>SUM(G3:G4)</f>
        <v>467.75</v>
      </c>
      <c r="H14" s="150">
        <f t="shared" ref="H14:I14" si="4">SUM(H3:H4)</f>
        <v>58.46875</v>
      </c>
      <c r="I14" s="152">
        <f t="shared" si="4"/>
        <v>14046</v>
      </c>
      <c r="J14" s="123"/>
      <c r="K14" s="136">
        <f>SUM(K3:K4)</f>
        <v>576.5</v>
      </c>
      <c r="L14" s="130">
        <f t="shared" ref="L14:M14" si="5">SUM(L3:L4)</f>
        <v>72.0625</v>
      </c>
      <c r="M14" s="144">
        <f t="shared" si="5"/>
        <v>17308</v>
      </c>
    </row>
    <row r="15" spans="1:13" ht="60.75" thickBot="1">
      <c r="A15" s="189" t="s">
        <v>131</v>
      </c>
      <c r="B15" s="109" t="s">
        <v>6</v>
      </c>
      <c r="C15" s="137">
        <f>SUM(C5,C6,C9,C10)</f>
        <v>1036.75</v>
      </c>
      <c r="D15" s="131">
        <f t="shared" ref="D15:E15" si="6">SUM(D5,D6,D9,D10)</f>
        <v>129.59375</v>
      </c>
      <c r="E15" s="145">
        <f t="shared" si="6"/>
        <v>30136</v>
      </c>
      <c r="F15" s="123"/>
      <c r="G15" s="137">
        <f>SUM(G5,G6,G9,G10)</f>
        <v>1646.25</v>
      </c>
      <c r="H15" s="131">
        <f t="shared" ref="H15:I15" si="7">SUM(H5,H6,H9,H10)</f>
        <v>205.78125</v>
      </c>
      <c r="I15" s="145">
        <f t="shared" si="7"/>
        <v>47880</v>
      </c>
      <c r="J15" s="123"/>
      <c r="K15" s="137">
        <f>SUM(K5,K6,K9,K10)</f>
        <v>2079</v>
      </c>
      <c r="L15" s="131">
        <f t="shared" ref="L15:M15" si="8">SUM(L5,L6,L9,L10)</f>
        <v>259.875</v>
      </c>
      <c r="M15" s="145">
        <f t="shared" si="8"/>
        <v>60457</v>
      </c>
    </row>
    <row r="16" spans="1:13" ht="15.75" thickBot="1">
      <c r="A16" s="110" t="s">
        <v>66</v>
      </c>
      <c r="B16" s="110" t="s">
        <v>6</v>
      </c>
      <c r="C16" s="192">
        <f>SUM(C11:C12)</f>
        <v>344.8</v>
      </c>
      <c r="D16" s="193">
        <f t="shared" ref="D16:E16" si="9">SUM(D11:D12)</f>
        <v>43.1</v>
      </c>
      <c r="E16" s="194">
        <f t="shared" si="9"/>
        <v>9580.7999999999993</v>
      </c>
      <c r="F16" s="123"/>
      <c r="G16" s="138">
        <f>SUM(G11:G12)</f>
        <v>431</v>
      </c>
      <c r="H16" s="132">
        <f t="shared" ref="H16:I16" si="10">SUM(H11:H12)</f>
        <v>53.875</v>
      </c>
      <c r="I16" s="146">
        <f t="shared" si="10"/>
        <v>11976</v>
      </c>
      <c r="J16" s="123"/>
      <c r="K16" s="138">
        <f>SUM(K11:K12)</f>
        <v>538.75</v>
      </c>
      <c r="L16" s="132">
        <f t="shared" ref="L16:M16" si="11">SUM(L11:L12)</f>
        <v>67.34375</v>
      </c>
      <c r="M16" s="146">
        <f t="shared" si="11"/>
        <v>14970</v>
      </c>
    </row>
    <row r="17" spans="1:13" ht="15.75" thickBot="1">
      <c r="A17" s="110" t="s">
        <v>111</v>
      </c>
      <c r="B17" s="190" t="s">
        <v>6</v>
      </c>
      <c r="C17" s="195">
        <f>'Efforts with Complexity'!D126</f>
        <v>267.20000000000005</v>
      </c>
      <c r="D17" s="195">
        <f>'Efforts with Complexity'!E126</f>
        <v>33.400000000000006</v>
      </c>
      <c r="E17" s="198">
        <f>'Efforts with Complexity'!F126</f>
        <v>8972.4000000000015</v>
      </c>
      <c r="F17" s="191"/>
      <c r="G17" s="195">
        <f>'Efforts with Complexity'!H126</f>
        <v>422.80000000000007</v>
      </c>
      <c r="H17" s="195">
        <f>'Efforts with Complexity'!I126</f>
        <v>52.850000000000009</v>
      </c>
      <c r="I17" s="198">
        <f>'Efforts with Complexity'!J126</f>
        <v>14204.7</v>
      </c>
      <c r="J17" s="123"/>
      <c r="K17" s="195">
        <f>'Efforts with Complexity'!L126</f>
        <v>531.1</v>
      </c>
      <c r="L17" s="195">
        <f>'Efforts with Complexity'!M126</f>
        <v>66.387500000000003</v>
      </c>
      <c r="M17" s="198">
        <f>'Efforts with Complexity'!N126</f>
        <v>17826.849999999999</v>
      </c>
    </row>
    <row r="18" spans="1:13" ht="15.75" thickBot="1">
      <c r="A18" s="110" t="s">
        <v>123</v>
      </c>
      <c r="B18" s="190" t="s">
        <v>6</v>
      </c>
      <c r="C18" s="195">
        <f>'Efforts with Complexity'!D134</f>
        <v>400.79999999999995</v>
      </c>
      <c r="D18" s="196">
        <f>'Efforts with Complexity'!E134</f>
        <v>50.099999999999994</v>
      </c>
      <c r="E18" s="197">
        <f>'Efforts with Complexity'!F134</f>
        <v>13458.599999999999</v>
      </c>
      <c r="F18" s="191"/>
      <c r="G18" s="195">
        <f>'Efforts with Complexity'!H134</f>
        <v>634.20000000000005</v>
      </c>
      <c r="H18" s="195">
        <f>'Efforts with Complexity'!I134</f>
        <v>79.275000000000006</v>
      </c>
      <c r="I18" s="198">
        <f>'Efforts with Complexity'!J134</f>
        <v>21307.05</v>
      </c>
      <c r="J18" s="123"/>
      <c r="K18" s="195">
        <f>'Efforts with Complexity'!L134</f>
        <v>796.65</v>
      </c>
      <c r="L18" s="195">
        <f>'Efforts with Complexity'!M134</f>
        <v>99.581249999999997</v>
      </c>
      <c r="M18" s="198">
        <f>'Efforts with Complexity'!N134</f>
        <v>26740.275000000001</v>
      </c>
    </row>
    <row r="19" spans="1:13" ht="15.75" thickBot="1">
      <c r="A19" s="110" t="s">
        <v>125</v>
      </c>
      <c r="B19" s="190" t="s">
        <v>6</v>
      </c>
      <c r="C19" s="195">
        <f>'Efforts with Complexity'!D142</f>
        <v>100.19999999999999</v>
      </c>
      <c r="D19" s="195">
        <f>'Efforts with Complexity'!E142</f>
        <v>12.524999999999999</v>
      </c>
      <c r="E19" s="198">
        <f>'Efforts with Complexity'!F142</f>
        <v>3364.6499999999996</v>
      </c>
      <c r="F19" s="191"/>
      <c r="G19" s="195">
        <f>'Efforts with Complexity'!H142</f>
        <v>158.55000000000001</v>
      </c>
      <c r="H19" s="195">
        <f>'Efforts with Complexity'!I142</f>
        <v>19.818750000000001</v>
      </c>
      <c r="I19" s="198">
        <f>'Efforts with Complexity'!J142</f>
        <v>5326.7624999999998</v>
      </c>
      <c r="J19" s="123"/>
      <c r="K19" s="195">
        <f>'Efforts with Complexity'!L142</f>
        <v>199.16249999999999</v>
      </c>
      <c r="L19" s="195">
        <f>'Efforts with Complexity'!M142</f>
        <v>24.895312499999999</v>
      </c>
      <c r="M19" s="198">
        <f>'Efforts with Complexity'!N142</f>
        <v>6685.0687500000004</v>
      </c>
    </row>
    <row r="20" spans="1:13" ht="15.75" thickBot="1">
      <c r="A20" s="110" t="s">
        <v>124</v>
      </c>
      <c r="B20" s="190" t="s">
        <v>6</v>
      </c>
      <c r="C20" s="195">
        <f>'Efforts with Complexity'!D150</f>
        <v>17.400000000000002</v>
      </c>
      <c r="D20" s="195">
        <f>'Efforts with Complexity'!E150</f>
        <v>2.1750000000000003</v>
      </c>
      <c r="E20" s="198">
        <f>'Efforts with Complexity'!F150</f>
        <v>611.25</v>
      </c>
      <c r="F20" s="191"/>
      <c r="G20" s="195">
        <f>'Efforts with Complexity'!H150</f>
        <v>26.4</v>
      </c>
      <c r="H20" s="195">
        <f>'Efforts with Complexity'!I150</f>
        <v>3.3</v>
      </c>
      <c r="I20" s="198">
        <f>'Efforts with Complexity'!J150</f>
        <v>926.7</v>
      </c>
      <c r="J20" s="123"/>
      <c r="K20" s="195">
        <f>'Efforts with Complexity'!L150</f>
        <v>31.5</v>
      </c>
      <c r="L20" s="195">
        <f>'Efforts with Complexity'!M150</f>
        <v>3.9375</v>
      </c>
      <c r="M20" s="198">
        <f>'Efforts with Complexity'!N150</f>
        <v>1107.1500000000001</v>
      </c>
    </row>
    <row r="21" spans="1:13" ht="30.75" thickBot="1">
      <c r="A21" s="200" t="s">
        <v>126</v>
      </c>
      <c r="B21" s="111" t="s">
        <v>6</v>
      </c>
      <c r="C21" s="201">
        <f>SUM(C13:C20)</f>
        <v>2509.9</v>
      </c>
      <c r="D21" s="201">
        <f t="shared" ref="D21" si="12">SUM(D14:D20)</f>
        <v>308.3</v>
      </c>
      <c r="E21" s="201">
        <f>SUM(E13:E20)</f>
        <v>76545.2</v>
      </c>
      <c r="F21" s="124"/>
      <c r="G21" s="201">
        <f>SUM(G13:G20)</f>
        <v>3830.9870370370377</v>
      </c>
      <c r="H21" s="201">
        <f t="shared" ref="H21" si="13">SUM(H14:H20)</f>
        <v>473.36875000000003</v>
      </c>
      <c r="I21" s="201">
        <f>SUM(I13:I20)</f>
        <v>117120.43472222221</v>
      </c>
      <c r="J21" s="124"/>
      <c r="K21" s="201">
        <f>SUM(K13:K20)</f>
        <v>4805.2921296296299</v>
      </c>
      <c r="L21" s="201">
        <f t="shared" ref="L21" si="14">SUM(L14:L20)</f>
        <v>594.08281250000005</v>
      </c>
      <c r="M21" s="201">
        <f>SUM(M13:M20)</f>
        <v>146831.12152777778</v>
      </c>
    </row>
    <row r="22" spans="1:13" ht="30.75" thickBot="1">
      <c r="A22" s="202" t="s">
        <v>127</v>
      </c>
      <c r="B22" s="202" t="s">
        <v>6</v>
      </c>
      <c r="C22" s="204">
        <f>C21-C20-C19</f>
        <v>2392.3000000000002</v>
      </c>
      <c r="D22" s="204">
        <f t="shared" ref="D22:E22" si="15">D21-D20-D19</f>
        <v>293.60000000000002</v>
      </c>
      <c r="E22" s="204">
        <f t="shared" si="15"/>
        <v>72569.3</v>
      </c>
      <c r="F22" s="203"/>
      <c r="G22" s="204">
        <f>G21-G20-G19</f>
        <v>3646.0370370370374</v>
      </c>
      <c r="H22" s="204">
        <f t="shared" ref="H22" si="16">H21-H20-H19</f>
        <v>450.25</v>
      </c>
      <c r="I22" s="204">
        <f t="shared" ref="I22" si="17">I21-I20-I19</f>
        <v>110866.97222222222</v>
      </c>
      <c r="J22" s="203"/>
      <c r="K22" s="204">
        <f>K21-K20-K19</f>
        <v>4574.6296296296296</v>
      </c>
      <c r="L22" s="204">
        <f t="shared" ref="L22" si="18">L21-L20-L19</f>
        <v>565.25</v>
      </c>
      <c r="M22" s="204">
        <f t="shared" ref="M22" si="19">M21-M20-M19</f>
        <v>139038.90277777778</v>
      </c>
    </row>
    <row r="23" spans="1:13" ht="60.75" thickBot="1">
      <c r="A23" s="207" t="s">
        <v>128</v>
      </c>
      <c r="B23" s="205" t="s">
        <v>6</v>
      </c>
      <c r="C23" s="206">
        <f>C21-C20-C19-C17-C16</f>
        <v>1780.3000000000004</v>
      </c>
      <c r="D23" s="206">
        <f t="shared" ref="D23:E24" si="20">D21-D20-D19-D17-D16</f>
        <v>217.10000000000005</v>
      </c>
      <c r="E23" s="206">
        <f t="shared" si="20"/>
        <v>54016.100000000006</v>
      </c>
      <c r="F23" s="203"/>
      <c r="G23" s="206">
        <f t="shared" ref="G23:I23" si="21">G21-G20-G19-G17-G16</f>
        <v>2792.2370370370372</v>
      </c>
      <c r="H23" s="206">
        <f t="shared" si="21"/>
        <v>343.52499999999998</v>
      </c>
      <c r="I23" s="206">
        <f t="shared" si="21"/>
        <v>84686.272222222222</v>
      </c>
      <c r="J23" s="203"/>
      <c r="K23" s="206">
        <f t="shared" ref="K23:M23" si="22">K21-K20-K19-K17-K16</f>
        <v>3504.7796296296297</v>
      </c>
      <c r="L23" s="206">
        <f t="shared" si="22"/>
        <v>431.51875000000001</v>
      </c>
      <c r="M23" s="206">
        <f t="shared" si="22"/>
        <v>106242.05277777778</v>
      </c>
    </row>
    <row r="24" spans="1:13" ht="45.75" thickBot="1">
      <c r="A24" s="207" t="s">
        <v>142</v>
      </c>
      <c r="B24" s="205" t="s">
        <v>6</v>
      </c>
      <c r="C24" s="206">
        <f>C21-C20-C19-C17-C16-C18</f>
        <v>1379.5000000000005</v>
      </c>
      <c r="D24" s="206">
        <f t="shared" si="20"/>
        <v>-100.37499999999999</v>
      </c>
      <c r="E24" s="206">
        <f>E21-E20-E19-E17-E16-E18</f>
        <v>40557.500000000007</v>
      </c>
      <c r="F24" s="203"/>
      <c r="G24" s="206">
        <f t="shared" ref="G24:I24" si="23">G21-G20-G19-G17-G16-G18</f>
        <v>2158.0370370370374</v>
      </c>
      <c r="H24" s="206">
        <f t="shared" si="23"/>
        <v>264.25</v>
      </c>
      <c r="I24" s="206">
        <f t="shared" si="23"/>
        <v>63379.222222222219</v>
      </c>
      <c r="J24" s="203"/>
      <c r="K24" s="206">
        <f t="shared" ref="K24:M24" si="24">K21-K20-K19-K17-K16-K18</f>
        <v>2708.1296296296296</v>
      </c>
      <c r="L24" s="206">
        <f t="shared" si="24"/>
        <v>331.9375</v>
      </c>
      <c r="M24" s="206">
        <f t="shared" si="24"/>
        <v>79501.777777777781</v>
      </c>
    </row>
  </sheetData>
  <mergeCells count="9">
    <mergeCell ref="G1:I1"/>
    <mergeCell ref="K1:M1"/>
    <mergeCell ref="C1:E1"/>
    <mergeCell ref="A11:A12"/>
    <mergeCell ref="A3:A4"/>
    <mergeCell ref="A1:B1"/>
    <mergeCell ref="A7:A8"/>
    <mergeCell ref="A9:A10"/>
    <mergeCell ref="A5: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topLeftCell="A19" workbookViewId="0">
      <selection activeCell="B36" sqref="B36"/>
    </sheetView>
  </sheetViews>
  <sheetFormatPr defaultRowHeight="15"/>
  <cols>
    <col min="2" max="2" width="16.28515625" customWidth="1"/>
    <col min="3" max="3" width="13.7109375" bestFit="1" customWidth="1"/>
    <col min="5" max="5" width="11.85546875" customWidth="1"/>
    <col min="7" max="7" width="11.85546875" customWidth="1"/>
  </cols>
  <sheetData>
    <row r="1" spans="1:9" ht="15.75" thickBot="1">
      <c r="A1" s="303" t="s">
        <v>137</v>
      </c>
      <c r="B1" s="298" t="s">
        <v>0</v>
      </c>
      <c r="C1" s="298" t="s">
        <v>1</v>
      </c>
      <c r="D1" s="295" t="s">
        <v>20</v>
      </c>
      <c r="E1" s="296"/>
      <c r="F1" s="295" t="s">
        <v>70</v>
      </c>
      <c r="G1" s="296"/>
      <c r="H1" s="297" t="s">
        <v>71</v>
      </c>
      <c r="I1" s="296"/>
    </row>
    <row r="2" spans="1:9" ht="15.75" thickBot="1">
      <c r="A2" s="304"/>
      <c r="B2" s="299"/>
      <c r="C2" s="299"/>
      <c r="D2" s="273" t="s">
        <v>74</v>
      </c>
      <c r="E2" s="274" t="s">
        <v>9</v>
      </c>
      <c r="F2" s="273" t="s">
        <v>74</v>
      </c>
      <c r="G2" s="274" t="s">
        <v>9</v>
      </c>
      <c r="H2" s="272" t="s">
        <v>74</v>
      </c>
      <c r="I2" s="274" t="s">
        <v>9</v>
      </c>
    </row>
    <row r="3" spans="1:9" ht="15" customHeight="1">
      <c r="A3" s="305" t="s">
        <v>135</v>
      </c>
      <c r="B3" s="292" t="s">
        <v>139</v>
      </c>
      <c r="C3" s="260" t="str">
        <f>'Efforts with Complexity'!C28</f>
        <v>Statistician</v>
      </c>
      <c r="D3" s="267">
        <f>'Efforts with Complexity'!D28</f>
        <v>65</v>
      </c>
      <c r="E3" s="252">
        <f>'Efforts with Complexity'!F28</f>
        <v>1950</v>
      </c>
      <c r="F3" s="267">
        <f>'Efforts with Complexity'!H28</f>
        <v>99</v>
      </c>
      <c r="G3" s="252">
        <f>'Efforts with Complexity'!J28</f>
        <v>2970</v>
      </c>
      <c r="H3" s="257">
        <f>'Efforts with Complexity'!L28</f>
        <v>118</v>
      </c>
      <c r="I3" s="252">
        <f>'Efforts with Complexity'!N28</f>
        <v>3540</v>
      </c>
    </row>
    <row r="4" spans="1:9">
      <c r="A4" s="306"/>
      <c r="B4" s="293"/>
      <c r="C4" s="261" t="str">
        <f>'Efforts with Complexity'!C29</f>
        <v>Sr. Statistician</v>
      </c>
      <c r="D4" s="268">
        <f>'Efforts with Complexity'!D29</f>
        <v>12</v>
      </c>
      <c r="E4" s="253">
        <f>'Efforts with Complexity'!F29</f>
        <v>480</v>
      </c>
      <c r="F4" s="268">
        <f>'Efforts with Complexity'!H29</f>
        <v>18</v>
      </c>
      <c r="G4" s="253">
        <f>'Efforts with Complexity'!J29</f>
        <v>720</v>
      </c>
      <c r="H4" s="258">
        <f>'Efforts with Complexity'!L29</f>
        <v>22</v>
      </c>
      <c r="I4" s="253">
        <f>'Efforts with Complexity'!N29</f>
        <v>880</v>
      </c>
    </row>
    <row r="5" spans="1:9">
      <c r="A5" s="306"/>
      <c r="B5" s="293"/>
      <c r="C5" s="261" t="str">
        <f>'Efforts with Complexity'!C30</f>
        <v>Stats. Prog.</v>
      </c>
      <c r="D5" s="268">
        <f>'Efforts with Complexity'!D30</f>
        <v>25</v>
      </c>
      <c r="E5" s="253">
        <f>'Efforts with Complexity'!F30</f>
        <v>625</v>
      </c>
      <c r="F5" s="268">
        <f>'Efforts with Complexity'!H30</f>
        <v>38</v>
      </c>
      <c r="G5" s="253">
        <f>'Efforts with Complexity'!J30</f>
        <v>950</v>
      </c>
      <c r="H5" s="258">
        <f>'Efforts with Complexity'!L30</f>
        <v>45</v>
      </c>
      <c r="I5" s="253">
        <f>'Efforts with Complexity'!N30</f>
        <v>1125</v>
      </c>
    </row>
    <row r="6" spans="1:9" ht="15.75" thickBot="1">
      <c r="A6" s="306"/>
      <c r="B6" s="293"/>
      <c r="C6" s="263" t="str">
        <f>'Efforts with Complexity'!C31</f>
        <v>Sr. Stats. Prog.</v>
      </c>
      <c r="D6" s="269">
        <f>'Efforts with Complexity'!D31</f>
        <v>14</v>
      </c>
      <c r="E6" s="265">
        <f>'Efforts with Complexity'!F31</f>
        <v>462</v>
      </c>
      <c r="F6" s="269">
        <f>'Efforts with Complexity'!H31</f>
        <v>21</v>
      </c>
      <c r="G6" s="265">
        <f>'Efforts with Complexity'!J31</f>
        <v>693</v>
      </c>
      <c r="H6" s="264">
        <f>'Efforts with Complexity'!L31</f>
        <v>25</v>
      </c>
      <c r="I6" s="265">
        <f>'Efforts with Complexity'!N31</f>
        <v>825</v>
      </c>
    </row>
    <row r="7" spans="1:9" ht="15.75" thickBot="1">
      <c r="A7" s="306"/>
      <c r="B7" s="294"/>
      <c r="C7" s="262" t="s">
        <v>6</v>
      </c>
      <c r="D7" s="270">
        <f>'Efforts with Complexity'!D32</f>
        <v>116</v>
      </c>
      <c r="E7" s="254">
        <f>'Efforts with Complexity'!F32</f>
        <v>3517</v>
      </c>
      <c r="F7" s="270">
        <f>'Efforts with Complexity'!H32</f>
        <v>176</v>
      </c>
      <c r="G7" s="254">
        <f>'Efforts with Complexity'!J32</f>
        <v>5333</v>
      </c>
      <c r="H7" s="266">
        <f>'Efforts with Complexity'!L32</f>
        <v>210</v>
      </c>
      <c r="I7" s="254">
        <f>'Efforts with Complexity'!N32</f>
        <v>6370</v>
      </c>
    </row>
    <row r="8" spans="1:9" ht="15" customHeight="1">
      <c r="A8" s="306"/>
      <c r="B8" s="289" t="s">
        <v>138</v>
      </c>
      <c r="C8" s="260" t="str">
        <f>'Efforts with Complexity'!C114</f>
        <v>Statistician</v>
      </c>
      <c r="D8" s="267">
        <f>'Efforts with Complexity'!D114</f>
        <v>23.5</v>
      </c>
      <c r="E8" s="252">
        <f>'Efforts with Complexity'!F114</f>
        <v>705</v>
      </c>
      <c r="F8" s="267">
        <f>'Efforts with Complexity'!H114</f>
        <v>36.5</v>
      </c>
      <c r="G8" s="252">
        <f>'Efforts with Complexity'!J114</f>
        <v>1095</v>
      </c>
      <c r="H8" s="257">
        <f>'Efforts with Complexity'!L114</f>
        <v>47</v>
      </c>
      <c r="I8" s="252">
        <f>'Efforts with Complexity'!N114</f>
        <v>1410</v>
      </c>
    </row>
    <row r="9" spans="1:9">
      <c r="A9" s="306"/>
      <c r="B9" s="290"/>
      <c r="C9" s="261" t="str">
        <f>'Efforts with Complexity'!C115</f>
        <v>Sr. Statistician</v>
      </c>
      <c r="D9" s="268">
        <f>'Efforts with Complexity'!D115</f>
        <v>9.75</v>
      </c>
      <c r="E9" s="253">
        <f>'Efforts with Complexity'!F115</f>
        <v>390</v>
      </c>
      <c r="F9" s="268">
        <f>'Efforts with Complexity'!H115</f>
        <v>15.25</v>
      </c>
      <c r="G9" s="253">
        <f>'Efforts with Complexity'!J115</f>
        <v>610</v>
      </c>
      <c r="H9" s="258">
        <f>'Efforts with Complexity'!L115</f>
        <v>19.5</v>
      </c>
      <c r="I9" s="253">
        <f>'Efforts with Complexity'!N115</f>
        <v>780</v>
      </c>
    </row>
    <row r="10" spans="1:9">
      <c r="A10" s="306"/>
      <c r="B10" s="290"/>
      <c r="C10" s="261" t="str">
        <f>'Efforts with Complexity'!C116</f>
        <v>Stats. Prog.</v>
      </c>
      <c r="D10" s="268">
        <f>'Efforts with Complexity'!D116</f>
        <v>72</v>
      </c>
      <c r="E10" s="253">
        <f>'Efforts with Complexity'!F116</f>
        <v>1800</v>
      </c>
      <c r="F10" s="268">
        <f>'Efforts with Complexity'!H116</f>
        <v>114</v>
      </c>
      <c r="G10" s="253">
        <f>'Efforts with Complexity'!J116</f>
        <v>2850</v>
      </c>
      <c r="H10" s="258">
        <f>'Efforts with Complexity'!L116</f>
        <v>144</v>
      </c>
      <c r="I10" s="253">
        <f>'Efforts with Complexity'!N116</f>
        <v>3600</v>
      </c>
    </row>
    <row r="11" spans="1:9" ht="15.75" thickBot="1">
      <c r="A11" s="306"/>
      <c r="B11" s="290"/>
      <c r="C11" s="263" t="str">
        <f>'Efforts with Complexity'!C117</f>
        <v>Sr. Stats. Prog.</v>
      </c>
      <c r="D11" s="269">
        <f>'Efforts with Complexity'!D117</f>
        <v>78</v>
      </c>
      <c r="E11" s="265">
        <f>'Efforts with Complexity'!F117</f>
        <v>2574</v>
      </c>
      <c r="F11" s="269">
        <f>'Efforts with Complexity'!H117</f>
        <v>126</v>
      </c>
      <c r="G11" s="265">
        <f>'Efforts with Complexity'!J117</f>
        <v>4158</v>
      </c>
      <c r="H11" s="264">
        <f>'Efforts with Complexity'!L117</f>
        <v>156</v>
      </c>
      <c r="I11" s="265">
        <f>'Efforts with Complexity'!N117</f>
        <v>5148</v>
      </c>
    </row>
    <row r="12" spans="1:9" ht="15.75" thickBot="1">
      <c r="A12" s="306"/>
      <c r="B12" s="291"/>
      <c r="C12" s="262" t="str">
        <f>'Efforts with Complexity'!C118</f>
        <v>Total</v>
      </c>
      <c r="D12" s="270">
        <f>'Efforts with Complexity'!D118</f>
        <v>183.25</v>
      </c>
      <c r="E12" s="254">
        <f>'Efforts with Complexity'!F118</f>
        <v>5469</v>
      </c>
      <c r="F12" s="270">
        <f>'Efforts with Complexity'!H118</f>
        <v>291.75</v>
      </c>
      <c r="G12" s="254">
        <f>'Efforts with Complexity'!J118</f>
        <v>8713</v>
      </c>
      <c r="H12" s="266">
        <f>'Efforts with Complexity'!L118</f>
        <v>366.5</v>
      </c>
      <c r="I12" s="254">
        <f>'Efforts with Complexity'!N118</f>
        <v>10938</v>
      </c>
    </row>
    <row r="13" spans="1:9" ht="15" customHeight="1">
      <c r="A13" s="306"/>
      <c r="B13" s="289" t="s">
        <v>141</v>
      </c>
      <c r="C13" s="260" t="str">
        <f>'Efforts with Complexity'!C37</f>
        <v>Statistician</v>
      </c>
      <c r="D13" s="267">
        <f>SUM('Efforts with Complexity'!D37,'Efforts with Complexity'!D45)-D8</f>
        <v>70.5</v>
      </c>
      <c r="E13" s="252">
        <f>SUM('Efforts with Complexity'!F37,'Efforts with Complexity'!F45)-E8</f>
        <v>2115</v>
      </c>
      <c r="F13" s="267">
        <f>SUM('Efforts with Complexity'!H37,'Efforts with Complexity'!H45)-F8</f>
        <v>109.5</v>
      </c>
      <c r="G13" s="252">
        <f>SUM('Efforts with Complexity'!J37,'Efforts with Complexity'!J45)-G8</f>
        <v>3285</v>
      </c>
      <c r="H13" s="257">
        <f>SUM('Efforts with Complexity'!L37,'Efforts with Complexity'!L45)-H8</f>
        <v>141</v>
      </c>
      <c r="I13" s="252">
        <f>SUM('Efforts with Complexity'!N37,'Efforts with Complexity'!N45)-I8</f>
        <v>4230</v>
      </c>
    </row>
    <row r="14" spans="1:9">
      <c r="A14" s="306"/>
      <c r="B14" s="290"/>
      <c r="C14" s="261" t="str">
        <f>'Efforts with Complexity'!C38</f>
        <v>Sr. Statistician</v>
      </c>
      <c r="D14" s="268">
        <f>SUM('Efforts with Complexity'!D38,'Efforts with Complexity'!D46)-D9</f>
        <v>29.25</v>
      </c>
      <c r="E14" s="253">
        <f>SUM('Efforts with Complexity'!F38,'Efforts with Complexity'!F46)-E9</f>
        <v>1170</v>
      </c>
      <c r="F14" s="268">
        <f>SUM('Efforts with Complexity'!H38,'Efforts with Complexity'!H46)-F9</f>
        <v>45.75</v>
      </c>
      <c r="G14" s="253">
        <f>SUM('Efforts with Complexity'!J38,'Efforts with Complexity'!J46)-G9</f>
        <v>1830</v>
      </c>
      <c r="H14" s="258">
        <f>SUM('Efforts with Complexity'!L38,'Efforts with Complexity'!L46)-H9</f>
        <v>58.5</v>
      </c>
      <c r="I14" s="253">
        <f>SUM('Efforts with Complexity'!N38,'Efforts with Complexity'!N46)-I9</f>
        <v>2340</v>
      </c>
    </row>
    <row r="15" spans="1:9">
      <c r="A15" s="306"/>
      <c r="B15" s="290"/>
      <c r="C15" s="261" t="str">
        <f>'Efforts with Complexity'!C39</f>
        <v>Stats. Prog.</v>
      </c>
      <c r="D15" s="268">
        <f>SUM('Efforts with Complexity'!D39,'Efforts with Complexity'!D47)-D10</f>
        <v>168</v>
      </c>
      <c r="E15" s="253">
        <f>SUM('Efforts with Complexity'!F39,'Efforts with Complexity'!F47)-E10</f>
        <v>4200</v>
      </c>
      <c r="F15" s="268">
        <f>SUM('Efforts with Complexity'!H39,'Efforts with Complexity'!H47)-F10</f>
        <v>266</v>
      </c>
      <c r="G15" s="253">
        <f>SUM('Efforts with Complexity'!J39,'Efforts with Complexity'!J47)-G10</f>
        <v>6650</v>
      </c>
      <c r="H15" s="258">
        <f>SUM('Efforts with Complexity'!L39,'Efforts with Complexity'!L47)-H10</f>
        <v>336</v>
      </c>
      <c r="I15" s="253">
        <f>SUM('Efforts with Complexity'!N39,'Efforts with Complexity'!N47)-I10</f>
        <v>8400</v>
      </c>
    </row>
    <row r="16" spans="1:9" ht="15.75" thickBot="1">
      <c r="A16" s="306"/>
      <c r="B16" s="290"/>
      <c r="C16" s="263" t="str">
        <f>'Efforts with Complexity'!C40</f>
        <v>Sr. Stats. Prog.</v>
      </c>
      <c r="D16" s="269">
        <f>SUM('Efforts with Complexity'!D40,'Efforts with Complexity'!D48)-D11</f>
        <v>182</v>
      </c>
      <c r="E16" s="265">
        <f>SUM('Efforts with Complexity'!F40,'Efforts with Complexity'!F48)-E11</f>
        <v>6006</v>
      </c>
      <c r="F16" s="269">
        <f>SUM('Efforts with Complexity'!H40,'Efforts with Complexity'!H48)-F11</f>
        <v>294</v>
      </c>
      <c r="G16" s="265">
        <f>SUM('Efforts with Complexity'!J40,'Efforts with Complexity'!J48)-G11</f>
        <v>9702</v>
      </c>
      <c r="H16" s="264">
        <f>SUM('Efforts with Complexity'!L40,'Efforts with Complexity'!L48)-H11</f>
        <v>364</v>
      </c>
      <c r="I16" s="265">
        <f>SUM('Efforts with Complexity'!N40,'Efforts with Complexity'!N48)-I11</f>
        <v>12012</v>
      </c>
    </row>
    <row r="17" spans="1:9" ht="15.75" thickBot="1">
      <c r="A17" s="306"/>
      <c r="B17" s="291"/>
      <c r="C17" s="262" t="str">
        <f>'Efforts with Complexity'!C41</f>
        <v>Total</v>
      </c>
      <c r="D17" s="270">
        <f>SUM('Efforts with Complexity'!D41,'Efforts with Complexity'!D49)-D12</f>
        <v>449.75</v>
      </c>
      <c r="E17" s="254">
        <f>SUM('Efforts with Complexity'!F41,'Efforts with Complexity'!F49)-E12</f>
        <v>13491</v>
      </c>
      <c r="F17" s="270">
        <f>SUM('Efforts with Complexity'!H41,'Efforts with Complexity'!H49)-F12</f>
        <v>715.25</v>
      </c>
      <c r="G17" s="254">
        <f>SUM('Efforts with Complexity'!J41,'Efforts with Complexity'!J49)-G12</f>
        <v>21467</v>
      </c>
      <c r="H17" s="266">
        <f>SUM('Efforts with Complexity'!L41,'Efforts with Complexity'!L49)-H12</f>
        <v>899.5</v>
      </c>
      <c r="I17" s="254">
        <f>SUM('Efforts with Complexity'!N41,'Efforts with Complexity'!N49)-I12</f>
        <v>26982</v>
      </c>
    </row>
    <row r="18" spans="1:9" ht="15" customHeight="1">
      <c r="A18" s="306"/>
      <c r="B18" s="289" t="s">
        <v>140</v>
      </c>
      <c r="C18" s="260" t="str">
        <f>'Efforts with Complexity'!C53</f>
        <v>Statistician</v>
      </c>
      <c r="D18" s="267">
        <f>SUM('Efforts with Complexity'!D53,'Efforts with Complexity'!D61)</f>
        <v>109</v>
      </c>
      <c r="E18" s="252">
        <f>SUM('Efforts with Complexity'!F53,'Efforts with Complexity'!F61)</f>
        <v>3270</v>
      </c>
      <c r="F18" s="267">
        <f>SUM('Efforts with Complexity'!H53,'Efforts with Complexity'!H61)</f>
        <v>170</v>
      </c>
      <c r="G18" s="252">
        <f>SUM('Efforts with Complexity'!J53,'Efforts with Complexity'!J61)</f>
        <v>5100</v>
      </c>
      <c r="H18" s="257">
        <f>SUM('Efforts with Complexity'!L53,'Efforts with Complexity'!L61)</f>
        <v>207.75</v>
      </c>
      <c r="I18" s="252">
        <f>SUM('Efforts with Complexity'!N53,'Efforts with Complexity'!N61)</f>
        <v>6232.5</v>
      </c>
    </row>
    <row r="19" spans="1:9">
      <c r="A19" s="306"/>
      <c r="B19" s="290"/>
      <c r="C19" s="261" t="str">
        <f>'Efforts with Complexity'!C54</f>
        <v>Sr. Statistician</v>
      </c>
      <c r="D19" s="268">
        <f>SUM('Efforts with Complexity'!D54,'Efforts with Complexity'!D62)</f>
        <v>31</v>
      </c>
      <c r="E19" s="253">
        <f>SUM('Efforts with Complexity'!F54,'Efforts with Complexity'!F62)</f>
        <v>1240</v>
      </c>
      <c r="F19" s="268">
        <f>SUM('Efforts with Complexity'!H54,'Efforts with Complexity'!H62)</f>
        <v>52</v>
      </c>
      <c r="G19" s="253">
        <f>SUM('Efforts with Complexity'!J54,'Efforts with Complexity'!J62)</f>
        <v>2080</v>
      </c>
      <c r="H19" s="258">
        <f>SUM('Efforts with Complexity'!L54,'Efforts with Complexity'!L62)</f>
        <v>71.25</v>
      </c>
      <c r="I19" s="253">
        <f>SUM('Efforts with Complexity'!N54,'Efforts with Complexity'!N62)</f>
        <v>2850</v>
      </c>
    </row>
    <row r="20" spans="1:9">
      <c r="A20" s="306"/>
      <c r="B20" s="290"/>
      <c r="C20" s="261" t="str">
        <f>'Efforts with Complexity'!C55</f>
        <v>Stats. Prog.</v>
      </c>
      <c r="D20" s="268">
        <f>SUM('Efforts with Complexity'!D55,'Efforts with Complexity'!D63)</f>
        <v>327</v>
      </c>
      <c r="E20" s="253">
        <f>SUM('Efforts with Complexity'!F55,'Efforts with Complexity'!F63)</f>
        <v>8175</v>
      </c>
      <c r="F20" s="268">
        <f>SUM('Efforts with Complexity'!H55,'Efforts with Complexity'!H63)</f>
        <v>520.5</v>
      </c>
      <c r="G20" s="253">
        <f>SUM('Efforts with Complexity'!J55,'Efforts with Complexity'!J63)</f>
        <v>13012.5</v>
      </c>
      <c r="H20" s="258">
        <f>SUM('Efforts with Complexity'!L55,'Efforts with Complexity'!L63)</f>
        <v>665.5</v>
      </c>
      <c r="I20" s="253">
        <f>SUM('Efforts with Complexity'!N55,'Efforts with Complexity'!N63)</f>
        <v>16637.5</v>
      </c>
    </row>
    <row r="21" spans="1:9" ht="15.75" thickBot="1">
      <c r="A21" s="306"/>
      <c r="B21" s="290"/>
      <c r="C21" s="263" t="str">
        <f>'Efforts with Complexity'!C56</f>
        <v>Sr. Stats. Prog.</v>
      </c>
      <c r="D21" s="269">
        <f>SUM('Efforts with Complexity'!D56,'Efforts with Complexity'!D64)</f>
        <v>120</v>
      </c>
      <c r="E21" s="265">
        <f>SUM('Efforts with Complexity'!F56,'Efforts with Complexity'!F64)</f>
        <v>3960</v>
      </c>
      <c r="F21" s="269">
        <f>SUM('Efforts with Complexity'!H56,'Efforts with Complexity'!H64)</f>
        <v>188.5</v>
      </c>
      <c r="G21" s="265">
        <f>SUM('Efforts with Complexity'!J56,'Efforts with Complexity'!J64)</f>
        <v>6220.5</v>
      </c>
      <c r="H21" s="264">
        <f>SUM('Efforts with Complexity'!L56,'Efforts with Complexity'!L64)</f>
        <v>235</v>
      </c>
      <c r="I21" s="265">
        <f>SUM('Efforts with Complexity'!N56,'Efforts with Complexity'!N64)</f>
        <v>7755</v>
      </c>
    </row>
    <row r="22" spans="1:9" ht="15.75" thickBot="1">
      <c r="A22" s="306"/>
      <c r="B22" s="291"/>
      <c r="C22" s="262" t="str">
        <f>'Efforts with Complexity'!C57</f>
        <v>Total</v>
      </c>
      <c r="D22" s="270">
        <f>SUM('Efforts with Complexity'!D57,'Efforts with Complexity'!D65)</f>
        <v>587</v>
      </c>
      <c r="E22" s="254">
        <f>SUM('Efforts with Complexity'!F57,'Efforts with Complexity'!F65)</f>
        <v>16645</v>
      </c>
      <c r="F22" s="270">
        <f>SUM('Efforts with Complexity'!H57,'Efforts with Complexity'!H65)</f>
        <v>931</v>
      </c>
      <c r="G22" s="254">
        <f>SUM('Efforts with Complexity'!J57,'Efforts with Complexity'!J65)</f>
        <v>26413</v>
      </c>
      <c r="H22" s="266">
        <f>SUM('Efforts with Complexity'!L57,'Efforts with Complexity'!L65)</f>
        <v>1179.5</v>
      </c>
      <c r="I22" s="254">
        <f>SUM('Efforts with Complexity'!N57,'Efforts with Complexity'!N65)</f>
        <v>33475</v>
      </c>
    </row>
    <row r="23" spans="1:9" ht="48.75" thickBot="1">
      <c r="A23" s="306"/>
      <c r="B23" s="255" t="s">
        <v>143</v>
      </c>
      <c r="C23" s="262" t="s">
        <v>6</v>
      </c>
      <c r="D23" s="271">
        <f>SUM(D22,D17,D12,D7,'Efforts with Complexity'!D108)</f>
        <v>1379.5</v>
      </c>
      <c r="E23" s="254">
        <f>SUM(E22,E17,E12,E7,'Efforts with Complexity'!F108)</f>
        <v>40557.5</v>
      </c>
      <c r="F23" s="271">
        <f>SUM(F22,F17,F12,F7,'Efforts with Complexity'!H108)</f>
        <v>2158.037037037037</v>
      </c>
      <c r="G23" s="254">
        <f>SUM(G22,G17,G12,G7,'Efforts with Complexity'!J108)</f>
        <v>63379.222222222219</v>
      </c>
      <c r="H23" s="259">
        <f>SUM(H22,H17,H12,H7,'Efforts with Complexity'!L108)</f>
        <v>2708.1296296296296</v>
      </c>
      <c r="I23" s="254">
        <f>SUM(I22,I17,I12,I7,'Efforts with Complexity'!N108)</f>
        <v>79501.777777777781</v>
      </c>
    </row>
    <row r="24" spans="1:9" ht="15" customHeight="1">
      <c r="A24" s="306"/>
      <c r="B24" s="289" t="s">
        <v>136</v>
      </c>
      <c r="C24" s="260" t="str">
        <f>'Efforts with Complexity'!C122</f>
        <v>Statistician</v>
      </c>
      <c r="D24" s="267">
        <f>'Efforts with Complexity'!D122</f>
        <v>53.6</v>
      </c>
      <c r="E24" s="252">
        <f>'Efforts with Complexity'!F122</f>
        <v>1876</v>
      </c>
      <c r="F24" s="267">
        <f>'Efforts with Complexity'!H122</f>
        <v>83</v>
      </c>
      <c r="G24" s="252">
        <f>'Efforts with Complexity'!J122</f>
        <v>2905</v>
      </c>
      <c r="H24" s="257">
        <f>'Efforts with Complexity'!L122</f>
        <v>102.75</v>
      </c>
      <c r="I24" s="252">
        <f>'Efforts with Complexity'!N122</f>
        <v>3596.25</v>
      </c>
    </row>
    <row r="25" spans="1:9">
      <c r="A25" s="306"/>
      <c r="B25" s="290"/>
      <c r="C25" s="261" t="str">
        <f>'Efforts with Complexity'!C123</f>
        <v>Sr. Statistician</v>
      </c>
      <c r="D25" s="268">
        <f>'Efforts with Complexity'!D123</f>
        <v>16.400000000000002</v>
      </c>
      <c r="E25" s="253">
        <f>'Efforts with Complexity'!F123</f>
        <v>787.2</v>
      </c>
      <c r="F25" s="268">
        <f>'Efforts with Complexity'!H123</f>
        <v>26.200000000000003</v>
      </c>
      <c r="G25" s="253">
        <f>'Efforts with Complexity'!J123</f>
        <v>1257.6000000000001</v>
      </c>
      <c r="H25" s="258">
        <f>'Efforts with Complexity'!L123</f>
        <v>34.25</v>
      </c>
      <c r="I25" s="253">
        <f>'Efforts with Complexity'!N123</f>
        <v>1644</v>
      </c>
    </row>
    <row r="26" spans="1:9">
      <c r="A26" s="306"/>
      <c r="B26" s="290"/>
      <c r="C26" s="261" t="str">
        <f>'Efforts with Complexity'!C124</f>
        <v>Stats. Prog.</v>
      </c>
      <c r="D26" s="268">
        <f>'Efforts with Complexity'!D124</f>
        <v>118.4</v>
      </c>
      <c r="E26" s="253">
        <f>'Efforts with Complexity'!F124</f>
        <v>3078.4</v>
      </c>
      <c r="F26" s="268">
        <f>'Efforts with Complexity'!H124</f>
        <v>187.70000000000002</v>
      </c>
      <c r="G26" s="253">
        <f>'Efforts with Complexity'!J124</f>
        <v>4880.2000000000007</v>
      </c>
      <c r="H26" s="258">
        <f>'Efforts with Complexity'!L124</f>
        <v>238.10000000000002</v>
      </c>
      <c r="I26" s="253">
        <f>'Efforts with Complexity'!N124</f>
        <v>6190.6</v>
      </c>
    </row>
    <row r="27" spans="1:9" ht="15.75" thickBot="1">
      <c r="A27" s="306"/>
      <c r="B27" s="290"/>
      <c r="C27" s="263" t="str">
        <f>'Efforts with Complexity'!C125</f>
        <v>Sr. Stats. Prog.</v>
      </c>
      <c r="D27" s="269">
        <f>'Efforts with Complexity'!D125</f>
        <v>78.800000000000011</v>
      </c>
      <c r="E27" s="265">
        <f>'Efforts with Complexity'!F125</f>
        <v>3230.8000000000006</v>
      </c>
      <c r="F27" s="269">
        <f>'Efforts with Complexity'!H125</f>
        <v>125.9</v>
      </c>
      <c r="G27" s="265">
        <f>'Efforts with Complexity'!J125</f>
        <v>5161.9000000000005</v>
      </c>
      <c r="H27" s="264">
        <f>'Efforts with Complexity'!L125</f>
        <v>156</v>
      </c>
      <c r="I27" s="265">
        <f>'Efforts with Complexity'!N125</f>
        <v>6396</v>
      </c>
    </row>
    <row r="28" spans="1:9" ht="15.75" thickBot="1">
      <c r="A28" s="306"/>
      <c r="B28" s="291"/>
      <c r="C28" s="262" t="str">
        <f>'Efforts with Complexity'!C126</f>
        <v>Total</v>
      </c>
      <c r="D28" s="270">
        <f>'Efforts with Complexity'!D126</f>
        <v>267.20000000000005</v>
      </c>
      <c r="E28" s="254">
        <f>'Efforts with Complexity'!F126</f>
        <v>8972.4000000000015</v>
      </c>
      <c r="F28" s="270">
        <f>'Efforts with Complexity'!H126</f>
        <v>422.80000000000007</v>
      </c>
      <c r="G28" s="254">
        <f>'Efforts with Complexity'!J126</f>
        <v>14204.7</v>
      </c>
      <c r="H28" s="266">
        <f>'Efforts with Complexity'!L126</f>
        <v>531.1</v>
      </c>
      <c r="I28" s="254">
        <f>'Efforts with Complexity'!N126</f>
        <v>17826.849999999999</v>
      </c>
    </row>
    <row r="29" spans="1:9">
      <c r="A29" s="306"/>
      <c r="B29" s="300" t="s">
        <v>123</v>
      </c>
      <c r="C29" s="260" t="str">
        <f>'Efforts with Complexity'!C130</f>
        <v>Statistician</v>
      </c>
      <c r="D29" s="267">
        <f>'Efforts with Complexity'!D130</f>
        <v>80.399999999999991</v>
      </c>
      <c r="E29" s="252">
        <f>'Efforts with Complexity'!F130</f>
        <v>2813.9999999999995</v>
      </c>
      <c r="F29" s="267">
        <f>'Efforts with Complexity'!H130</f>
        <v>124.5</v>
      </c>
      <c r="G29" s="252">
        <f>'Efforts with Complexity'!J130</f>
        <v>4357.5</v>
      </c>
      <c r="H29" s="257">
        <f>'Efforts with Complexity'!L130</f>
        <v>154.125</v>
      </c>
      <c r="I29" s="252">
        <f>'Efforts with Complexity'!N130</f>
        <v>5394.375</v>
      </c>
    </row>
    <row r="30" spans="1:9">
      <c r="A30" s="306"/>
      <c r="B30" s="301"/>
      <c r="C30" s="261" t="str">
        <f>'Efforts with Complexity'!C131</f>
        <v>Sr. Statistician</v>
      </c>
      <c r="D30" s="268">
        <f>'Efforts with Complexity'!D131</f>
        <v>24.599999999999998</v>
      </c>
      <c r="E30" s="253">
        <f>'Efforts with Complexity'!F131</f>
        <v>1180.8</v>
      </c>
      <c r="F30" s="268">
        <f>'Efforts with Complexity'!H131</f>
        <v>39.299999999999997</v>
      </c>
      <c r="G30" s="253">
        <f>'Efforts with Complexity'!J131</f>
        <v>1886.3999999999999</v>
      </c>
      <c r="H30" s="258">
        <f>'Efforts with Complexity'!L131</f>
        <v>51.375</v>
      </c>
      <c r="I30" s="253">
        <f>'Efforts with Complexity'!N131</f>
        <v>2466</v>
      </c>
    </row>
    <row r="31" spans="1:9">
      <c r="A31" s="306"/>
      <c r="B31" s="301"/>
      <c r="C31" s="261" t="str">
        <f>'Efforts with Complexity'!C132</f>
        <v>Stats. Prog.</v>
      </c>
      <c r="D31" s="268">
        <f>'Efforts with Complexity'!D132</f>
        <v>177.6</v>
      </c>
      <c r="E31" s="253">
        <f>'Efforts with Complexity'!F132</f>
        <v>4617.5999999999995</v>
      </c>
      <c r="F31" s="268">
        <f>'Efforts with Complexity'!H132</f>
        <v>281.55</v>
      </c>
      <c r="G31" s="253">
        <f>'Efforts with Complexity'!J132</f>
        <v>7320.3</v>
      </c>
      <c r="H31" s="258">
        <f>'Efforts with Complexity'!L132</f>
        <v>357.15</v>
      </c>
      <c r="I31" s="253">
        <f>'Efforts with Complexity'!N132</f>
        <v>9285.9</v>
      </c>
    </row>
    <row r="32" spans="1:9" ht="15.75" thickBot="1">
      <c r="A32" s="306"/>
      <c r="B32" s="301"/>
      <c r="C32" s="263" t="str">
        <f>'Efforts with Complexity'!C133</f>
        <v>Sr. Stats. Prog.</v>
      </c>
      <c r="D32" s="269">
        <f>'Efforts with Complexity'!D133</f>
        <v>118.19999999999999</v>
      </c>
      <c r="E32" s="265">
        <f>'Efforts with Complexity'!F133</f>
        <v>4846.2</v>
      </c>
      <c r="F32" s="269">
        <f>'Efforts with Complexity'!H133</f>
        <v>188.85</v>
      </c>
      <c r="G32" s="265">
        <f>'Efforts with Complexity'!J133</f>
        <v>7742.8499999999995</v>
      </c>
      <c r="H32" s="264">
        <f>'Efforts with Complexity'!L133</f>
        <v>234</v>
      </c>
      <c r="I32" s="265">
        <f>'Efforts with Complexity'!N133</f>
        <v>9594</v>
      </c>
    </row>
    <row r="33" spans="1:9" ht="15.75" thickBot="1">
      <c r="A33" s="306"/>
      <c r="B33" s="302"/>
      <c r="C33" s="262" t="str">
        <f>'Efforts with Complexity'!C134</f>
        <v>Total</v>
      </c>
      <c r="D33" s="270">
        <f>'Efforts with Complexity'!D134</f>
        <v>400.79999999999995</v>
      </c>
      <c r="E33" s="254">
        <f>'Efforts with Complexity'!F134</f>
        <v>13458.599999999999</v>
      </c>
      <c r="F33" s="270">
        <f>'Efforts with Complexity'!H134</f>
        <v>634.20000000000005</v>
      </c>
      <c r="G33" s="254">
        <f>'Efforts with Complexity'!J134</f>
        <v>21307.05</v>
      </c>
      <c r="H33" s="266">
        <f>'Efforts with Complexity'!L134</f>
        <v>796.65</v>
      </c>
      <c r="I33" s="254">
        <f>'Efforts with Complexity'!N134</f>
        <v>26740.275000000001</v>
      </c>
    </row>
    <row r="34" spans="1:9" ht="48.75" thickBot="1">
      <c r="A34" s="307"/>
      <c r="B34" s="256" t="s">
        <v>144</v>
      </c>
      <c r="C34" s="262" t="s">
        <v>6</v>
      </c>
      <c r="D34" s="271">
        <f>D23+D28+D33</f>
        <v>2047.5</v>
      </c>
      <c r="E34" s="254">
        <f t="shared" ref="E34:I34" si="0">E23+E28+E33</f>
        <v>62988.5</v>
      </c>
      <c r="F34" s="271">
        <f t="shared" si="0"/>
        <v>3215.0370370370374</v>
      </c>
      <c r="G34" s="254">
        <f t="shared" si="0"/>
        <v>98890.972222222219</v>
      </c>
      <c r="H34" s="259">
        <f t="shared" si="0"/>
        <v>4035.8796296296296</v>
      </c>
      <c r="I34" s="254">
        <f t="shared" si="0"/>
        <v>124068.90277777778</v>
      </c>
    </row>
  </sheetData>
  <mergeCells count="13">
    <mergeCell ref="A1:A2"/>
    <mergeCell ref="B1:B2"/>
    <mergeCell ref="A3:A34"/>
    <mergeCell ref="H1:I1"/>
    <mergeCell ref="C1:C2"/>
    <mergeCell ref="D1:E1"/>
    <mergeCell ref="B24:B28"/>
    <mergeCell ref="B29:B33"/>
    <mergeCell ref="B8:B12"/>
    <mergeCell ref="B3:B7"/>
    <mergeCell ref="B18:B22"/>
    <mergeCell ref="B13:B17"/>
    <mergeCell ref="F1:G1"/>
  </mergeCells>
  <pageMargins left="0.7" right="0.7" top="0.75" bottom="0.75" header="0.3" footer="0.3"/>
  <ignoredErrors>
    <ignoredError sqref="G22 G2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T150"/>
  <sheetViews>
    <sheetView zoomScale="90" zoomScaleNormal="90" workbookViewId="0">
      <selection activeCell="F10" sqref="F10:F12"/>
    </sheetView>
  </sheetViews>
  <sheetFormatPr defaultRowHeight="15"/>
  <cols>
    <col min="1" max="1" width="21.42578125" style="180" customWidth="1"/>
    <col min="2" max="2" width="18.85546875" style="180" customWidth="1"/>
    <col min="3" max="3" width="13.7109375" bestFit="1" customWidth="1"/>
    <col min="4" max="4" width="14.5703125" bestFit="1" customWidth="1"/>
    <col min="5" max="5" width="13.5703125" customWidth="1"/>
    <col min="6" max="6" width="15" style="76" customWidth="1"/>
    <col min="7" max="7" width="19.140625" bestFit="1" customWidth="1"/>
    <col min="8" max="8" width="14.28515625" customWidth="1"/>
    <col min="9" max="9" width="13.5703125" bestFit="1" customWidth="1"/>
    <col min="10" max="10" width="13.42578125" style="76" customWidth="1"/>
    <col min="11" max="11" width="14.140625" customWidth="1"/>
    <col min="12" max="12" width="12.85546875" customWidth="1"/>
    <col min="13" max="13" width="15.42578125" bestFit="1" customWidth="1"/>
    <col min="14" max="14" width="11" style="76" bestFit="1" customWidth="1"/>
  </cols>
  <sheetData>
    <row r="1" spans="1:19">
      <c r="A1" s="210"/>
      <c r="B1" s="248"/>
      <c r="C1" s="60"/>
      <c r="D1" s="60"/>
      <c r="E1" s="60"/>
      <c r="F1" s="63"/>
      <c r="G1" s="60"/>
      <c r="H1" s="60"/>
      <c r="I1" s="60"/>
      <c r="J1" s="63"/>
      <c r="K1" s="60"/>
      <c r="L1" s="61"/>
      <c r="M1" s="61"/>
      <c r="N1" s="79"/>
    </row>
    <row r="2" spans="1:19">
      <c r="A2" s="211" t="s">
        <v>38</v>
      </c>
      <c r="B2" s="249" t="s">
        <v>39</v>
      </c>
      <c r="C2" s="61"/>
      <c r="D2" s="61"/>
      <c r="E2" s="61"/>
      <c r="F2" s="64"/>
      <c r="G2" s="61"/>
      <c r="H2" s="61"/>
      <c r="I2" s="61"/>
      <c r="J2" s="64"/>
      <c r="K2" s="61"/>
      <c r="L2" s="61"/>
      <c r="M2" s="61"/>
      <c r="N2" s="80"/>
    </row>
    <row r="3" spans="1:19">
      <c r="A3" s="211" t="s">
        <v>32</v>
      </c>
      <c r="B3" s="249" t="s">
        <v>41</v>
      </c>
      <c r="C3" s="61"/>
      <c r="D3" s="61"/>
      <c r="E3" s="61"/>
      <c r="F3" s="64"/>
      <c r="G3" s="61"/>
      <c r="H3" s="61"/>
      <c r="I3" s="61"/>
      <c r="J3" s="64"/>
      <c r="K3" s="61"/>
      <c r="L3" s="61"/>
      <c r="M3" s="61"/>
      <c r="N3" s="80"/>
    </row>
    <row r="4" spans="1:19">
      <c r="A4" s="211" t="s">
        <v>10</v>
      </c>
      <c r="B4" s="249" t="s">
        <v>40</v>
      </c>
      <c r="C4" s="61"/>
      <c r="D4" s="61"/>
      <c r="E4" s="61"/>
      <c r="F4" s="64"/>
      <c r="G4" s="61"/>
      <c r="H4" s="61"/>
      <c r="I4" s="61"/>
      <c r="J4" s="64"/>
      <c r="K4" s="61"/>
      <c r="L4" s="61"/>
      <c r="M4" s="61"/>
      <c r="N4" s="80"/>
    </row>
    <row r="5" spans="1:19">
      <c r="A5" s="211"/>
      <c r="B5" s="249"/>
      <c r="C5" s="61"/>
      <c r="D5" s="61"/>
      <c r="E5" s="61"/>
      <c r="F5" s="64"/>
      <c r="G5" s="61"/>
      <c r="H5" s="61"/>
      <c r="I5" s="61"/>
      <c r="J5" s="64"/>
      <c r="K5" s="61"/>
      <c r="L5" s="61"/>
      <c r="M5" s="61"/>
      <c r="N5" s="80"/>
    </row>
    <row r="6" spans="1:19" ht="15.75" thickBot="1">
      <c r="A6" s="212"/>
      <c r="B6" s="250"/>
      <c r="C6" s="62"/>
      <c r="D6" s="62"/>
      <c r="E6" s="62"/>
      <c r="F6" s="65"/>
      <c r="G6" s="62"/>
      <c r="H6" s="62"/>
      <c r="I6" s="62"/>
      <c r="J6" s="65"/>
      <c r="K6" s="62"/>
      <c r="L6" s="62"/>
      <c r="M6" s="62"/>
      <c r="N6" s="81"/>
    </row>
    <row r="7" spans="1:19">
      <c r="A7" s="320" t="s">
        <v>36</v>
      </c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2"/>
      <c r="M7" s="322"/>
      <c r="N7" s="323"/>
    </row>
    <row r="8" spans="1:19" ht="15.75" thickBot="1">
      <c r="A8" s="324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6"/>
    </row>
    <row r="9" spans="1:19" ht="15.75" thickBot="1">
      <c r="A9" s="213" t="s">
        <v>18</v>
      </c>
      <c r="B9" s="230"/>
      <c r="C9" s="38"/>
      <c r="D9" s="39"/>
      <c r="E9" s="39" t="s">
        <v>19</v>
      </c>
      <c r="F9" s="39" t="s">
        <v>115</v>
      </c>
      <c r="G9" s="17"/>
      <c r="H9" s="17"/>
      <c r="I9" s="17"/>
      <c r="J9" s="66"/>
      <c r="K9" s="17"/>
      <c r="L9" s="17"/>
      <c r="M9" s="17"/>
      <c r="N9" s="82"/>
    </row>
    <row r="10" spans="1:19" ht="15.75" thickBot="1">
      <c r="A10" s="12" t="s">
        <v>25</v>
      </c>
      <c r="B10" s="231"/>
      <c r="C10" s="13"/>
      <c r="D10" s="14"/>
      <c r="E10" s="333">
        <v>1</v>
      </c>
      <c r="F10" s="335">
        <v>1</v>
      </c>
      <c r="G10" s="17"/>
      <c r="H10" s="17"/>
      <c r="I10" s="17"/>
      <c r="J10" s="66"/>
      <c r="K10" s="17"/>
      <c r="L10" s="17"/>
      <c r="M10" s="17"/>
      <c r="N10" s="82"/>
    </row>
    <row r="11" spans="1:19" ht="15.75" thickBot="1">
      <c r="A11" s="15" t="s">
        <v>26</v>
      </c>
      <c r="B11" s="16"/>
      <c r="C11" s="10"/>
      <c r="D11" s="11"/>
      <c r="E11" s="334">
        <v>1</v>
      </c>
      <c r="F11" s="335">
        <v>1</v>
      </c>
      <c r="G11" s="49"/>
      <c r="H11" s="49"/>
      <c r="I11" s="49"/>
      <c r="J11" s="66"/>
      <c r="K11" s="17"/>
      <c r="L11" s="17"/>
      <c r="M11" s="17"/>
      <c r="N11" s="82"/>
    </row>
    <row r="12" spans="1:19" ht="15.75" thickBot="1">
      <c r="A12" s="15" t="s">
        <v>27</v>
      </c>
      <c r="B12" s="16"/>
      <c r="C12" s="10"/>
      <c r="D12" s="11"/>
      <c r="E12" s="334">
        <v>1</v>
      </c>
      <c r="F12" s="335">
        <v>1</v>
      </c>
      <c r="G12" s="49"/>
      <c r="H12" s="49"/>
      <c r="I12" s="49"/>
      <c r="J12" s="66"/>
      <c r="K12" s="17"/>
      <c r="L12" s="17"/>
      <c r="M12" s="17"/>
      <c r="N12" s="82"/>
    </row>
    <row r="13" spans="1:19" ht="15.75" thickBot="1">
      <c r="A13" s="15" t="s">
        <v>28</v>
      </c>
      <c r="B13" s="16"/>
      <c r="C13" s="10"/>
      <c r="D13" s="11"/>
      <c r="E13" s="18" t="s">
        <v>35</v>
      </c>
      <c r="F13" s="67"/>
      <c r="G13" s="49"/>
      <c r="H13" s="49"/>
      <c r="I13" s="49"/>
      <c r="J13" s="66"/>
      <c r="K13" s="17"/>
      <c r="L13" s="17"/>
      <c r="M13" s="17"/>
      <c r="N13" s="82"/>
    </row>
    <row r="14" spans="1:19" ht="15.75" thickBot="1">
      <c r="A14" s="214"/>
      <c r="B14" s="49"/>
      <c r="C14" s="17"/>
      <c r="D14" s="17"/>
      <c r="E14" s="44"/>
      <c r="F14" s="166"/>
      <c r="G14" s="44"/>
      <c r="H14" s="44"/>
      <c r="I14" s="44"/>
      <c r="J14" s="68"/>
      <c r="K14" s="167"/>
      <c r="L14" s="44"/>
      <c r="M14" s="44"/>
      <c r="N14" s="68"/>
      <c r="O14" s="44"/>
      <c r="P14" s="44"/>
      <c r="Q14" s="44"/>
    </row>
    <row r="15" spans="1:19" ht="15.75" thickBot="1">
      <c r="A15" s="215" t="s">
        <v>20</v>
      </c>
      <c r="B15" s="49"/>
      <c r="C15" s="17"/>
      <c r="D15" s="17"/>
      <c r="E15" s="44"/>
      <c r="F15" s="44"/>
      <c r="G15" s="35" t="s">
        <v>21</v>
      </c>
      <c r="H15" s="17"/>
      <c r="I15" s="17"/>
      <c r="J15" s="17"/>
      <c r="K15" s="44"/>
      <c r="L15" s="44"/>
      <c r="M15" s="35" t="s">
        <v>22</v>
      </c>
      <c r="N15" s="17"/>
      <c r="O15" s="17"/>
      <c r="P15" s="17"/>
      <c r="Q15" s="44"/>
      <c r="R15" s="44"/>
      <c r="S15" s="44"/>
    </row>
    <row r="16" spans="1:19" ht="15.75" thickBot="1">
      <c r="A16" s="215" t="s">
        <v>18</v>
      </c>
      <c r="B16" s="232" t="s">
        <v>19</v>
      </c>
      <c r="C16" s="36" t="s">
        <v>16</v>
      </c>
      <c r="D16" s="37" t="s">
        <v>17</v>
      </c>
      <c r="E16" s="37" t="s">
        <v>104</v>
      </c>
      <c r="F16" s="69"/>
      <c r="G16" s="35" t="s">
        <v>18</v>
      </c>
      <c r="H16" s="36" t="s">
        <v>19</v>
      </c>
      <c r="I16" s="36" t="s">
        <v>16</v>
      </c>
      <c r="J16" s="37" t="s">
        <v>17</v>
      </c>
      <c r="K16" s="37" t="s">
        <v>104</v>
      </c>
      <c r="L16" s="69"/>
      <c r="M16" s="35" t="s">
        <v>18</v>
      </c>
      <c r="N16" s="36" t="s">
        <v>19</v>
      </c>
      <c r="O16" s="36" t="s">
        <v>16</v>
      </c>
      <c r="P16" s="37" t="s">
        <v>17</v>
      </c>
      <c r="Q16" s="37" t="s">
        <v>104</v>
      </c>
      <c r="R16" s="19"/>
      <c r="S16" s="19"/>
    </row>
    <row r="17" spans="1:20">
      <c r="A17" s="216" t="s">
        <v>11</v>
      </c>
      <c r="B17" s="233">
        <v>20</v>
      </c>
      <c r="C17" s="155"/>
      <c r="D17" s="156"/>
      <c r="E17" s="156"/>
      <c r="F17" s="69"/>
      <c r="G17" s="179" t="s">
        <v>11</v>
      </c>
      <c r="H17" s="154">
        <v>30</v>
      </c>
      <c r="I17" s="155"/>
      <c r="J17" s="156"/>
      <c r="K17" s="156"/>
      <c r="L17" s="69"/>
      <c r="M17" s="179" t="s">
        <v>11</v>
      </c>
      <c r="N17" s="154">
        <v>40</v>
      </c>
      <c r="O17" s="155"/>
      <c r="P17" s="156"/>
      <c r="Q17" s="156"/>
      <c r="R17" s="19"/>
      <c r="S17" s="19"/>
    </row>
    <row r="18" spans="1:20">
      <c r="A18" s="217" t="s">
        <v>12</v>
      </c>
      <c r="B18" s="234">
        <v>15</v>
      </c>
      <c r="C18" s="21"/>
      <c r="D18" s="22"/>
      <c r="E18" s="22"/>
      <c r="F18" s="69"/>
      <c r="G18" s="175" t="s">
        <v>12</v>
      </c>
      <c r="H18" s="20">
        <v>25</v>
      </c>
      <c r="I18" s="21"/>
      <c r="J18" s="22"/>
      <c r="K18" s="22"/>
      <c r="L18" s="69"/>
      <c r="M18" s="175" t="s">
        <v>12</v>
      </c>
      <c r="N18" s="20">
        <v>30</v>
      </c>
      <c r="O18" s="21"/>
      <c r="P18" s="22"/>
      <c r="Q18" s="22"/>
      <c r="R18" s="19"/>
      <c r="S18" s="19"/>
    </row>
    <row r="19" spans="1:20">
      <c r="A19" s="217" t="s">
        <v>13</v>
      </c>
      <c r="B19" s="234">
        <f>outputs!C3</f>
        <v>60</v>
      </c>
      <c r="C19" s="21">
        <f>outputs!C5</f>
        <v>42</v>
      </c>
      <c r="D19" s="83">
        <f>outputs!C4</f>
        <v>18</v>
      </c>
      <c r="E19" s="22">
        <f>outputs!L3</f>
        <v>6</v>
      </c>
      <c r="F19" s="77"/>
      <c r="G19" s="175" t="s">
        <v>13</v>
      </c>
      <c r="H19" s="20">
        <f>outputs!C8</f>
        <v>90</v>
      </c>
      <c r="I19" s="20">
        <f>outputs!C10</f>
        <v>67</v>
      </c>
      <c r="J19" s="83">
        <f>outputs!C9</f>
        <v>23</v>
      </c>
      <c r="K19" s="22">
        <f>outputs!L8</f>
        <v>12</v>
      </c>
      <c r="L19" s="77"/>
      <c r="M19" s="175" t="s">
        <v>13</v>
      </c>
      <c r="N19" s="20">
        <f>outputs!C13</f>
        <v>105</v>
      </c>
      <c r="O19" s="20">
        <f>outputs!C15</f>
        <v>89</v>
      </c>
      <c r="P19" s="83">
        <f>outputs!C14</f>
        <v>16</v>
      </c>
      <c r="Q19" s="22">
        <f>outputs!L13</f>
        <v>18</v>
      </c>
      <c r="R19" s="19"/>
      <c r="S19" s="19"/>
      <c r="T19" s="19"/>
    </row>
    <row r="20" spans="1:20">
      <c r="A20" s="217" t="s">
        <v>14</v>
      </c>
      <c r="B20" s="234">
        <f>outputs!D3</f>
        <v>30</v>
      </c>
      <c r="C20" s="21">
        <f>outputs!D5</f>
        <v>21</v>
      </c>
      <c r="D20" s="21">
        <f>outputs!D4</f>
        <v>9</v>
      </c>
      <c r="E20" s="22">
        <f>outputs!M3</f>
        <v>3</v>
      </c>
      <c r="F20" s="69"/>
      <c r="G20" s="175" t="s">
        <v>14</v>
      </c>
      <c r="H20" s="20">
        <f>outputs!D8</f>
        <v>45</v>
      </c>
      <c r="I20" s="20">
        <f>outputs!D10</f>
        <v>34</v>
      </c>
      <c r="J20" s="21">
        <f>outputs!D9</f>
        <v>11</v>
      </c>
      <c r="K20" s="22">
        <f>outputs!M8</f>
        <v>6</v>
      </c>
      <c r="L20" s="69"/>
      <c r="M20" s="175" t="s">
        <v>14</v>
      </c>
      <c r="N20" s="20">
        <f>outputs!D13</f>
        <v>52.5</v>
      </c>
      <c r="O20" s="20">
        <f>outputs!D15</f>
        <v>44.5</v>
      </c>
      <c r="P20" s="21">
        <f>outputs!D14</f>
        <v>8</v>
      </c>
      <c r="Q20" s="22">
        <f>outputs!M13</f>
        <v>9</v>
      </c>
      <c r="R20" s="19"/>
      <c r="S20" s="19"/>
      <c r="T20" s="19"/>
    </row>
    <row r="21" spans="1:20" ht="15.75" thickBot="1">
      <c r="A21" s="218" t="s">
        <v>15</v>
      </c>
      <c r="B21" s="235">
        <f>outputs!E3</f>
        <v>10</v>
      </c>
      <c r="C21" s="24">
        <f>outputs!E5</f>
        <v>7</v>
      </c>
      <c r="D21" s="177">
        <f>outputs!E4</f>
        <v>3</v>
      </c>
      <c r="E21" s="178">
        <f>outputs!N2</f>
        <v>1</v>
      </c>
      <c r="F21" s="69"/>
      <c r="G21" s="176" t="s">
        <v>15</v>
      </c>
      <c r="H21" s="23">
        <f>outputs!E8</f>
        <v>15</v>
      </c>
      <c r="I21" s="23">
        <f>outputs!E10</f>
        <v>11</v>
      </c>
      <c r="J21" s="177">
        <f>outputs!E9</f>
        <v>4</v>
      </c>
      <c r="K21" s="178">
        <f>outputs!N8</f>
        <v>2</v>
      </c>
      <c r="L21" s="69"/>
      <c r="M21" s="176" t="s">
        <v>15</v>
      </c>
      <c r="N21" s="23">
        <f>outputs!E13</f>
        <v>17.5</v>
      </c>
      <c r="O21" s="23">
        <f>outputs!E15</f>
        <v>14.5</v>
      </c>
      <c r="P21" s="177">
        <f>outputs!E14</f>
        <v>3</v>
      </c>
      <c r="Q21" s="178">
        <f>outputs!N13</f>
        <v>3</v>
      </c>
      <c r="R21" s="19"/>
      <c r="S21" s="19"/>
      <c r="T21" s="19"/>
    </row>
    <row r="22" spans="1:20" ht="15.75" thickBot="1">
      <c r="A22" s="219"/>
      <c r="B22" s="236"/>
      <c r="C22" s="25"/>
      <c r="D22" s="19"/>
      <c r="E22" s="19"/>
      <c r="F22" s="69"/>
      <c r="G22" s="19"/>
      <c r="H22" s="19"/>
      <c r="I22" s="19"/>
      <c r="J22" s="69"/>
      <c r="K22" s="19"/>
      <c r="L22" s="19"/>
      <c r="M22" s="19"/>
      <c r="N22" s="69"/>
      <c r="O22" s="19"/>
      <c r="P22" s="19"/>
      <c r="Q22" s="19"/>
    </row>
    <row r="23" spans="1:20">
      <c r="A23" s="327" t="s">
        <v>31</v>
      </c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9"/>
    </row>
    <row r="24" spans="1:20" ht="15.75" thickBot="1">
      <c r="A24" s="330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2"/>
    </row>
    <row r="25" spans="1:20" ht="15.75" thickBot="1">
      <c r="A25" s="220"/>
      <c r="B25" s="237"/>
      <c r="C25" s="33"/>
      <c r="D25" s="33"/>
      <c r="E25" s="33"/>
      <c r="F25" s="70"/>
      <c r="G25" s="33"/>
      <c r="H25" s="33"/>
      <c r="I25" s="33"/>
      <c r="J25" s="70"/>
      <c r="K25" s="33"/>
      <c r="L25" s="33"/>
      <c r="M25" s="33"/>
      <c r="N25" s="84"/>
    </row>
    <row r="26" spans="1:20">
      <c r="A26" s="311" t="s">
        <v>0</v>
      </c>
      <c r="B26" s="313" t="s">
        <v>2</v>
      </c>
      <c r="C26" s="315" t="s">
        <v>1</v>
      </c>
      <c r="D26" s="308" t="s">
        <v>20</v>
      </c>
      <c r="E26" s="309"/>
      <c r="F26" s="310"/>
      <c r="G26" s="54"/>
      <c r="H26" s="308" t="s">
        <v>21</v>
      </c>
      <c r="I26" s="309"/>
      <c r="J26" s="310"/>
      <c r="K26" s="54"/>
      <c r="L26" s="308" t="s">
        <v>87</v>
      </c>
      <c r="M26" s="309"/>
      <c r="N26" s="310"/>
    </row>
    <row r="27" spans="1:20" ht="15.75" thickBot="1">
      <c r="A27" s="312"/>
      <c r="B27" s="314"/>
      <c r="C27" s="316"/>
      <c r="D27" s="26" t="s">
        <v>23</v>
      </c>
      <c r="E27" s="27" t="s">
        <v>24</v>
      </c>
      <c r="F27" s="71" t="s">
        <v>9</v>
      </c>
      <c r="G27" s="51"/>
      <c r="H27" s="26" t="s">
        <v>23</v>
      </c>
      <c r="I27" s="27" t="s">
        <v>24</v>
      </c>
      <c r="J27" s="71" t="s">
        <v>9</v>
      </c>
      <c r="K27" s="51"/>
      <c r="L27" s="26" t="s">
        <v>23</v>
      </c>
      <c r="M27" s="27" t="s">
        <v>24</v>
      </c>
      <c r="N27" s="71" t="s">
        <v>9</v>
      </c>
    </row>
    <row r="28" spans="1:20" ht="15.75" thickBot="1">
      <c r="A28" s="221" t="s">
        <v>37</v>
      </c>
      <c r="B28" s="238" t="s">
        <v>38</v>
      </c>
      <c r="C28" s="30" t="s">
        <v>3</v>
      </c>
      <c r="D28" s="58">
        <f>SUM(low!F4,low!F10)</f>
        <v>65</v>
      </c>
      <c r="E28" s="59">
        <f>D28/8</f>
        <v>8.125</v>
      </c>
      <c r="F28" s="72">
        <f>D28*Rate!$B$2</f>
        <v>1950</v>
      </c>
      <c r="G28" s="52"/>
      <c r="H28" s="58">
        <f>SUM(Medium!F4,Medium!F10)</f>
        <v>99</v>
      </c>
      <c r="I28" s="59">
        <f>H28/8</f>
        <v>12.375</v>
      </c>
      <c r="J28" s="72">
        <f>H28*[1]Rate!$B$2</f>
        <v>2970</v>
      </c>
      <c r="K28" s="52"/>
      <c r="L28" s="58">
        <f>SUM(High!F4,High!F10)</f>
        <v>118</v>
      </c>
      <c r="M28" s="59">
        <f>L28/8</f>
        <v>14.75</v>
      </c>
      <c r="N28" s="72">
        <f>L28*[2]Rate!$B$2</f>
        <v>3540</v>
      </c>
    </row>
    <row r="29" spans="1:20" ht="15.75" thickBot="1">
      <c r="A29" s="221" t="s">
        <v>37</v>
      </c>
      <c r="B29" s="238" t="s">
        <v>38</v>
      </c>
      <c r="C29" s="4" t="s">
        <v>7</v>
      </c>
      <c r="D29" s="58">
        <f>SUM(low!F5,low!F11)</f>
        <v>12</v>
      </c>
      <c r="E29" s="59">
        <f t="shared" ref="E29:E31" si="0">D29/8</f>
        <v>1.5</v>
      </c>
      <c r="F29" s="72">
        <f>D29*Rate!$B$3</f>
        <v>480</v>
      </c>
      <c r="G29" s="52"/>
      <c r="H29" s="58">
        <f>SUM(Medium!F5,Medium!F11)</f>
        <v>18</v>
      </c>
      <c r="I29" s="59">
        <f t="shared" ref="I29:I31" si="1">H29/8</f>
        <v>2.25</v>
      </c>
      <c r="J29" s="72">
        <f>H29*[1]Rate!$B$3</f>
        <v>720</v>
      </c>
      <c r="K29" s="52"/>
      <c r="L29" s="58">
        <f>SUM(High!F5,High!F11)</f>
        <v>22</v>
      </c>
      <c r="M29" s="59">
        <f t="shared" ref="M29:M31" si="2">L29/8</f>
        <v>2.75</v>
      </c>
      <c r="N29" s="72">
        <f>L29*[2]Rate!$B$3</f>
        <v>880</v>
      </c>
    </row>
    <row r="30" spans="1:20" ht="15.75" thickBot="1">
      <c r="A30" s="221" t="s">
        <v>37</v>
      </c>
      <c r="B30" s="238" t="s">
        <v>38</v>
      </c>
      <c r="C30" s="4" t="s">
        <v>5</v>
      </c>
      <c r="D30" s="58">
        <f>SUM(low!F6,low!F12)</f>
        <v>25</v>
      </c>
      <c r="E30" s="59">
        <f t="shared" si="0"/>
        <v>3.125</v>
      </c>
      <c r="F30" s="72">
        <f>D30*Rate!$B$4</f>
        <v>625</v>
      </c>
      <c r="G30" s="52"/>
      <c r="H30" s="58">
        <f>SUM(Medium!F6,Medium!F12)</f>
        <v>38</v>
      </c>
      <c r="I30" s="59">
        <f t="shared" si="1"/>
        <v>4.75</v>
      </c>
      <c r="J30" s="72">
        <f>H30*[1]Rate!$B$4</f>
        <v>950</v>
      </c>
      <c r="K30" s="52"/>
      <c r="L30" s="58">
        <f>SUM(High!F6,High!F12)</f>
        <v>45</v>
      </c>
      <c r="M30" s="59">
        <f t="shared" si="2"/>
        <v>5.625</v>
      </c>
      <c r="N30" s="72">
        <f>L30*[2]Rate!$B$4</f>
        <v>1125</v>
      </c>
    </row>
    <row r="31" spans="1:20">
      <c r="A31" s="221" t="s">
        <v>37</v>
      </c>
      <c r="B31" s="238" t="s">
        <v>38</v>
      </c>
      <c r="C31" s="4" t="s">
        <v>4</v>
      </c>
      <c r="D31" s="58">
        <f>SUM(low!F7,low!F13)</f>
        <v>14</v>
      </c>
      <c r="E31" s="59">
        <f t="shared" si="0"/>
        <v>1.75</v>
      </c>
      <c r="F31" s="72">
        <f>D31*Rate!$B$5</f>
        <v>462</v>
      </c>
      <c r="G31" s="52"/>
      <c r="H31" s="58">
        <f>SUM(Medium!F7,Medium!F13)</f>
        <v>21</v>
      </c>
      <c r="I31" s="59">
        <f t="shared" si="1"/>
        <v>2.625</v>
      </c>
      <c r="J31" s="72">
        <f>H31*[1]Rate!$B$5</f>
        <v>693</v>
      </c>
      <c r="K31" s="52"/>
      <c r="L31" s="58">
        <f>SUM(High!F7,High!F13)</f>
        <v>25</v>
      </c>
      <c r="M31" s="59">
        <f t="shared" si="2"/>
        <v>3.125</v>
      </c>
      <c r="N31" s="72">
        <f>L31*[2]Rate!$B$5</f>
        <v>825</v>
      </c>
    </row>
    <row r="32" spans="1:20" ht="15.75" thickBot="1">
      <c r="A32" s="222" t="s">
        <v>37</v>
      </c>
      <c r="B32" s="239" t="s">
        <v>38</v>
      </c>
      <c r="C32" s="8" t="s">
        <v>6</v>
      </c>
      <c r="D32" s="6">
        <f t="shared" ref="D32" si="3">SUM(D28:D31)</f>
        <v>116</v>
      </c>
      <c r="E32" s="9">
        <f t="shared" ref="E32:F32" si="4">SUM(E28:E31)</f>
        <v>14.5</v>
      </c>
      <c r="F32" s="73">
        <f t="shared" si="4"/>
        <v>3517</v>
      </c>
      <c r="G32" s="53"/>
      <c r="H32" s="6">
        <f t="shared" ref="H32:J32" si="5">SUM(H28:H31)</f>
        <v>176</v>
      </c>
      <c r="I32" s="9">
        <f t="shared" si="5"/>
        <v>22</v>
      </c>
      <c r="J32" s="73">
        <f t="shared" si="5"/>
        <v>5333</v>
      </c>
      <c r="K32" s="56"/>
      <c r="L32" s="6">
        <f t="shared" ref="L32:N32" si="6">SUM(L28:L31)</f>
        <v>210</v>
      </c>
      <c r="M32" s="9">
        <f t="shared" si="6"/>
        <v>26.25</v>
      </c>
      <c r="N32" s="73">
        <f t="shared" si="6"/>
        <v>6370</v>
      </c>
    </row>
    <row r="33" spans="1:14">
      <c r="A33" s="220"/>
      <c r="B33" s="237"/>
      <c r="C33" s="33"/>
      <c r="D33" s="33"/>
      <c r="E33" s="33"/>
      <c r="F33" s="70"/>
      <c r="G33" s="33"/>
      <c r="H33" s="33"/>
      <c r="I33" s="33"/>
      <c r="J33" s="70"/>
      <c r="K33" s="33"/>
      <c r="L33" s="33"/>
      <c r="M33" s="33"/>
      <c r="N33" s="84"/>
    </row>
    <row r="34" spans="1:14" ht="15.75" thickBot="1">
      <c r="A34" s="220"/>
      <c r="B34" s="237"/>
      <c r="C34" s="33"/>
      <c r="D34" s="33"/>
      <c r="E34" s="33"/>
      <c r="F34" s="70"/>
      <c r="G34" s="33"/>
      <c r="H34" s="33"/>
      <c r="I34" s="33"/>
      <c r="J34" s="70"/>
      <c r="K34" s="33"/>
      <c r="L34" s="33"/>
      <c r="M34" s="33"/>
      <c r="N34" s="84"/>
    </row>
    <row r="35" spans="1:14">
      <c r="A35" s="311" t="s">
        <v>0</v>
      </c>
      <c r="B35" s="313" t="s">
        <v>2</v>
      </c>
      <c r="C35" s="315" t="s">
        <v>1</v>
      </c>
      <c r="D35" s="308" t="s">
        <v>20</v>
      </c>
      <c r="E35" s="309"/>
      <c r="F35" s="310"/>
      <c r="G35" s="50"/>
      <c r="H35" s="308" t="s">
        <v>21</v>
      </c>
      <c r="I35" s="309"/>
      <c r="J35" s="310"/>
      <c r="K35" s="50"/>
      <c r="L35" s="308" t="s">
        <v>22</v>
      </c>
      <c r="M35" s="309"/>
      <c r="N35" s="310"/>
    </row>
    <row r="36" spans="1:14" ht="15.75" thickBot="1">
      <c r="A36" s="312"/>
      <c r="B36" s="314"/>
      <c r="C36" s="316"/>
      <c r="D36" s="26" t="s">
        <v>23</v>
      </c>
      <c r="E36" s="27" t="s">
        <v>24</v>
      </c>
      <c r="F36" s="71" t="s">
        <v>9</v>
      </c>
      <c r="G36" s="51"/>
      <c r="H36" s="26" t="s">
        <v>23</v>
      </c>
      <c r="I36" s="27" t="s">
        <v>24</v>
      </c>
      <c r="J36" s="71" t="s">
        <v>9</v>
      </c>
      <c r="K36" s="51"/>
      <c r="L36" s="26" t="s">
        <v>23</v>
      </c>
      <c r="M36" s="27" t="s">
        <v>24</v>
      </c>
      <c r="N36" s="71" t="s">
        <v>9</v>
      </c>
    </row>
    <row r="37" spans="1:14" ht="15.75" thickBot="1">
      <c r="A37" s="221" t="s">
        <v>11</v>
      </c>
      <c r="B37" s="238" t="s">
        <v>32</v>
      </c>
      <c r="C37" s="30" t="s">
        <v>3</v>
      </c>
      <c r="D37" s="58">
        <f>SUM(low!F16,low!F22)</f>
        <v>64</v>
      </c>
      <c r="E37" s="1">
        <f>D37/8</f>
        <v>8</v>
      </c>
      <c r="F37" s="72">
        <f>D37*Rate!$B$2</f>
        <v>1920</v>
      </c>
      <c r="G37" s="52"/>
      <c r="H37" s="58">
        <f>SUM(Medium!F16,Medium!F22)</f>
        <v>96</v>
      </c>
      <c r="I37" s="59">
        <f>H37/8</f>
        <v>12</v>
      </c>
      <c r="J37" s="72">
        <f>H37*Rate!$B$2</f>
        <v>2880</v>
      </c>
      <c r="K37" s="55"/>
      <c r="L37" s="58">
        <f>SUM(High!F16,High!F22)</f>
        <v>128</v>
      </c>
      <c r="M37" s="59">
        <f>L37/8</f>
        <v>16</v>
      </c>
      <c r="N37" s="72">
        <f>L37*Rate!$B$2</f>
        <v>3840</v>
      </c>
    </row>
    <row r="38" spans="1:14" ht="15.75" thickBot="1">
      <c r="A38" s="221" t="s">
        <v>11</v>
      </c>
      <c r="B38" s="238" t="s">
        <v>32</v>
      </c>
      <c r="C38" s="4" t="s">
        <v>7</v>
      </c>
      <c r="D38" s="58">
        <f>SUM(low!F17,low!F23)</f>
        <v>24</v>
      </c>
      <c r="E38" s="1">
        <f t="shared" ref="E38:E40" si="7">D38/8</f>
        <v>3</v>
      </c>
      <c r="F38" s="72">
        <f>D38*Rate!$B$3</f>
        <v>960</v>
      </c>
      <c r="G38" s="52"/>
      <c r="H38" s="58">
        <f>SUM(Medium!F17,Medium!F23)</f>
        <v>36</v>
      </c>
      <c r="I38" s="59">
        <f t="shared" ref="I38:I40" si="8">H38/8</f>
        <v>4.5</v>
      </c>
      <c r="J38" s="72">
        <f>H38*Rate!$B$3</f>
        <v>1440</v>
      </c>
      <c r="K38" s="55"/>
      <c r="L38" s="58">
        <f>SUM(High!F17,High!F23)</f>
        <v>48</v>
      </c>
      <c r="M38" s="59">
        <f t="shared" ref="M38:M40" si="9">L38/8</f>
        <v>6</v>
      </c>
      <c r="N38" s="72">
        <f>L38*Rate!$B$3</f>
        <v>1920</v>
      </c>
    </row>
    <row r="39" spans="1:14" ht="15.75" thickBot="1">
      <c r="A39" s="221" t="s">
        <v>11</v>
      </c>
      <c r="B39" s="238" t="s">
        <v>32</v>
      </c>
      <c r="C39" s="4" t="s">
        <v>5</v>
      </c>
      <c r="D39" s="58">
        <f>SUM(low!F18,low!F24)</f>
        <v>120</v>
      </c>
      <c r="E39" s="1">
        <f t="shared" si="7"/>
        <v>15</v>
      </c>
      <c r="F39" s="72">
        <f>D39*Rate!$B$4</f>
        <v>3000</v>
      </c>
      <c r="G39" s="52"/>
      <c r="H39" s="58">
        <f>SUM(Medium!F18,Medium!F24)</f>
        <v>180</v>
      </c>
      <c r="I39" s="59">
        <f t="shared" si="8"/>
        <v>22.5</v>
      </c>
      <c r="J39" s="72">
        <f>H39*Rate!$B$4</f>
        <v>4500</v>
      </c>
      <c r="K39" s="55"/>
      <c r="L39" s="58">
        <f>SUM(High!F18,High!F24)</f>
        <v>240</v>
      </c>
      <c r="M39" s="59">
        <f t="shared" si="9"/>
        <v>30</v>
      </c>
      <c r="N39" s="72">
        <f>L39*Rate!$B$4</f>
        <v>6000</v>
      </c>
    </row>
    <row r="40" spans="1:14">
      <c r="A40" s="223" t="s">
        <v>11</v>
      </c>
      <c r="B40" s="240" t="s">
        <v>32</v>
      </c>
      <c r="C40" s="4" t="s">
        <v>4</v>
      </c>
      <c r="D40" s="58">
        <f>SUM(low!F19,low!F25)</f>
        <v>80</v>
      </c>
      <c r="E40" s="1">
        <f t="shared" si="7"/>
        <v>10</v>
      </c>
      <c r="F40" s="72">
        <f>D40*Rate!$B$5</f>
        <v>2640</v>
      </c>
      <c r="G40" s="52"/>
      <c r="H40" s="58">
        <f>SUM(Medium!F19,Medium!F25)</f>
        <v>120</v>
      </c>
      <c r="I40" s="59">
        <f t="shared" si="8"/>
        <v>15</v>
      </c>
      <c r="J40" s="72">
        <f>H40*Rate!$B$5</f>
        <v>3960</v>
      </c>
      <c r="K40" s="55"/>
      <c r="L40" s="58">
        <f>SUM(High!F19,High!F25)</f>
        <v>160</v>
      </c>
      <c r="M40" s="59">
        <f t="shared" si="9"/>
        <v>20</v>
      </c>
      <c r="N40" s="72">
        <f>L40*Rate!$B$5</f>
        <v>5280</v>
      </c>
    </row>
    <row r="41" spans="1:14" ht="15.75" thickBot="1">
      <c r="A41" s="224" t="s">
        <v>11</v>
      </c>
      <c r="B41" s="241" t="s">
        <v>32</v>
      </c>
      <c r="C41" s="8" t="s">
        <v>6</v>
      </c>
      <c r="D41" s="9">
        <f t="shared" ref="D41:E41" si="10">SUM(D37:D40)</f>
        <v>288</v>
      </c>
      <c r="E41" s="9">
        <f t="shared" si="10"/>
        <v>36</v>
      </c>
      <c r="F41" s="73">
        <f t="shared" ref="F41" si="11">SUM(F37:F40)</f>
        <v>8520</v>
      </c>
      <c r="G41" s="53"/>
      <c r="H41" s="6">
        <f t="shared" ref="H41:N41" si="12">SUM(H37:H40)</f>
        <v>432</v>
      </c>
      <c r="I41" s="9">
        <f t="shared" si="12"/>
        <v>54</v>
      </c>
      <c r="J41" s="73">
        <f t="shared" si="12"/>
        <v>12780</v>
      </c>
      <c r="K41" s="56"/>
      <c r="L41" s="6">
        <f t="shared" si="12"/>
        <v>576</v>
      </c>
      <c r="M41" s="9">
        <f t="shared" si="12"/>
        <v>72</v>
      </c>
      <c r="N41" s="73">
        <f t="shared" si="12"/>
        <v>17040</v>
      </c>
    </row>
    <row r="42" spans="1:14" ht="15.75" thickBot="1">
      <c r="A42" s="220"/>
      <c r="B42" s="237"/>
      <c r="C42" s="33"/>
      <c r="D42" s="33"/>
      <c r="E42" s="33"/>
      <c r="F42" s="70"/>
      <c r="G42" s="33"/>
      <c r="H42" s="33"/>
      <c r="I42" s="33"/>
      <c r="J42" s="70"/>
      <c r="K42" s="33"/>
      <c r="L42" s="33"/>
      <c r="M42" s="33"/>
      <c r="N42" s="84"/>
    </row>
    <row r="43" spans="1:14">
      <c r="A43" s="311" t="s">
        <v>0</v>
      </c>
      <c r="B43" s="313" t="s">
        <v>2</v>
      </c>
      <c r="C43" s="315" t="s">
        <v>1</v>
      </c>
      <c r="D43" s="308" t="s">
        <v>20</v>
      </c>
      <c r="E43" s="309"/>
      <c r="F43" s="310"/>
      <c r="G43" s="50"/>
      <c r="H43" s="319" t="s">
        <v>21</v>
      </c>
      <c r="I43" s="317"/>
      <c r="J43" s="318"/>
      <c r="K43" s="50"/>
      <c r="L43" s="317" t="s">
        <v>22</v>
      </c>
      <c r="M43" s="317"/>
      <c r="N43" s="318"/>
    </row>
    <row r="44" spans="1:14" ht="15.75" thickBot="1">
      <c r="A44" s="312"/>
      <c r="B44" s="314"/>
      <c r="C44" s="316"/>
      <c r="D44" s="26" t="s">
        <v>23</v>
      </c>
      <c r="E44" s="27" t="s">
        <v>24</v>
      </c>
      <c r="F44" s="71" t="s">
        <v>9</v>
      </c>
      <c r="G44" s="51"/>
      <c r="H44" s="26" t="s">
        <v>23</v>
      </c>
      <c r="I44" s="27" t="s">
        <v>24</v>
      </c>
      <c r="J44" s="71" t="s">
        <v>9</v>
      </c>
      <c r="K44" s="51"/>
      <c r="L44" s="26" t="s">
        <v>23</v>
      </c>
      <c r="M44" s="27" t="s">
        <v>24</v>
      </c>
      <c r="N44" s="71" t="s">
        <v>9</v>
      </c>
    </row>
    <row r="45" spans="1:14" ht="15.75" thickBot="1">
      <c r="A45" s="221" t="s">
        <v>12</v>
      </c>
      <c r="B45" s="238" t="s">
        <v>32</v>
      </c>
      <c r="C45" s="30" t="s">
        <v>3</v>
      </c>
      <c r="D45" s="31">
        <f>SUM(low!F28,low!F34)</f>
        <v>30</v>
      </c>
      <c r="E45" s="1">
        <f>D45/8</f>
        <v>3.75</v>
      </c>
      <c r="F45" s="72">
        <f>D45*Rate!$B$2</f>
        <v>900</v>
      </c>
      <c r="G45" s="52"/>
      <c r="H45" s="58">
        <f>SUM(Medium!F28,Medium!F34)</f>
        <v>50</v>
      </c>
      <c r="I45" s="59">
        <f>H45/8</f>
        <v>6.25</v>
      </c>
      <c r="J45" s="72">
        <f>H45*Rate!$B$2</f>
        <v>1500</v>
      </c>
      <c r="K45" s="55"/>
      <c r="L45" s="58">
        <f>SUM(High!F28,High!F34)</f>
        <v>60</v>
      </c>
      <c r="M45" s="1">
        <f>L45/8</f>
        <v>7.5</v>
      </c>
      <c r="N45" s="72">
        <f>L45*Rate!$B$2</f>
        <v>1800</v>
      </c>
    </row>
    <row r="46" spans="1:14" ht="15.75" thickBot="1">
      <c r="A46" s="221" t="s">
        <v>12</v>
      </c>
      <c r="B46" s="238" t="s">
        <v>32</v>
      </c>
      <c r="C46" s="4" t="s">
        <v>7</v>
      </c>
      <c r="D46" s="31">
        <f>SUM(low!F29,low!F35)</f>
        <v>15</v>
      </c>
      <c r="E46" s="1">
        <f t="shared" ref="E46:E48" si="13">D46/8</f>
        <v>1.875</v>
      </c>
      <c r="F46" s="72">
        <f>D46*Rate!$B$3</f>
        <v>600</v>
      </c>
      <c r="G46" s="52"/>
      <c r="H46" s="58">
        <f>SUM(Medium!F29,Medium!F35)</f>
        <v>25</v>
      </c>
      <c r="I46" s="59">
        <f t="shared" ref="I46:I48" si="14">H46/8</f>
        <v>3.125</v>
      </c>
      <c r="J46" s="72">
        <f>H46*Rate!$B$3</f>
        <v>1000</v>
      </c>
      <c r="K46" s="55"/>
      <c r="L46" s="58">
        <f>SUM(High!F29,High!F35)</f>
        <v>30</v>
      </c>
      <c r="M46" s="1">
        <f t="shared" ref="M46:M48" si="15">L46/8</f>
        <v>3.75</v>
      </c>
      <c r="N46" s="72">
        <f>L46*Rate!$B$3</f>
        <v>1200</v>
      </c>
    </row>
    <row r="47" spans="1:14" ht="15.75" thickBot="1">
      <c r="A47" s="221" t="s">
        <v>12</v>
      </c>
      <c r="B47" s="238" t="s">
        <v>32</v>
      </c>
      <c r="C47" s="4" t="s">
        <v>5</v>
      </c>
      <c r="D47" s="31">
        <f>SUM(low!F30,low!F36)</f>
        <v>120</v>
      </c>
      <c r="E47" s="1">
        <f t="shared" si="13"/>
        <v>15</v>
      </c>
      <c r="F47" s="72">
        <f>D47*Rate!$B$4</f>
        <v>3000</v>
      </c>
      <c r="G47" s="52"/>
      <c r="H47" s="58">
        <f>SUM(Medium!F30,Medium!F36)</f>
        <v>200</v>
      </c>
      <c r="I47" s="59">
        <f t="shared" si="14"/>
        <v>25</v>
      </c>
      <c r="J47" s="72">
        <f>H47*Rate!$B$4</f>
        <v>5000</v>
      </c>
      <c r="K47" s="55"/>
      <c r="L47" s="58">
        <f>SUM(High!F30,High!F36)</f>
        <v>240</v>
      </c>
      <c r="M47" s="1">
        <f t="shared" si="15"/>
        <v>30</v>
      </c>
      <c r="N47" s="72">
        <f>L47*Rate!$B$4</f>
        <v>6000</v>
      </c>
    </row>
    <row r="48" spans="1:14">
      <c r="A48" s="221" t="s">
        <v>12</v>
      </c>
      <c r="B48" s="240" t="s">
        <v>32</v>
      </c>
      <c r="C48" s="4" t="s">
        <v>4</v>
      </c>
      <c r="D48" s="31">
        <f>SUM(low!F31,low!F37)</f>
        <v>180</v>
      </c>
      <c r="E48" s="1">
        <f t="shared" si="13"/>
        <v>22.5</v>
      </c>
      <c r="F48" s="72">
        <f>D48*Rate!$B$5</f>
        <v>5940</v>
      </c>
      <c r="G48" s="52"/>
      <c r="H48" s="58">
        <f>SUM(Medium!F31,Medium!F37)</f>
        <v>300</v>
      </c>
      <c r="I48" s="59">
        <f t="shared" si="14"/>
        <v>37.5</v>
      </c>
      <c r="J48" s="72">
        <f>H48*Rate!$B$5</f>
        <v>9900</v>
      </c>
      <c r="K48" s="55"/>
      <c r="L48" s="58">
        <f>SUM(High!F31,High!F37)</f>
        <v>360</v>
      </c>
      <c r="M48" s="1">
        <f t="shared" si="15"/>
        <v>45</v>
      </c>
      <c r="N48" s="72">
        <f>L48*Rate!$B$5</f>
        <v>11880</v>
      </c>
    </row>
    <row r="49" spans="1:14" ht="15.75" thickBot="1">
      <c r="A49" s="222" t="s">
        <v>12</v>
      </c>
      <c r="B49" s="241" t="s">
        <v>32</v>
      </c>
      <c r="C49" s="8" t="s">
        <v>6</v>
      </c>
      <c r="D49" s="6">
        <f t="shared" ref="D49" si="16">SUM(D45:D48)</f>
        <v>345</v>
      </c>
      <c r="E49" s="9">
        <f t="shared" ref="E49" si="17">SUM(E45:E48)</f>
        <v>43.125</v>
      </c>
      <c r="F49" s="73">
        <f t="shared" ref="F49" si="18">SUM(F45:F48)</f>
        <v>10440</v>
      </c>
      <c r="G49" s="53"/>
      <c r="H49" s="6">
        <f t="shared" ref="H49:J49" si="19">SUM(H45:H48)</f>
        <v>575</v>
      </c>
      <c r="I49" s="9">
        <f t="shared" si="19"/>
        <v>71.875</v>
      </c>
      <c r="J49" s="73">
        <f t="shared" si="19"/>
        <v>17400</v>
      </c>
      <c r="K49" s="56"/>
      <c r="L49" s="6">
        <f t="shared" ref="L49:N49" si="20">SUM(L45:L48)</f>
        <v>690</v>
      </c>
      <c r="M49" s="9">
        <f t="shared" si="20"/>
        <v>86.25</v>
      </c>
      <c r="N49" s="73">
        <f t="shared" si="20"/>
        <v>20880</v>
      </c>
    </row>
    <row r="50" spans="1:14" ht="15.75" thickBot="1">
      <c r="A50" s="220"/>
      <c r="B50" s="237"/>
      <c r="C50" s="33"/>
      <c r="D50" s="33"/>
      <c r="E50" s="33"/>
      <c r="F50" s="70"/>
      <c r="G50" s="33"/>
      <c r="H50" s="33"/>
      <c r="I50" s="33"/>
      <c r="J50" s="70"/>
      <c r="K50" s="33"/>
      <c r="L50" s="33"/>
      <c r="M50" s="33"/>
      <c r="N50" s="84"/>
    </row>
    <row r="51" spans="1:14">
      <c r="A51" s="225" t="s">
        <v>0</v>
      </c>
      <c r="B51" s="242" t="s">
        <v>2</v>
      </c>
      <c r="C51" s="40" t="s">
        <v>1</v>
      </c>
      <c r="D51" s="308" t="s">
        <v>20</v>
      </c>
      <c r="E51" s="309"/>
      <c r="F51" s="310"/>
      <c r="G51" s="50"/>
      <c r="H51" s="42" t="s">
        <v>21</v>
      </c>
      <c r="I51" s="43"/>
      <c r="J51" s="78"/>
      <c r="K51" s="50"/>
      <c r="L51" s="317" t="s">
        <v>22</v>
      </c>
      <c r="M51" s="317"/>
      <c r="N51" s="318"/>
    </row>
    <row r="52" spans="1:14" ht="15.75" thickBot="1">
      <c r="A52" s="226"/>
      <c r="B52" s="243"/>
      <c r="C52" s="41"/>
      <c r="D52" s="26" t="s">
        <v>23</v>
      </c>
      <c r="E52" s="27" t="s">
        <v>24</v>
      </c>
      <c r="F52" s="71" t="s">
        <v>9</v>
      </c>
      <c r="G52" s="51"/>
      <c r="H52" s="26" t="s">
        <v>23</v>
      </c>
      <c r="I52" s="27" t="s">
        <v>24</v>
      </c>
      <c r="J52" s="71" t="s">
        <v>9</v>
      </c>
      <c r="K52" s="51"/>
      <c r="L52" s="26" t="s">
        <v>23</v>
      </c>
      <c r="M52" s="27" t="s">
        <v>24</v>
      </c>
      <c r="N52" s="71" t="s">
        <v>9</v>
      </c>
    </row>
    <row r="53" spans="1:14" ht="15.75" thickBot="1">
      <c r="A53" s="221" t="s">
        <v>33</v>
      </c>
      <c r="B53" s="238" t="s">
        <v>108</v>
      </c>
      <c r="C53" s="30" t="s">
        <v>3</v>
      </c>
      <c r="D53" s="31">
        <f>SUM(low!F40,low!F46,low!F52,low!F58,low!F64,low!F70,low!F76,low!F82,low!F88,low!F94,low!F100,low!F106)</f>
        <v>95</v>
      </c>
      <c r="E53" s="1">
        <f>D53/8</f>
        <v>11.875</v>
      </c>
      <c r="F53" s="72">
        <f>D53*Rate!$B$2</f>
        <v>2850</v>
      </c>
      <c r="G53" s="52"/>
      <c r="H53" s="58">
        <f>SUM(Medium!F40,Medium!F46,Medium!F52,Medium!F58,Medium!F64,Medium!F70,Medium!F76,Medium!F82,Medium!F88,Medium!F94,Medium!F100,Medium!F106)</f>
        <v>142</v>
      </c>
      <c r="I53" s="59">
        <f>H53/8</f>
        <v>17.75</v>
      </c>
      <c r="J53" s="72">
        <f>H53*Rate!$B$2</f>
        <v>4260</v>
      </c>
      <c r="K53" s="55"/>
      <c r="L53" s="58">
        <f>SUM(High!F40,High!F46,High!F52,High!F58,High!F64,High!F70,High!F76,High!F82,High!F88,High!F94,High!F100,High!F106)</f>
        <v>165.75</v>
      </c>
      <c r="M53" s="1">
        <f>L53/8</f>
        <v>20.71875</v>
      </c>
      <c r="N53" s="72">
        <f>L53*Rate!$B$2</f>
        <v>4972.5</v>
      </c>
    </row>
    <row r="54" spans="1:14" ht="15.75" thickBot="1">
      <c r="A54" s="223" t="s">
        <v>33</v>
      </c>
      <c r="B54" s="238" t="s">
        <v>108</v>
      </c>
      <c r="C54" s="4" t="s">
        <v>7</v>
      </c>
      <c r="D54" s="31">
        <f>SUM(low!F41,low!F47,low!F53,low!F59,low!F65,low!F71,low!F77,low!F83,low!F89,low!F95,low!F101,low!F107)</f>
        <v>24.5</v>
      </c>
      <c r="E54" s="1">
        <f t="shared" ref="E54:E56" si="21">D54/8</f>
        <v>3.0625</v>
      </c>
      <c r="F54" s="72">
        <f>D54*Rate!$B$3</f>
        <v>980</v>
      </c>
      <c r="G54" s="52"/>
      <c r="H54" s="58">
        <f>SUM(Medium!F41,Medium!F47,Medium!F53,Medium!F59,Medium!F65,Medium!F71,Medium!F77,Medium!F83,Medium!F89,Medium!F95,Medium!F101,Medium!F107)</f>
        <v>39</v>
      </c>
      <c r="I54" s="59">
        <f t="shared" ref="I54:I56" si="22">H54/8</f>
        <v>4.875</v>
      </c>
      <c r="J54" s="72">
        <f>H54*Rate!$B$3</f>
        <v>1560</v>
      </c>
      <c r="K54" s="55"/>
      <c r="L54" s="58">
        <f>SUM(High!F41,High!F47,High!F53,High!F59,High!F65,High!F71,High!F77,High!F83,High!F89,High!F95,High!F101,High!F107)</f>
        <v>51.75</v>
      </c>
      <c r="M54" s="1">
        <f t="shared" ref="M54:M56" si="23">L54/8</f>
        <v>6.46875</v>
      </c>
      <c r="N54" s="72">
        <f>L54*Rate!$B$3</f>
        <v>2070</v>
      </c>
    </row>
    <row r="55" spans="1:14" ht="15.75" thickBot="1">
      <c r="A55" s="223" t="s">
        <v>33</v>
      </c>
      <c r="B55" s="238" t="s">
        <v>108</v>
      </c>
      <c r="C55" s="4" t="s">
        <v>5</v>
      </c>
      <c r="D55" s="31">
        <f>SUM(low!F42,low!F48,low!F54,low!F60,low!F66,low!F72,low!F78,low!F84,low!F90,low!F96,low!F102,low!F108)</f>
        <v>295.5</v>
      </c>
      <c r="E55" s="1">
        <f t="shared" si="21"/>
        <v>36.9375</v>
      </c>
      <c r="F55" s="72">
        <f>D55*Rate!$B$4</f>
        <v>7387.5</v>
      </c>
      <c r="G55" s="52"/>
      <c r="H55" s="58">
        <f>SUM(Medium!F42,Medium!F48,Medium!F54,Medium!F60,Medium!F66,Medium!F72,Medium!F78,Medium!F84,Medium!F90,Medium!F96,Medium!F102,Medium!F108)</f>
        <v>457.5</v>
      </c>
      <c r="I55" s="59">
        <f t="shared" si="22"/>
        <v>57.1875</v>
      </c>
      <c r="J55" s="72">
        <f>H55*Rate!$B$4</f>
        <v>11437.5</v>
      </c>
      <c r="K55" s="55"/>
      <c r="L55" s="58">
        <f>SUM(High!F42,High!F48,High!F54,High!F60,High!F66,High!F72,High!F78,High!F84,High!F90,High!F96,High!F102,High!F108)</f>
        <v>571</v>
      </c>
      <c r="M55" s="1">
        <f t="shared" si="23"/>
        <v>71.375</v>
      </c>
      <c r="N55" s="72">
        <f>L55*Rate!$B$4</f>
        <v>14275</v>
      </c>
    </row>
    <row r="56" spans="1:14">
      <c r="A56" s="223" t="s">
        <v>33</v>
      </c>
      <c r="B56" s="238" t="s">
        <v>108</v>
      </c>
      <c r="C56" s="4" t="s">
        <v>4</v>
      </c>
      <c r="D56" s="31">
        <f>SUM(low!F43,low!F49,low!F55,low!F61,low!F67,low!F73,low!F79,low!F85,low!F91,low!F97,low!F103,low!F109)</f>
        <v>108</v>
      </c>
      <c r="E56" s="1">
        <f t="shared" si="21"/>
        <v>13.5</v>
      </c>
      <c r="F56" s="72">
        <f>D56*Rate!$B$5</f>
        <v>3564</v>
      </c>
      <c r="G56" s="52"/>
      <c r="H56" s="58">
        <f>SUM(Medium!F43,Medium!F49,Medium!F55,Medium!F61,Medium!F67,Medium!F73,Medium!F79,Medium!F85,Medium!F91,Medium!F97,Medium!F103,Medium!F109)</f>
        <v>164.5</v>
      </c>
      <c r="I56" s="59">
        <f t="shared" si="22"/>
        <v>20.5625</v>
      </c>
      <c r="J56" s="72">
        <f>H56*Rate!$B$5</f>
        <v>5428.5</v>
      </c>
      <c r="K56" s="55"/>
      <c r="L56" s="58">
        <f>SUM(High!F43,High!F49,High!F55,High!F61,High!F67,High!F73,High!F79,High!F85,High!F91,High!F97,High!F103,High!F109)</f>
        <v>199</v>
      </c>
      <c r="M56" s="1">
        <f t="shared" si="23"/>
        <v>24.875</v>
      </c>
      <c r="N56" s="72">
        <f>L56*Rate!$B$5</f>
        <v>6567</v>
      </c>
    </row>
    <row r="57" spans="1:14" ht="15.75" thickBot="1">
      <c r="A57" s="222" t="s">
        <v>33</v>
      </c>
      <c r="B57" s="238" t="s">
        <v>108</v>
      </c>
      <c r="C57" s="8" t="s">
        <v>6</v>
      </c>
      <c r="D57" s="6">
        <f t="shared" ref="D57" si="24">SUM(D53:D56)</f>
        <v>523</v>
      </c>
      <c r="E57" s="9">
        <f t="shared" ref="E57" si="25">SUM(E53:E56)</f>
        <v>65.375</v>
      </c>
      <c r="F57" s="73">
        <f t="shared" ref="F57" si="26">SUM(F53:F56)</f>
        <v>14781.5</v>
      </c>
      <c r="G57" s="53"/>
      <c r="H57" s="6">
        <f t="shared" ref="H57:J57" si="27">SUM(H53:H56)</f>
        <v>803</v>
      </c>
      <c r="I57" s="9">
        <f t="shared" si="27"/>
        <v>100.375</v>
      </c>
      <c r="J57" s="73">
        <f t="shared" si="27"/>
        <v>22686</v>
      </c>
      <c r="K57" s="56"/>
      <c r="L57" s="6">
        <f t="shared" ref="L57:N57" si="28">SUM(L53:L56)</f>
        <v>987.5</v>
      </c>
      <c r="M57" s="9">
        <f t="shared" si="28"/>
        <v>123.4375</v>
      </c>
      <c r="N57" s="73">
        <f t="shared" si="28"/>
        <v>27884.5</v>
      </c>
    </row>
    <row r="58" spans="1:14" ht="15.75" thickBot="1">
      <c r="A58" s="220"/>
      <c r="B58" s="237"/>
      <c r="C58" s="33"/>
      <c r="D58" s="33"/>
      <c r="E58" s="33"/>
      <c r="F58" s="70"/>
      <c r="G58" s="33"/>
      <c r="H58" s="33"/>
      <c r="I58" s="33"/>
      <c r="J58" s="70"/>
      <c r="K58" s="33"/>
      <c r="L58" s="33"/>
      <c r="M58" s="33"/>
      <c r="N58" s="84"/>
    </row>
    <row r="59" spans="1:14">
      <c r="A59" s="225" t="s">
        <v>0</v>
      </c>
      <c r="B59" s="242" t="s">
        <v>2</v>
      </c>
      <c r="C59" s="40" t="s">
        <v>1</v>
      </c>
      <c r="D59" s="308" t="s">
        <v>20</v>
      </c>
      <c r="E59" s="309"/>
      <c r="F59" s="310"/>
      <c r="G59" s="50"/>
      <c r="H59" s="42" t="s">
        <v>21</v>
      </c>
      <c r="I59" s="43"/>
      <c r="J59" s="78"/>
      <c r="K59" s="50"/>
      <c r="L59" s="317" t="s">
        <v>22</v>
      </c>
      <c r="M59" s="317"/>
      <c r="N59" s="318"/>
    </row>
    <row r="60" spans="1:14" ht="15.75" thickBot="1">
      <c r="A60" s="226"/>
      <c r="B60" s="243"/>
      <c r="C60" s="41"/>
      <c r="D60" s="26" t="s">
        <v>23</v>
      </c>
      <c r="E60" s="27" t="s">
        <v>24</v>
      </c>
      <c r="F60" s="71" t="s">
        <v>9</v>
      </c>
      <c r="G60" s="51"/>
      <c r="H60" s="26" t="s">
        <v>23</v>
      </c>
      <c r="I60" s="27" t="s">
        <v>24</v>
      </c>
      <c r="J60" s="71" t="s">
        <v>9</v>
      </c>
      <c r="K60" s="51"/>
      <c r="L60" s="26" t="s">
        <v>23</v>
      </c>
      <c r="M60" s="27" t="s">
        <v>24</v>
      </c>
      <c r="N60" s="71" t="s">
        <v>9</v>
      </c>
    </row>
    <row r="61" spans="1:14" ht="15.75" thickBot="1">
      <c r="A61" s="221" t="s">
        <v>34</v>
      </c>
      <c r="B61" s="238" t="s">
        <v>108</v>
      </c>
      <c r="C61" s="30" t="s">
        <v>3</v>
      </c>
      <c r="D61" s="31">
        <f>SUM(low!F112,low!F118,low!F124,low!F130,low!F136,low!F142)</f>
        <v>14</v>
      </c>
      <c r="E61" s="1">
        <f>D61/8</f>
        <v>1.75</v>
      </c>
      <c r="F61" s="72">
        <f>D61*Rate!$B$2</f>
        <v>420</v>
      </c>
      <c r="G61" s="52"/>
      <c r="H61" s="58">
        <f>SUM(Medium!F112,Medium!F118,Medium!F124,Medium!F130,Medium!F136,Medium!F142)</f>
        <v>28</v>
      </c>
      <c r="I61" s="59">
        <f>H61/8</f>
        <v>3.5</v>
      </c>
      <c r="J61" s="72">
        <f>H61*Rate!$B$2</f>
        <v>840</v>
      </c>
      <c r="K61" s="55"/>
      <c r="L61" s="58">
        <f>SUM(High!F112,High!F118,High!F124,High!F130,High!F136,High!F142)</f>
        <v>42</v>
      </c>
      <c r="M61" s="1">
        <f>L61/8</f>
        <v>5.25</v>
      </c>
      <c r="N61" s="72">
        <f>L61*Rate!$B$2</f>
        <v>1260</v>
      </c>
    </row>
    <row r="62" spans="1:14" ht="15.75" thickBot="1">
      <c r="A62" s="221" t="s">
        <v>34</v>
      </c>
      <c r="B62" s="238" t="s">
        <v>108</v>
      </c>
      <c r="C62" s="4" t="s">
        <v>7</v>
      </c>
      <c r="D62" s="31">
        <f>SUM(low!F113,low!F119,low!F125,low!F131,low!F137,low!F143)</f>
        <v>6.5</v>
      </c>
      <c r="E62" s="1">
        <f t="shared" ref="E62:E64" si="29">D62/8</f>
        <v>0.8125</v>
      </c>
      <c r="F62" s="72">
        <f>D62*Rate!$B$3</f>
        <v>260</v>
      </c>
      <c r="G62" s="52"/>
      <c r="H62" s="58">
        <f>SUM(Medium!F113,Medium!F119,Medium!F125,Medium!F131,Medium!F137,Medium!F143)</f>
        <v>13</v>
      </c>
      <c r="I62" s="59">
        <f t="shared" ref="I62:I64" si="30">H62/8</f>
        <v>1.625</v>
      </c>
      <c r="J62" s="72">
        <f>H62*Rate!$B$3</f>
        <v>520</v>
      </c>
      <c r="K62" s="55"/>
      <c r="L62" s="58">
        <f>SUM(High!F113,High!F119,High!F125,High!F131,High!F137,High!F143)</f>
        <v>19.5</v>
      </c>
      <c r="M62" s="1">
        <f t="shared" ref="M62:M64" si="31">L62/8</f>
        <v>2.4375</v>
      </c>
      <c r="N62" s="72">
        <f>L62*Rate!$B$3</f>
        <v>780</v>
      </c>
    </row>
    <row r="63" spans="1:14" ht="15.75" thickBot="1">
      <c r="A63" s="221" t="s">
        <v>34</v>
      </c>
      <c r="B63" s="238" t="s">
        <v>108</v>
      </c>
      <c r="C63" s="4" t="s">
        <v>5</v>
      </c>
      <c r="D63" s="31">
        <f>SUM(low!F114,low!F120,low!F126,low!F132,low!F138,low!F144)</f>
        <v>31.5</v>
      </c>
      <c r="E63" s="1">
        <f t="shared" si="29"/>
        <v>3.9375</v>
      </c>
      <c r="F63" s="72">
        <f>D63*Rate!$B$4</f>
        <v>787.5</v>
      </c>
      <c r="G63" s="52"/>
      <c r="H63" s="58">
        <f>SUM(Medium!F114,Medium!F120,Medium!F126,Medium!F132,Medium!F138,Medium!F144)</f>
        <v>63</v>
      </c>
      <c r="I63" s="59">
        <f t="shared" si="30"/>
        <v>7.875</v>
      </c>
      <c r="J63" s="72">
        <f>H63*Rate!$B$4</f>
        <v>1575</v>
      </c>
      <c r="K63" s="55"/>
      <c r="L63" s="58">
        <f>SUM(High!F114,High!F120,High!F126,High!F132,High!F138,High!F144)</f>
        <v>94.5</v>
      </c>
      <c r="M63" s="1">
        <f t="shared" si="31"/>
        <v>11.8125</v>
      </c>
      <c r="N63" s="72">
        <f>L63*Rate!$B$4</f>
        <v>2362.5</v>
      </c>
    </row>
    <row r="64" spans="1:14">
      <c r="A64" s="221" t="s">
        <v>34</v>
      </c>
      <c r="B64" s="238" t="s">
        <v>108</v>
      </c>
      <c r="C64" s="4" t="s">
        <v>4</v>
      </c>
      <c r="D64" s="31">
        <f>SUM(low!F115,low!F121,low!F127,low!F133,low!F139,low!F145)</f>
        <v>12</v>
      </c>
      <c r="E64" s="1">
        <f t="shared" si="29"/>
        <v>1.5</v>
      </c>
      <c r="F64" s="72">
        <f>D64*Rate!$B$5</f>
        <v>396</v>
      </c>
      <c r="G64" s="52"/>
      <c r="H64" s="58">
        <f>SUM(Medium!F115,Medium!F121,Medium!F127,Medium!F133,Medium!F139,Medium!F145)</f>
        <v>24</v>
      </c>
      <c r="I64" s="59">
        <f t="shared" si="30"/>
        <v>3</v>
      </c>
      <c r="J64" s="72">
        <f>H64*Rate!$B$5</f>
        <v>792</v>
      </c>
      <c r="K64" s="55"/>
      <c r="L64" s="58">
        <f>SUM(High!F115,High!F121,High!F127,High!F133,High!F139,High!F145)</f>
        <v>36</v>
      </c>
      <c r="M64" s="1">
        <f t="shared" si="31"/>
        <v>4.5</v>
      </c>
      <c r="N64" s="72">
        <f>L64*Rate!$B$5</f>
        <v>1188</v>
      </c>
    </row>
    <row r="65" spans="1:14" ht="15.75" thickBot="1">
      <c r="A65" s="221" t="s">
        <v>34</v>
      </c>
      <c r="B65" s="238" t="s">
        <v>108</v>
      </c>
      <c r="C65" s="8" t="s">
        <v>6</v>
      </c>
      <c r="D65" s="9">
        <f t="shared" ref="D65:E65" si="32">SUM(D61:D64)</f>
        <v>64</v>
      </c>
      <c r="E65" s="9">
        <f t="shared" si="32"/>
        <v>8</v>
      </c>
      <c r="F65" s="73">
        <f t="shared" ref="F65" si="33">SUM(F61:F64)</f>
        <v>1863.5</v>
      </c>
      <c r="G65" s="53"/>
      <c r="H65" s="6">
        <f t="shared" ref="H65:J65" si="34">SUM(H61:H64)</f>
        <v>128</v>
      </c>
      <c r="I65" s="9">
        <f t="shared" si="34"/>
        <v>16</v>
      </c>
      <c r="J65" s="73">
        <f t="shared" si="34"/>
        <v>3727</v>
      </c>
      <c r="K65" s="56"/>
      <c r="L65" s="6">
        <f t="shared" ref="L65:N65" si="35">SUM(L61:L64)</f>
        <v>192</v>
      </c>
      <c r="M65" s="9">
        <f t="shared" si="35"/>
        <v>24</v>
      </c>
      <c r="N65" s="73">
        <f t="shared" si="35"/>
        <v>5590.5</v>
      </c>
    </row>
    <row r="66" spans="1:14" ht="15.75" thickBot="1">
      <c r="A66" s="220"/>
      <c r="B66" s="237"/>
      <c r="C66" s="33"/>
      <c r="D66" s="33"/>
      <c r="E66" s="33"/>
      <c r="F66" s="70"/>
      <c r="G66" s="33"/>
      <c r="H66" s="33"/>
      <c r="I66" s="33"/>
      <c r="J66" s="70"/>
      <c r="K66" s="33"/>
      <c r="L66" s="33"/>
      <c r="M66" s="33"/>
      <c r="N66" s="84"/>
    </row>
    <row r="67" spans="1:14">
      <c r="A67" s="225" t="s">
        <v>0</v>
      </c>
      <c r="B67" s="242" t="s">
        <v>2</v>
      </c>
      <c r="C67" s="45" t="s">
        <v>1</v>
      </c>
      <c r="D67" s="308" t="s">
        <v>20</v>
      </c>
      <c r="E67" s="309"/>
      <c r="F67" s="310"/>
      <c r="G67" s="54"/>
      <c r="H67" s="47" t="s">
        <v>21</v>
      </c>
      <c r="I67" s="48"/>
      <c r="J67" s="78"/>
      <c r="K67" s="54"/>
      <c r="L67" s="317" t="s">
        <v>22</v>
      </c>
      <c r="M67" s="317"/>
      <c r="N67" s="318"/>
    </row>
    <row r="68" spans="1:14" ht="15.75" thickBot="1">
      <c r="A68" s="226"/>
      <c r="B68" s="243"/>
      <c r="C68" s="46"/>
      <c r="D68" s="26" t="s">
        <v>23</v>
      </c>
      <c r="E68" s="27" t="s">
        <v>24</v>
      </c>
      <c r="F68" s="71" t="s">
        <v>9</v>
      </c>
      <c r="G68" s="51"/>
      <c r="H68" s="26" t="s">
        <v>23</v>
      </c>
      <c r="I68" s="27" t="s">
        <v>24</v>
      </c>
      <c r="J68" s="71" t="s">
        <v>9</v>
      </c>
      <c r="K68" s="51"/>
      <c r="L68" s="26" t="s">
        <v>23</v>
      </c>
      <c r="M68" s="27" t="s">
        <v>24</v>
      </c>
      <c r="N68" s="71" t="s">
        <v>9</v>
      </c>
    </row>
    <row r="69" spans="1:14" ht="15.75" thickBot="1">
      <c r="A69" s="221" t="s">
        <v>29</v>
      </c>
      <c r="B69" s="238" t="s">
        <v>10</v>
      </c>
      <c r="C69" s="30" t="s">
        <v>3</v>
      </c>
      <c r="D69" s="31">
        <f>'e-sub'!D3</f>
        <v>2.4000000000000004</v>
      </c>
      <c r="E69" s="1">
        <f>D69/8</f>
        <v>0.30000000000000004</v>
      </c>
      <c r="F69" s="72">
        <f>D69*Rate!$B$2</f>
        <v>72.000000000000014</v>
      </c>
      <c r="G69" s="52"/>
      <c r="H69" s="31">
        <f>'e-sub'!H3</f>
        <v>3</v>
      </c>
      <c r="I69" s="59">
        <f>H69/8</f>
        <v>0.375</v>
      </c>
      <c r="J69" s="72">
        <f>H69*Rate!$B$2</f>
        <v>90</v>
      </c>
      <c r="K69" s="55"/>
      <c r="L69" s="31">
        <f>'e-sub'!L3</f>
        <v>3.75</v>
      </c>
      <c r="M69" s="1">
        <f>L69/8</f>
        <v>0.46875</v>
      </c>
      <c r="N69" s="72">
        <f>L69*Rate!$B$2</f>
        <v>112.5</v>
      </c>
    </row>
    <row r="70" spans="1:14" ht="15.75" thickBot="1">
      <c r="A70" s="223" t="s">
        <v>29</v>
      </c>
      <c r="B70" s="240" t="s">
        <v>10</v>
      </c>
      <c r="C70" s="4" t="s">
        <v>7</v>
      </c>
      <c r="D70" s="31">
        <f>'e-sub'!D4</f>
        <v>0</v>
      </c>
      <c r="E70" s="5">
        <f>D70/8</f>
        <v>0</v>
      </c>
      <c r="F70" s="72">
        <f>D70*Rate!$B$3</f>
        <v>0</v>
      </c>
      <c r="G70" s="52"/>
      <c r="H70" s="31">
        <f>'e-sub'!H4</f>
        <v>0</v>
      </c>
      <c r="I70" s="59">
        <f t="shared" ref="I70:I72" si="36">H70/8</f>
        <v>0</v>
      </c>
      <c r="J70" s="72">
        <f>H70*Rate!$B$3</f>
        <v>0</v>
      </c>
      <c r="K70" s="55"/>
      <c r="L70" s="31">
        <f>'e-sub'!L4</f>
        <v>0</v>
      </c>
      <c r="M70" s="1">
        <f t="shared" ref="M70:M72" si="37">L70/8</f>
        <v>0</v>
      </c>
      <c r="N70" s="72">
        <f>L70*Rate!$B$3</f>
        <v>0</v>
      </c>
    </row>
    <row r="71" spans="1:14" ht="15.75" thickBot="1">
      <c r="A71" s="223" t="s">
        <v>29</v>
      </c>
      <c r="B71" s="240" t="s">
        <v>10</v>
      </c>
      <c r="C71" s="4" t="s">
        <v>5</v>
      </c>
      <c r="D71" s="31">
        <f>'e-sub'!D5</f>
        <v>128</v>
      </c>
      <c r="E71" s="5">
        <f>D71/8</f>
        <v>16</v>
      </c>
      <c r="F71" s="72">
        <f>D71*Rate!$B$4</f>
        <v>3200</v>
      </c>
      <c r="G71" s="52"/>
      <c r="H71" s="31">
        <f>'e-sub'!H5</f>
        <v>160</v>
      </c>
      <c r="I71" s="59">
        <f t="shared" si="36"/>
        <v>20</v>
      </c>
      <c r="J71" s="72">
        <f>H71*Rate!$B$4</f>
        <v>4000</v>
      </c>
      <c r="K71" s="55"/>
      <c r="L71" s="31">
        <f>'e-sub'!L5</f>
        <v>200</v>
      </c>
      <c r="M71" s="1">
        <f t="shared" si="37"/>
        <v>25</v>
      </c>
      <c r="N71" s="72">
        <f>L71*Rate!$B$4</f>
        <v>5000</v>
      </c>
    </row>
    <row r="72" spans="1:14">
      <c r="A72" s="223" t="s">
        <v>29</v>
      </c>
      <c r="B72" s="240" t="s">
        <v>10</v>
      </c>
      <c r="C72" s="4" t="s">
        <v>4</v>
      </c>
      <c r="D72" s="31">
        <f>'e-sub'!D6</f>
        <v>64</v>
      </c>
      <c r="E72" s="5">
        <f>D72/8</f>
        <v>8</v>
      </c>
      <c r="F72" s="72">
        <f>D72*Rate!$B$5</f>
        <v>2112</v>
      </c>
      <c r="G72" s="52"/>
      <c r="H72" s="31">
        <f>'e-sub'!H6</f>
        <v>80</v>
      </c>
      <c r="I72" s="59">
        <f t="shared" si="36"/>
        <v>10</v>
      </c>
      <c r="J72" s="72">
        <f>H72*Rate!$B$5</f>
        <v>2640</v>
      </c>
      <c r="K72" s="55"/>
      <c r="L72" s="31">
        <f>'e-sub'!L6</f>
        <v>100</v>
      </c>
      <c r="M72" s="1">
        <f t="shared" si="37"/>
        <v>12.5</v>
      </c>
      <c r="N72" s="72">
        <f>L72*Rate!$B$5</f>
        <v>3300</v>
      </c>
    </row>
    <row r="73" spans="1:14" ht="15.75" thickBot="1">
      <c r="A73" s="222" t="s">
        <v>29</v>
      </c>
      <c r="B73" s="239" t="s">
        <v>10</v>
      </c>
      <c r="C73" s="8" t="s">
        <v>6</v>
      </c>
      <c r="D73" s="6">
        <f t="shared" ref="D73:E73" si="38">SUM(D69:D72)</f>
        <v>194.4</v>
      </c>
      <c r="E73" s="6">
        <f t="shared" si="38"/>
        <v>24.3</v>
      </c>
      <c r="F73" s="74">
        <f t="shared" ref="F73:J73" si="39">SUM(F69:F72)</f>
        <v>5384</v>
      </c>
      <c r="G73" s="53"/>
      <c r="H73" s="6">
        <f t="shared" si="39"/>
        <v>243</v>
      </c>
      <c r="I73" s="9">
        <f t="shared" si="39"/>
        <v>30.375</v>
      </c>
      <c r="J73" s="73">
        <f t="shared" si="39"/>
        <v>6730</v>
      </c>
      <c r="K73" s="56"/>
      <c r="L73" s="6">
        <f t="shared" ref="L73:N73" si="40">SUM(L69:L72)</f>
        <v>303.75</v>
      </c>
      <c r="M73" s="9">
        <f t="shared" si="40"/>
        <v>37.96875</v>
      </c>
      <c r="N73" s="73">
        <f t="shared" si="40"/>
        <v>8412.5</v>
      </c>
    </row>
    <row r="74" spans="1:14" ht="15.75" thickBot="1">
      <c r="A74" s="220"/>
      <c r="B74" s="237"/>
      <c r="C74" s="33"/>
      <c r="D74" s="33"/>
      <c r="E74" s="33"/>
      <c r="F74" s="70"/>
      <c r="G74" s="33"/>
      <c r="H74" s="33"/>
      <c r="I74" s="33"/>
      <c r="J74" s="70"/>
      <c r="K74" s="33"/>
      <c r="L74" s="33"/>
      <c r="M74" s="33"/>
      <c r="N74" s="84"/>
    </row>
    <row r="75" spans="1:14">
      <c r="A75" s="225" t="s">
        <v>0</v>
      </c>
      <c r="B75" s="242" t="s">
        <v>2</v>
      </c>
      <c r="C75" s="45" t="s">
        <v>1</v>
      </c>
      <c r="D75" s="308" t="s">
        <v>20</v>
      </c>
      <c r="E75" s="309"/>
      <c r="F75" s="310"/>
      <c r="G75" s="54"/>
      <c r="H75" s="47" t="s">
        <v>21</v>
      </c>
      <c r="I75" s="48"/>
      <c r="J75" s="78"/>
      <c r="K75" s="54"/>
      <c r="L75" s="317" t="s">
        <v>22</v>
      </c>
      <c r="M75" s="317"/>
      <c r="N75" s="318"/>
    </row>
    <row r="76" spans="1:14" ht="15.75" thickBot="1">
      <c r="A76" s="226"/>
      <c r="B76" s="243"/>
      <c r="C76" s="46"/>
      <c r="D76" s="26" t="s">
        <v>23</v>
      </c>
      <c r="E76" s="27" t="s">
        <v>24</v>
      </c>
      <c r="F76" s="71" t="s">
        <v>9</v>
      </c>
      <c r="G76" s="51"/>
      <c r="H76" s="26" t="s">
        <v>23</v>
      </c>
      <c r="I76" s="27" t="s">
        <v>24</v>
      </c>
      <c r="J76" s="71" t="s">
        <v>9</v>
      </c>
      <c r="K76" s="51"/>
      <c r="L76" s="26" t="s">
        <v>23</v>
      </c>
      <c r="M76" s="27" t="s">
        <v>24</v>
      </c>
      <c r="N76" s="71" t="s">
        <v>9</v>
      </c>
    </row>
    <row r="77" spans="1:14" ht="15.75" thickBot="1">
      <c r="A77" s="221" t="s">
        <v>30</v>
      </c>
      <c r="B77" s="238" t="s">
        <v>10</v>
      </c>
      <c r="C77" s="30" t="s">
        <v>3</v>
      </c>
      <c r="D77" s="31">
        <f>'e-sub'!D11</f>
        <v>8</v>
      </c>
      <c r="E77" s="1">
        <f>D77/8</f>
        <v>1</v>
      </c>
      <c r="F77" s="72">
        <f>D77*Rate!$B$2</f>
        <v>240</v>
      </c>
      <c r="G77" s="52"/>
      <c r="H77" s="31">
        <f>'e-sub'!H11</f>
        <v>10</v>
      </c>
      <c r="I77" s="59">
        <f>H77/8</f>
        <v>1.25</v>
      </c>
      <c r="J77" s="72">
        <f>H77*Rate!$B$2</f>
        <v>300</v>
      </c>
      <c r="K77" s="55"/>
      <c r="L77" s="31">
        <f>'e-sub'!L11</f>
        <v>12.5</v>
      </c>
      <c r="M77" s="1">
        <f>L77/8</f>
        <v>1.5625</v>
      </c>
      <c r="N77" s="72">
        <f>L77*Rate!$B$2</f>
        <v>375</v>
      </c>
    </row>
    <row r="78" spans="1:14" ht="15.75" thickBot="1">
      <c r="A78" s="223" t="s">
        <v>30</v>
      </c>
      <c r="B78" s="240" t="s">
        <v>10</v>
      </c>
      <c r="C78" s="4" t="s">
        <v>7</v>
      </c>
      <c r="D78" s="31">
        <f>'e-sub'!D12</f>
        <v>0</v>
      </c>
      <c r="E78" s="5">
        <f>D78/8</f>
        <v>0</v>
      </c>
      <c r="F78" s="72">
        <f>D78*Rate!$B$3</f>
        <v>0</v>
      </c>
      <c r="G78" s="52"/>
      <c r="H78" s="31">
        <f>'e-sub'!H12</f>
        <v>0</v>
      </c>
      <c r="I78" s="59">
        <f t="shared" ref="I78:I80" si="41">H78/8</f>
        <v>0</v>
      </c>
      <c r="J78" s="72">
        <f>H78*Rate!$B$3</f>
        <v>0</v>
      </c>
      <c r="K78" s="55"/>
      <c r="L78" s="31">
        <f>'e-sub'!L12</f>
        <v>0</v>
      </c>
      <c r="M78" s="1">
        <f t="shared" ref="M78:M80" si="42">L78/8</f>
        <v>0</v>
      </c>
      <c r="N78" s="72">
        <f>L78*Rate!$B$3</f>
        <v>0</v>
      </c>
    </row>
    <row r="79" spans="1:14" ht="15.75" thickBot="1">
      <c r="A79" s="223" t="s">
        <v>30</v>
      </c>
      <c r="B79" s="240" t="s">
        <v>10</v>
      </c>
      <c r="C79" s="4" t="s">
        <v>5</v>
      </c>
      <c r="D79" s="31">
        <f>'e-sub'!D13</f>
        <v>92.800000000000011</v>
      </c>
      <c r="E79" s="5">
        <f>D79/8</f>
        <v>11.600000000000001</v>
      </c>
      <c r="F79" s="72">
        <f>D79*Rate!$B$4</f>
        <v>2320.0000000000005</v>
      </c>
      <c r="G79" s="52"/>
      <c r="H79" s="31">
        <f>'e-sub'!H13</f>
        <v>116</v>
      </c>
      <c r="I79" s="59">
        <f t="shared" si="41"/>
        <v>14.5</v>
      </c>
      <c r="J79" s="72">
        <f>H79*Rate!$B$4</f>
        <v>2900</v>
      </c>
      <c r="K79" s="55"/>
      <c r="L79" s="31">
        <f>'e-sub'!L13</f>
        <v>145</v>
      </c>
      <c r="M79" s="1">
        <f t="shared" si="42"/>
        <v>18.125</v>
      </c>
      <c r="N79" s="72">
        <f>L79*Rate!$B$4</f>
        <v>3625</v>
      </c>
    </row>
    <row r="80" spans="1:14">
      <c r="A80" s="223" t="s">
        <v>30</v>
      </c>
      <c r="B80" s="240" t="s">
        <v>10</v>
      </c>
      <c r="C80" s="4" t="s">
        <v>4</v>
      </c>
      <c r="D80" s="31">
        <f>'e-sub'!D14</f>
        <v>49.6</v>
      </c>
      <c r="E80" s="5">
        <f>D80/8</f>
        <v>6.2</v>
      </c>
      <c r="F80" s="72">
        <f>D80*Rate!$B$5</f>
        <v>1636.8</v>
      </c>
      <c r="G80" s="52"/>
      <c r="H80" s="31">
        <f>'e-sub'!H14</f>
        <v>62</v>
      </c>
      <c r="I80" s="59">
        <f t="shared" si="41"/>
        <v>7.75</v>
      </c>
      <c r="J80" s="72">
        <f>H80*Rate!$B$5</f>
        <v>2046</v>
      </c>
      <c r="K80" s="55"/>
      <c r="L80" s="31">
        <f>'e-sub'!L14</f>
        <v>77.5</v>
      </c>
      <c r="M80" s="1">
        <f t="shared" si="42"/>
        <v>9.6875</v>
      </c>
      <c r="N80" s="72">
        <f>L80*Rate!$B$5</f>
        <v>2557.5</v>
      </c>
    </row>
    <row r="81" spans="1:14" ht="15.75" thickBot="1">
      <c r="A81" s="222" t="s">
        <v>30</v>
      </c>
      <c r="B81" s="239" t="s">
        <v>10</v>
      </c>
      <c r="C81" s="8" t="s">
        <v>6</v>
      </c>
      <c r="D81" s="107">
        <f>SUM(D77:D80)</f>
        <v>150.4</v>
      </c>
      <c r="E81" s="6">
        <f t="shared" ref="E81" si="43">SUM(E77:E80)</f>
        <v>18.8</v>
      </c>
      <c r="F81" s="73">
        <f t="shared" ref="F81" si="44">SUM(F77:F80)</f>
        <v>4196.8</v>
      </c>
      <c r="G81" s="53"/>
      <c r="H81" s="6">
        <f t="shared" ref="H81:J81" si="45">SUM(H77:H80)</f>
        <v>188</v>
      </c>
      <c r="I81" s="9">
        <f t="shared" ref="I81" si="46">SUM(I77:I80)</f>
        <v>23.5</v>
      </c>
      <c r="J81" s="73">
        <f t="shared" si="45"/>
        <v>5246</v>
      </c>
      <c r="K81" s="56"/>
      <c r="L81" s="6">
        <f t="shared" ref="L81:N81" si="47">SUM(L77:L80)</f>
        <v>235</v>
      </c>
      <c r="M81" s="9">
        <f t="shared" ref="M81" si="48">SUM(M77:M80)</f>
        <v>29.375</v>
      </c>
      <c r="N81" s="73">
        <f t="shared" si="47"/>
        <v>6557.5</v>
      </c>
    </row>
    <row r="82" spans="1:14" ht="15.75" thickBot="1">
      <c r="A82" s="220"/>
      <c r="B82" s="237"/>
      <c r="C82" s="33"/>
      <c r="D82" s="33"/>
      <c r="E82" s="33"/>
      <c r="F82" s="70"/>
      <c r="G82" s="33"/>
      <c r="H82" s="33"/>
      <c r="I82" s="33"/>
      <c r="J82" s="70"/>
      <c r="K82" s="33"/>
      <c r="L82" s="33"/>
      <c r="M82" s="33"/>
      <c r="N82" s="84"/>
    </row>
    <row r="83" spans="1:14">
      <c r="A83" s="225" t="s">
        <v>0</v>
      </c>
      <c r="B83" s="242" t="s">
        <v>2</v>
      </c>
      <c r="C83" s="45" t="s">
        <v>1</v>
      </c>
      <c r="D83" s="308" t="s">
        <v>20</v>
      </c>
      <c r="E83" s="309"/>
      <c r="F83" s="310"/>
      <c r="G83" s="54"/>
      <c r="H83" s="47" t="s">
        <v>21</v>
      </c>
      <c r="I83" s="48"/>
      <c r="J83" s="78"/>
      <c r="K83" s="54"/>
      <c r="L83" s="317" t="s">
        <v>22</v>
      </c>
      <c r="M83" s="317"/>
      <c r="N83" s="318"/>
    </row>
    <row r="84" spans="1:14" ht="15.75" thickBot="1">
      <c r="A84" s="226"/>
      <c r="B84" s="243"/>
      <c r="C84" s="46"/>
      <c r="D84" s="26" t="s">
        <v>23</v>
      </c>
      <c r="E84" s="27" t="s">
        <v>24</v>
      </c>
      <c r="F84" s="71" t="s">
        <v>9</v>
      </c>
      <c r="G84" s="51"/>
      <c r="H84" s="26" t="s">
        <v>23</v>
      </c>
      <c r="I84" s="27" t="s">
        <v>24</v>
      </c>
      <c r="J84" s="71" t="s">
        <v>9</v>
      </c>
      <c r="K84" s="51"/>
      <c r="L84" s="26" t="s">
        <v>23</v>
      </c>
      <c r="M84" s="27" t="s">
        <v>24</v>
      </c>
      <c r="N84" s="71" t="s">
        <v>9</v>
      </c>
    </row>
    <row r="85" spans="1:14" ht="30.75" thickBot="1">
      <c r="A85" s="221" t="s">
        <v>42</v>
      </c>
      <c r="B85" s="238" t="s">
        <v>10</v>
      </c>
      <c r="C85" s="30" t="s">
        <v>3</v>
      </c>
      <c r="D85" s="31">
        <f>SUM(D45,D37,D53,D61)</f>
        <v>203</v>
      </c>
      <c r="E85" s="1">
        <f>D85/8</f>
        <v>25.375</v>
      </c>
      <c r="F85" s="72">
        <f>D85*Rate!$B$2</f>
        <v>6090</v>
      </c>
      <c r="G85" s="52"/>
      <c r="H85" s="31">
        <f>SUM(H45,H37,H53,H61)</f>
        <v>316</v>
      </c>
      <c r="I85" s="59">
        <f>H85/8</f>
        <v>39.5</v>
      </c>
      <c r="J85" s="72">
        <f>H85*Rate!$B$2</f>
        <v>9480</v>
      </c>
      <c r="K85" s="55"/>
      <c r="L85" s="31">
        <f>SUM(L45,L37,L53,L61)</f>
        <v>395.75</v>
      </c>
      <c r="M85" s="1">
        <f>L85/8</f>
        <v>49.46875</v>
      </c>
      <c r="N85" s="72">
        <f>L85*Rate!$B$2</f>
        <v>11872.5</v>
      </c>
    </row>
    <row r="86" spans="1:14" ht="30.75" thickBot="1">
      <c r="A86" s="221" t="s">
        <v>42</v>
      </c>
      <c r="B86" s="240" t="s">
        <v>10</v>
      </c>
      <c r="C86" s="4" t="s">
        <v>7</v>
      </c>
      <c r="D86" s="31">
        <f t="shared" ref="D86:D88" si="49">SUM(D46,D38,D54,D62)</f>
        <v>70</v>
      </c>
      <c r="E86" s="5">
        <f>D86/8</f>
        <v>8.75</v>
      </c>
      <c r="F86" s="72">
        <f>D86*Rate!$B$3</f>
        <v>2800</v>
      </c>
      <c r="G86" s="52"/>
      <c r="H86" s="31">
        <f t="shared" ref="H86:H88" si="50">SUM(H46,H38,H54,H62)</f>
        <v>113</v>
      </c>
      <c r="I86" s="59">
        <f t="shared" ref="I86:I88" si="51">H86/8</f>
        <v>14.125</v>
      </c>
      <c r="J86" s="72">
        <f>H86*Rate!$B$3</f>
        <v>4520</v>
      </c>
      <c r="K86" s="55"/>
      <c r="L86" s="31">
        <f t="shared" ref="L86:L88" si="52">SUM(L46,L38,L54,L62)</f>
        <v>149.25</v>
      </c>
      <c r="M86" s="1">
        <f t="shared" ref="M86:M88" si="53">L86/8</f>
        <v>18.65625</v>
      </c>
      <c r="N86" s="72">
        <f>L86*Rate!$B$3</f>
        <v>5970</v>
      </c>
    </row>
    <row r="87" spans="1:14" ht="30.75" thickBot="1">
      <c r="A87" s="221" t="s">
        <v>42</v>
      </c>
      <c r="B87" s="240" t="s">
        <v>10</v>
      </c>
      <c r="C87" s="4" t="s">
        <v>5</v>
      </c>
      <c r="D87" s="31">
        <f t="shared" si="49"/>
        <v>567</v>
      </c>
      <c r="E87" s="5">
        <f>D87/8</f>
        <v>70.875</v>
      </c>
      <c r="F87" s="72">
        <f>D87*Rate!$B$4</f>
        <v>14175</v>
      </c>
      <c r="G87" s="52"/>
      <c r="H87" s="31">
        <f t="shared" si="50"/>
        <v>900.5</v>
      </c>
      <c r="I87" s="59">
        <f t="shared" si="51"/>
        <v>112.5625</v>
      </c>
      <c r="J87" s="72">
        <f>H87*Rate!$B$4</f>
        <v>22512.5</v>
      </c>
      <c r="K87" s="55"/>
      <c r="L87" s="31">
        <f t="shared" si="52"/>
        <v>1145.5</v>
      </c>
      <c r="M87" s="1">
        <f t="shared" si="53"/>
        <v>143.1875</v>
      </c>
      <c r="N87" s="72">
        <f>L87*Rate!$B$4</f>
        <v>28637.5</v>
      </c>
    </row>
    <row r="88" spans="1:14" ht="30">
      <c r="A88" s="221" t="s">
        <v>42</v>
      </c>
      <c r="B88" s="240" t="s">
        <v>10</v>
      </c>
      <c r="C88" s="4" t="s">
        <v>4</v>
      </c>
      <c r="D88" s="31">
        <f t="shared" si="49"/>
        <v>380</v>
      </c>
      <c r="E88" s="5">
        <f>D88/8</f>
        <v>47.5</v>
      </c>
      <c r="F88" s="72">
        <f>D88*Rate!$B$5</f>
        <v>12540</v>
      </c>
      <c r="G88" s="52"/>
      <c r="H88" s="31">
        <f t="shared" si="50"/>
        <v>608.5</v>
      </c>
      <c r="I88" s="59">
        <f t="shared" si="51"/>
        <v>76.0625</v>
      </c>
      <c r="J88" s="72">
        <f>H88*Rate!$B$5</f>
        <v>20080.5</v>
      </c>
      <c r="K88" s="55"/>
      <c r="L88" s="31">
        <f t="shared" si="52"/>
        <v>755</v>
      </c>
      <c r="M88" s="1">
        <f t="shared" si="53"/>
        <v>94.375</v>
      </c>
      <c r="N88" s="72">
        <f>L88*Rate!$B$5</f>
        <v>24915</v>
      </c>
    </row>
    <row r="89" spans="1:14" ht="30.75" thickBot="1">
      <c r="A89" s="222" t="s">
        <v>42</v>
      </c>
      <c r="B89" s="239" t="s">
        <v>10</v>
      </c>
      <c r="C89" s="8" t="s">
        <v>6</v>
      </c>
      <c r="D89" s="57">
        <f t="shared" ref="D89:F89" si="54">SUM(D85:D88)</f>
        <v>1220</v>
      </c>
      <c r="E89" s="57">
        <f t="shared" si="54"/>
        <v>152.5</v>
      </c>
      <c r="F89" s="73">
        <f t="shared" si="54"/>
        <v>35605</v>
      </c>
      <c r="G89" s="53"/>
      <c r="H89" s="57">
        <f t="shared" ref="H89:J89" si="55">SUM(H85:H88)</f>
        <v>1938</v>
      </c>
      <c r="I89" s="9">
        <f t="shared" si="55"/>
        <v>242.25</v>
      </c>
      <c r="J89" s="73">
        <f t="shared" si="55"/>
        <v>56593</v>
      </c>
      <c r="K89" s="56"/>
      <c r="L89" s="57">
        <f t="shared" ref="L89:N89" si="56">SUM(L85:L88)</f>
        <v>2445.5</v>
      </c>
      <c r="M89" s="9">
        <f t="shared" si="56"/>
        <v>305.6875</v>
      </c>
      <c r="N89" s="73">
        <f t="shared" si="56"/>
        <v>71395</v>
      </c>
    </row>
    <row r="90" spans="1:14" ht="15.75" thickBot="1">
      <c r="A90" s="220"/>
      <c r="B90" s="237"/>
      <c r="C90" s="33"/>
      <c r="D90" s="33"/>
      <c r="E90" s="33"/>
      <c r="F90" s="70"/>
      <c r="G90" s="33"/>
      <c r="H90" s="33"/>
      <c r="I90" s="33"/>
      <c r="J90" s="70"/>
      <c r="K90" s="33"/>
      <c r="L90" s="33"/>
      <c r="M90" s="33"/>
      <c r="N90" s="84"/>
    </row>
    <row r="91" spans="1:14">
      <c r="A91" s="225" t="s">
        <v>0</v>
      </c>
      <c r="B91" s="242" t="s">
        <v>2</v>
      </c>
      <c r="C91" s="40" t="s">
        <v>1</v>
      </c>
      <c r="D91" s="308" t="s">
        <v>20</v>
      </c>
      <c r="E91" s="309"/>
      <c r="F91" s="310"/>
      <c r="G91" s="50"/>
      <c r="H91" s="42" t="s">
        <v>21</v>
      </c>
      <c r="I91" s="43"/>
      <c r="J91" s="78"/>
      <c r="K91" s="50"/>
      <c r="L91" s="317" t="s">
        <v>22</v>
      </c>
      <c r="M91" s="317"/>
      <c r="N91" s="318"/>
    </row>
    <row r="92" spans="1:14" ht="15.75" thickBot="1">
      <c r="A92" s="226"/>
      <c r="B92" s="243"/>
      <c r="C92" s="41"/>
      <c r="D92" s="26" t="s">
        <v>23</v>
      </c>
      <c r="E92" s="27" t="s">
        <v>24</v>
      </c>
      <c r="F92" s="71" t="s">
        <v>9</v>
      </c>
      <c r="G92" s="51"/>
      <c r="H92" s="26" t="s">
        <v>23</v>
      </c>
      <c r="I92" s="27" t="s">
        <v>24</v>
      </c>
      <c r="J92" s="71" t="s">
        <v>9</v>
      </c>
      <c r="K92" s="51"/>
      <c r="L92" s="26" t="s">
        <v>23</v>
      </c>
      <c r="M92" s="27" t="s">
        <v>24</v>
      </c>
      <c r="N92" s="71" t="s">
        <v>9</v>
      </c>
    </row>
    <row r="93" spans="1:14" ht="15.75" thickBot="1">
      <c r="A93" s="221" t="s">
        <v>43</v>
      </c>
      <c r="B93" s="238" t="s">
        <v>10</v>
      </c>
      <c r="C93" s="30" t="s">
        <v>3</v>
      </c>
      <c r="D93" s="31">
        <f>SUM(D69,D77)</f>
        <v>10.4</v>
      </c>
      <c r="E93" s="1">
        <f>D93/8</f>
        <v>1.3</v>
      </c>
      <c r="F93" s="72">
        <f>D93*Rate!$B$2</f>
        <v>312</v>
      </c>
      <c r="G93" s="52"/>
      <c r="H93" s="31">
        <f>SUM(H69,H77)</f>
        <v>13</v>
      </c>
      <c r="I93" s="59">
        <f>H93/8</f>
        <v>1.625</v>
      </c>
      <c r="J93" s="72">
        <f>H93*Rate!$B$2</f>
        <v>390</v>
      </c>
      <c r="K93" s="55"/>
      <c r="L93" s="31">
        <f>SUM(L69,L77)</f>
        <v>16.25</v>
      </c>
      <c r="M93" s="1">
        <f>L93/8</f>
        <v>2.03125</v>
      </c>
      <c r="N93" s="72">
        <f>L93*Rate!$B$2</f>
        <v>487.5</v>
      </c>
    </row>
    <row r="94" spans="1:14" ht="15.75" thickBot="1">
      <c r="A94" s="223" t="s">
        <v>43</v>
      </c>
      <c r="B94" s="240" t="s">
        <v>10</v>
      </c>
      <c r="C94" s="4" t="s">
        <v>7</v>
      </c>
      <c r="D94" s="31">
        <f t="shared" ref="D94:D96" si="57">SUM(D70,D78)</f>
        <v>0</v>
      </c>
      <c r="E94" s="5">
        <f>D94/8</f>
        <v>0</v>
      </c>
      <c r="F94" s="72">
        <f>D94*Rate!$B$3</f>
        <v>0</v>
      </c>
      <c r="G94" s="52"/>
      <c r="H94" s="31">
        <f t="shared" ref="H94:H96" si="58">SUM(H70,H78)</f>
        <v>0</v>
      </c>
      <c r="I94" s="59">
        <f t="shared" ref="I94:I96" si="59">H94/8</f>
        <v>0</v>
      </c>
      <c r="J94" s="72">
        <f>H94*Rate!$B$3</f>
        <v>0</v>
      </c>
      <c r="K94" s="55"/>
      <c r="L94" s="31">
        <f t="shared" ref="L94:L96" si="60">SUM(L70,L78)</f>
        <v>0</v>
      </c>
      <c r="M94" s="1">
        <f t="shared" ref="M94:M96" si="61">L94/8</f>
        <v>0</v>
      </c>
      <c r="N94" s="72">
        <f>L94*Rate!$B$3</f>
        <v>0</v>
      </c>
    </row>
    <row r="95" spans="1:14" ht="15.75" thickBot="1">
      <c r="A95" s="223" t="s">
        <v>43</v>
      </c>
      <c r="B95" s="240" t="s">
        <v>10</v>
      </c>
      <c r="C95" s="4" t="s">
        <v>5</v>
      </c>
      <c r="D95" s="31">
        <f t="shared" si="57"/>
        <v>220.8</v>
      </c>
      <c r="E95" s="5">
        <f>D95/8</f>
        <v>27.6</v>
      </c>
      <c r="F95" s="72">
        <f>D95*Rate!$B$4</f>
        <v>5520</v>
      </c>
      <c r="G95" s="52"/>
      <c r="H95" s="31">
        <f t="shared" si="58"/>
        <v>276</v>
      </c>
      <c r="I95" s="59">
        <f t="shared" si="59"/>
        <v>34.5</v>
      </c>
      <c r="J95" s="72">
        <f>H95*Rate!$B$4</f>
        <v>6900</v>
      </c>
      <c r="K95" s="55"/>
      <c r="L95" s="31">
        <f t="shared" si="60"/>
        <v>345</v>
      </c>
      <c r="M95" s="1">
        <f t="shared" si="61"/>
        <v>43.125</v>
      </c>
      <c r="N95" s="72">
        <f>L95*Rate!$B$4</f>
        <v>8625</v>
      </c>
    </row>
    <row r="96" spans="1:14">
      <c r="A96" s="223" t="s">
        <v>43</v>
      </c>
      <c r="B96" s="240" t="s">
        <v>10</v>
      </c>
      <c r="C96" s="4" t="s">
        <v>4</v>
      </c>
      <c r="D96" s="31">
        <f t="shared" si="57"/>
        <v>113.6</v>
      </c>
      <c r="E96" s="5">
        <f>D96/8</f>
        <v>14.2</v>
      </c>
      <c r="F96" s="72">
        <f>D96*Rate!$B$5</f>
        <v>3748.7999999999997</v>
      </c>
      <c r="G96" s="52"/>
      <c r="H96" s="31">
        <f t="shared" si="58"/>
        <v>142</v>
      </c>
      <c r="I96" s="59">
        <f t="shared" si="59"/>
        <v>17.75</v>
      </c>
      <c r="J96" s="72">
        <f>H96*Rate!$B$5</f>
        <v>4686</v>
      </c>
      <c r="K96" s="55"/>
      <c r="L96" s="31">
        <f t="shared" si="60"/>
        <v>177.5</v>
      </c>
      <c r="M96" s="1">
        <f t="shared" si="61"/>
        <v>22.1875</v>
      </c>
      <c r="N96" s="72">
        <f>L96*Rate!$B$5</f>
        <v>5857.5</v>
      </c>
    </row>
    <row r="97" spans="1:20" ht="15.75" thickBot="1">
      <c r="A97" s="222" t="s">
        <v>43</v>
      </c>
      <c r="B97" s="239" t="s">
        <v>10</v>
      </c>
      <c r="C97" s="8" t="s">
        <v>6</v>
      </c>
      <c r="D97" s="57">
        <f t="shared" ref="D97:N97" si="62">SUM(D93:D96)</f>
        <v>344.8</v>
      </c>
      <c r="E97" s="57">
        <f t="shared" si="62"/>
        <v>43.1</v>
      </c>
      <c r="F97" s="73">
        <f t="shared" si="62"/>
        <v>9580.7999999999993</v>
      </c>
      <c r="G97" s="53"/>
      <c r="H97" s="57">
        <f t="shared" si="62"/>
        <v>431</v>
      </c>
      <c r="I97" s="9">
        <f t="shared" ref="I97" si="63">SUM(I93:I96)</f>
        <v>53.875</v>
      </c>
      <c r="J97" s="73">
        <f t="shared" si="62"/>
        <v>11976</v>
      </c>
      <c r="K97" s="56"/>
      <c r="L97" s="57">
        <f t="shared" si="62"/>
        <v>538.75</v>
      </c>
      <c r="M97" s="9">
        <f t="shared" ref="M97" si="64">SUM(M93:M96)</f>
        <v>67.34375</v>
      </c>
      <c r="N97" s="73">
        <f t="shared" si="62"/>
        <v>14970</v>
      </c>
    </row>
    <row r="98" spans="1:20" ht="15.75" thickBot="1">
      <c r="A98" s="220"/>
      <c r="B98" s="237"/>
      <c r="C98" s="33"/>
      <c r="D98" s="33"/>
      <c r="E98" s="33"/>
      <c r="F98" s="70"/>
      <c r="G98" s="33"/>
      <c r="H98" s="33"/>
      <c r="I98" s="33"/>
      <c r="J98" s="70"/>
      <c r="K98" s="33"/>
      <c r="L98" s="33"/>
      <c r="M98" s="33"/>
      <c r="N98" s="84"/>
    </row>
    <row r="99" spans="1:20">
      <c r="A99" s="225" t="s">
        <v>0</v>
      </c>
      <c r="B99" s="242" t="s">
        <v>2</v>
      </c>
      <c r="C99" s="45" t="s">
        <v>1</v>
      </c>
      <c r="D99" s="308" t="s">
        <v>20</v>
      </c>
      <c r="E99" s="309"/>
      <c r="F99" s="310"/>
      <c r="G99" s="54"/>
      <c r="H99" s="47" t="s">
        <v>21</v>
      </c>
      <c r="I99" s="48"/>
      <c r="J99" s="78"/>
      <c r="K99" s="54"/>
      <c r="L99" s="317" t="s">
        <v>22</v>
      </c>
      <c r="M99" s="317"/>
      <c r="N99" s="318"/>
    </row>
    <row r="100" spans="1:20" ht="15.75" thickBot="1">
      <c r="A100" s="226"/>
      <c r="B100" s="243"/>
      <c r="C100" s="46"/>
      <c r="D100" s="26" t="s">
        <v>23</v>
      </c>
      <c r="E100" s="27" t="s">
        <v>24</v>
      </c>
      <c r="F100" s="71" t="s">
        <v>9</v>
      </c>
      <c r="G100" s="51"/>
      <c r="H100" s="26" t="s">
        <v>23</v>
      </c>
      <c r="I100" s="27" t="s">
        <v>24</v>
      </c>
      <c r="J100" s="71" t="s">
        <v>9</v>
      </c>
      <c r="K100" s="51"/>
      <c r="L100" s="26" t="s">
        <v>23</v>
      </c>
      <c r="M100" s="27" t="s">
        <v>24</v>
      </c>
      <c r="N100" s="71" t="s">
        <v>9</v>
      </c>
      <c r="Q100">
        <v>5180.6000000000004</v>
      </c>
      <c r="R100">
        <v>647.57500000000005</v>
      </c>
    </row>
    <row r="101" spans="1:20">
      <c r="A101" s="221" t="s">
        <v>44</v>
      </c>
      <c r="B101" s="238" t="s">
        <v>10</v>
      </c>
      <c r="C101" s="30" t="s">
        <v>3</v>
      </c>
      <c r="D101" s="31">
        <f>SUM(D93,D85,D28)</f>
        <v>278.39999999999998</v>
      </c>
      <c r="E101" s="1">
        <f>D101/8</f>
        <v>34.799999999999997</v>
      </c>
      <c r="F101" s="72">
        <f>D101*Rate!$B$2</f>
        <v>8352</v>
      </c>
      <c r="G101" s="52"/>
      <c r="H101" s="31">
        <f>SUM(H93,H85,H28)</f>
        <v>428</v>
      </c>
      <c r="I101" s="1">
        <f>H101/8</f>
        <v>53.5</v>
      </c>
      <c r="J101" s="72">
        <f>H101*Rate!$B$2</f>
        <v>12840</v>
      </c>
      <c r="K101" s="55"/>
      <c r="L101" s="31">
        <f>SUM(L93,L85,L28)</f>
        <v>530</v>
      </c>
      <c r="M101" s="1">
        <f>L101/8</f>
        <v>66.25</v>
      </c>
      <c r="N101" s="72">
        <f>L101*Rate!$B$2</f>
        <v>15900</v>
      </c>
    </row>
    <row r="102" spans="1:20">
      <c r="A102" s="223" t="s">
        <v>44</v>
      </c>
      <c r="B102" s="240" t="s">
        <v>10</v>
      </c>
      <c r="C102" s="4" t="s">
        <v>7</v>
      </c>
      <c r="D102" s="31">
        <f t="shared" ref="D102:D104" si="65">SUM(D94,D86,D29)</f>
        <v>82</v>
      </c>
      <c r="E102" s="5">
        <f>D102/8</f>
        <v>10.25</v>
      </c>
      <c r="F102" s="72">
        <f>D102*Rate!$B$3</f>
        <v>3280</v>
      </c>
      <c r="G102" s="52"/>
      <c r="H102" s="31">
        <f t="shared" ref="H102:H104" si="66">SUM(H94,H86,H29)</f>
        <v>131</v>
      </c>
      <c r="I102" s="5">
        <f>H102/8</f>
        <v>16.375</v>
      </c>
      <c r="J102" s="72">
        <f>H102*Rate!$B$3</f>
        <v>5240</v>
      </c>
      <c r="K102" s="55"/>
      <c r="L102" s="31">
        <f t="shared" ref="L102:L104" si="67">SUM(L94,L86,L29)</f>
        <v>171.25</v>
      </c>
      <c r="M102" s="5">
        <f>L102/8</f>
        <v>21.40625</v>
      </c>
      <c r="N102" s="72">
        <f>L102*Rate!$B$3</f>
        <v>6850</v>
      </c>
    </row>
    <row r="103" spans="1:20">
      <c r="A103" s="223" t="s">
        <v>44</v>
      </c>
      <c r="B103" s="240" t="s">
        <v>10</v>
      </c>
      <c r="C103" s="4" t="s">
        <v>5</v>
      </c>
      <c r="D103" s="31">
        <f t="shared" si="65"/>
        <v>812.8</v>
      </c>
      <c r="E103" s="5">
        <f>D103/8</f>
        <v>101.6</v>
      </c>
      <c r="F103" s="72">
        <f>D103*Rate!$B$4</f>
        <v>20320</v>
      </c>
      <c r="G103" s="52"/>
      <c r="H103" s="31">
        <f t="shared" si="66"/>
        <v>1214.5</v>
      </c>
      <c r="I103" s="5">
        <f>H103/8</f>
        <v>151.8125</v>
      </c>
      <c r="J103" s="72">
        <f>H103*Rate!$B$4</f>
        <v>30362.5</v>
      </c>
      <c r="K103" s="55"/>
      <c r="L103" s="31">
        <f t="shared" si="67"/>
        <v>1535.5</v>
      </c>
      <c r="M103" s="5">
        <f>L103/8</f>
        <v>191.9375</v>
      </c>
      <c r="N103" s="72">
        <f>L103*Rate!$B$4</f>
        <v>38387.5</v>
      </c>
      <c r="S103" s="168">
        <v>160000</v>
      </c>
      <c r="T103" s="168">
        <f>S103-N105</f>
        <v>67265</v>
      </c>
    </row>
    <row r="104" spans="1:20">
      <c r="A104" s="223" t="s">
        <v>44</v>
      </c>
      <c r="B104" s="240" t="s">
        <v>10</v>
      </c>
      <c r="C104" s="4" t="s">
        <v>4</v>
      </c>
      <c r="D104" s="31">
        <f t="shared" si="65"/>
        <v>507.6</v>
      </c>
      <c r="E104" s="5">
        <f>D104/8</f>
        <v>63.45</v>
      </c>
      <c r="F104" s="72">
        <f>D104*Rate!$B$5</f>
        <v>16750.8</v>
      </c>
      <c r="G104" s="52"/>
      <c r="H104" s="31">
        <f t="shared" si="66"/>
        <v>771.5</v>
      </c>
      <c r="I104" s="5">
        <f>H104/8</f>
        <v>96.4375</v>
      </c>
      <c r="J104" s="72">
        <f>H104*Rate!$B$5</f>
        <v>25459.5</v>
      </c>
      <c r="K104" s="55"/>
      <c r="L104" s="31">
        <f t="shared" si="67"/>
        <v>957.5</v>
      </c>
      <c r="M104" s="5">
        <f>L104/8</f>
        <v>119.6875</v>
      </c>
      <c r="N104" s="72">
        <f>L104*Rate!$B$5</f>
        <v>31597.5</v>
      </c>
    </row>
    <row r="105" spans="1:20" ht="15.75" thickBot="1">
      <c r="A105" s="227" t="s">
        <v>44</v>
      </c>
      <c r="B105" s="244" t="s">
        <v>10</v>
      </c>
      <c r="C105" s="88" t="s">
        <v>6</v>
      </c>
      <c r="D105" s="89">
        <f t="shared" ref="D105:F105" si="68">SUM(D101:D104)</f>
        <v>1680.7999999999997</v>
      </c>
      <c r="E105" s="89">
        <f t="shared" si="68"/>
        <v>210.09999999999997</v>
      </c>
      <c r="F105" s="90">
        <f t="shared" si="68"/>
        <v>48702.8</v>
      </c>
      <c r="G105" s="91"/>
      <c r="H105" s="89">
        <f t="shared" ref="H105:J105" si="69">SUM(H101:H104)</f>
        <v>2545</v>
      </c>
      <c r="I105" s="89">
        <f t="shared" ref="I105" si="70">SUM(I101:I104)</f>
        <v>318.125</v>
      </c>
      <c r="J105" s="90">
        <f t="shared" si="69"/>
        <v>73902</v>
      </c>
      <c r="K105" s="92"/>
      <c r="L105" s="89">
        <f t="shared" ref="L105:N105" si="71">SUM(L101:L104)</f>
        <v>3194.25</v>
      </c>
      <c r="M105" s="89">
        <f t="shared" ref="M105" si="72">SUM(M101:M104)</f>
        <v>399.28125</v>
      </c>
      <c r="N105" s="90">
        <f t="shared" si="71"/>
        <v>92735</v>
      </c>
      <c r="P105" t="s">
        <v>89</v>
      </c>
      <c r="Q105">
        <f>60%*L105</f>
        <v>1916.55</v>
      </c>
      <c r="R105">
        <f>60%*M105</f>
        <v>239.56874999999999</v>
      </c>
      <c r="S105">
        <f>60%*N105</f>
        <v>55641</v>
      </c>
    </row>
    <row r="106" spans="1:20">
      <c r="A106" s="220"/>
      <c r="B106" s="237"/>
      <c r="C106" s="33"/>
      <c r="D106" s="33"/>
      <c r="E106" s="33"/>
      <c r="F106" s="70"/>
      <c r="G106" s="33"/>
      <c r="H106" s="33"/>
      <c r="I106" s="33"/>
      <c r="J106" s="70"/>
      <c r="K106" s="33"/>
      <c r="L106" s="33"/>
      <c r="M106" s="33"/>
      <c r="N106" s="84"/>
      <c r="P106" t="s">
        <v>90</v>
      </c>
      <c r="Q106" s="76">
        <f>30%*L105</f>
        <v>958.27499999999998</v>
      </c>
      <c r="R106" s="76">
        <f t="shared" ref="R106:S106" si="73">30%*M105</f>
        <v>119.784375</v>
      </c>
      <c r="S106" s="76">
        <f t="shared" si="73"/>
        <v>27820.5</v>
      </c>
    </row>
    <row r="107" spans="1:20" ht="15.75" thickBot="1">
      <c r="A107" s="228"/>
      <c r="B107" s="245"/>
      <c r="C107" s="34"/>
      <c r="D107" s="34"/>
      <c r="E107" s="34"/>
      <c r="F107" s="75"/>
      <c r="G107" s="34"/>
      <c r="H107" s="34"/>
      <c r="I107" s="34"/>
      <c r="J107" s="75"/>
      <c r="K107" s="34"/>
      <c r="L107" s="34"/>
      <c r="M107" s="34"/>
      <c r="N107" s="85"/>
      <c r="P107" t="s">
        <v>91</v>
      </c>
      <c r="Q107" s="169">
        <f>L105-SUM(Q105:Q106)</f>
        <v>319.42500000000018</v>
      </c>
      <c r="R107" s="169">
        <f t="shared" ref="R107:S107" si="74">M105-SUM(R105:R106)</f>
        <v>39.928125000000023</v>
      </c>
      <c r="S107" s="169">
        <f t="shared" si="74"/>
        <v>9273.5</v>
      </c>
    </row>
    <row r="108" spans="1:20" s="86" customFormat="1" ht="30.75" thickBot="1">
      <c r="A108" s="229" t="s">
        <v>51</v>
      </c>
      <c r="B108" s="246" t="s">
        <v>52</v>
      </c>
      <c r="C108" s="93" t="s">
        <v>4</v>
      </c>
      <c r="D108" s="94">
        <f>'Responsibility of TP'!D9*1.5</f>
        <v>43.5</v>
      </c>
      <c r="E108" s="95">
        <f>D108/8</f>
        <v>5.4375</v>
      </c>
      <c r="F108" s="96">
        <f>D108*Rate!$B$5</f>
        <v>1435.5</v>
      </c>
      <c r="G108" s="97"/>
      <c r="H108" s="94">
        <f>'Responsibility of TP'!E9</f>
        <v>44.037037037037045</v>
      </c>
      <c r="I108" s="95">
        <f>H108/8</f>
        <v>5.5046296296296306</v>
      </c>
      <c r="J108" s="96">
        <f>H108*Rate!$B$5</f>
        <v>1453.2222222222224</v>
      </c>
      <c r="K108" s="98"/>
      <c r="L108" s="94">
        <f>'Responsibility of TP'!F9</f>
        <v>52.629629629629633</v>
      </c>
      <c r="M108" s="95">
        <f>L108/8</f>
        <v>6.5787037037037042</v>
      </c>
      <c r="N108" s="96">
        <f>L108*Rate!$B$5</f>
        <v>1736.7777777777778</v>
      </c>
      <c r="P108" s="171" t="s">
        <v>90</v>
      </c>
      <c r="Q108" s="172">
        <f>Q100-L105</f>
        <v>1986.3500000000004</v>
      </c>
      <c r="R108" s="170">
        <f>R100-M105</f>
        <v>248.29375000000005</v>
      </c>
      <c r="S108" s="173">
        <f>S103-N105</f>
        <v>67265</v>
      </c>
    </row>
    <row r="109" spans="1:20" ht="15.75" thickBot="1"/>
    <row r="110" spans="1:20" ht="30.75" thickBot="1">
      <c r="A110" s="99" t="s">
        <v>56</v>
      </c>
      <c r="B110" s="247" t="s">
        <v>57</v>
      </c>
      <c r="C110" s="100" t="s">
        <v>6</v>
      </c>
      <c r="D110" s="101">
        <f>SUM(D108,D105)</f>
        <v>1724.2999999999997</v>
      </c>
      <c r="E110" s="102">
        <f t="shared" ref="E110:F110" si="75">SUM(E108,E105)</f>
        <v>215.53749999999997</v>
      </c>
      <c r="F110" s="103">
        <f t="shared" si="75"/>
        <v>50138.3</v>
      </c>
      <c r="G110" s="104"/>
      <c r="H110" s="101">
        <f>SUM(H108,H105)</f>
        <v>2589.037037037037</v>
      </c>
      <c r="I110" s="102">
        <f t="shared" ref="I110:J110" si="76">SUM(I108,I105)</f>
        <v>323.62962962962962</v>
      </c>
      <c r="J110" s="103">
        <f t="shared" si="76"/>
        <v>75355.222222222219</v>
      </c>
      <c r="K110" s="105"/>
      <c r="L110" s="101">
        <f>SUM(L108,L105)</f>
        <v>3246.8796296296296</v>
      </c>
      <c r="M110" s="102">
        <f t="shared" ref="M110:N110" si="77">SUM(M108,M105)</f>
        <v>405.8599537037037</v>
      </c>
      <c r="N110" s="103">
        <f t="shared" si="77"/>
        <v>94471.777777777781</v>
      </c>
    </row>
    <row r="111" spans="1:20" ht="15.75" thickBot="1"/>
    <row r="112" spans="1:20">
      <c r="A112" s="311" t="s">
        <v>0</v>
      </c>
      <c r="B112" s="313" t="s">
        <v>2</v>
      </c>
      <c r="C112" s="315" t="s">
        <v>1</v>
      </c>
      <c r="D112" s="308" t="s">
        <v>20</v>
      </c>
      <c r="E112" s="309"/>
      <c r="F112" s="310"/>
      <c r="G112" s="106"/>
      <c r="H112" s="308" t="s">
        <v>21</v>
      </c>
      <c r="I112" s="309"/>
      <c r="J112" s="310"/>
      <c r="K112" s="106"/>
      <c r="L112" s="308" t="s">
        <v>22</v>
      </c>
      <c r="M112" s="309"/>
      <c r="N112" s="310"/>
    </row>
    <row r="113" spans="1:14" ht="15.75" thickBot="1">
      <c r="A113" s="312"/>
      <c r="B113" s="314"/>
      <c r="C113" s="316"/>
      <c r="D113" s="26" t="s">
        <v>23</v>
      </c>
      <c r="E113" s="27" t="s">
        <v>24</v>
      </c>
      <c r="F113" s="71" t="s">
        <v>9</v>
      </c>
      <c r="G113" s="51"/>
      <c r="H113" s="26" t="s">
        <v>23</v>
      </c>
      <c r="I113" s="27" t="s">
        <v>24</v>
      </c>
      <c r="J113" s="71" t="s">
        <v>9</v>
      </c>
      <c r="K113" s="51"/>
      <c r="L113" s="26" t="s">
        <v>23</v>
      </c>
      <c r="M113" s="27" t="s">
        <v>24</v>
      </c>
      <c r="N113" s="71" t="s">
        <v>9</v>
      </c>
    </row>
    <row r="114" spans="1:14" ht="30.75" thickBot="1">
      <c r="A114" s="221" t="s">
        <v>68</v>
      </c>
      <c r="B114" s="238" t="s">
        <v>69</v>
      </c>
      <c r="C114" s="30" t="s">
        <v>3</v>
      </c>
      <c r="D114" s="58">
        <f>25%*SUM(D37,D45)</f>
        <v>23.5</v>
      </c>
      <c r="E114" s="59">
        <f>D114/8</f>
        <v>2.9375</v>
      </c>
      <c r="F114" s="72">
        <f>D114*Rate!$B$2</f>
        <v>705</v>
      </c>
      <c r="G114" s="52"/>
      <c r="H114" s="58">
        <f>25%*SUM(H37,H45)</f>
        <v>36.5</v>
      </c>
      <c r="I114" s="59">
        <f>H114/8</f>
        <v>4.5625</v>
      </c>
      <c r="J114" s="72">
        <f>H114*Rate!$B$2</f>
        <v>1095</v>
      </c>
      <c r="K114" s="52"/>
      <c r="L114" s="58">
        <f>25%*SUM(L37,L45)</f>
        <v>47</v>
      </c>
      <c r="M114" s="59">
        <f>L114/8</f>
        <v>5.875</v>
      </c>
      <c r="N114" s="72">
        <f>L114*Rate!$B$2</f>
        <v>1410</v>
      </c>
    </row>
    <row r="115" spans="1:14" ht="30.75" thickBot="1">
      <c r="A115" s="221" t="s">
        <v>68</v>
      </c>
      <c r="B115" s="238" t="s">
        <v>69</v>
      </c>
      <c r="C115" s="4" t="s">
        <v>7</v>
      </c>
      <c r="D115" s="58">
        <f>25%*SUM(D38,D46)</f>
        <v>9.75</v>
      </c>
      <c r="E115" s="59">
        <f t="shared" ref="E115:E117" si="78">D115/8</f>
        <v>1.21875</v>
      </c>
      <c r="F115" s="72">
        <f>D115*Rate!$B$3</f>
        <v>390</v>
      </c>
      <c r="G115" s="52"/>
      <c r="H115" s="58">
        <f>25%*SUM(H38,H46)</f>
        <v>15.25</v>
      </c>
      <c r="I115" s="59">
        <f t="shared" ref="I115:I117" si="79">H115/8</f>
        <v>1.90625</v>
      </c>
      <c r="J115" s="72">
        <f>H115*Rate!$B$3</f>
        <v>610</v>
      </c>
      <c r="K115" s="52"/>
      <c r="L115" s="58">
        <f>25%*SUM(L38,L46)</f>
        <v>19.5</v>
      </c>
      <c r="M115" s="59">
        <f t="shared" ref="M115:M117" si="80">L115/8</f>
        <v>2.4375</v>
      </c>
      <c r="N115" s="72">
        <f>L115*Rate!$B$3</f>
        <v>780</v>
      </c>
    </row>
    <row r="116" spans="1:14" ht="30.75" thickBot="1">
      <c r="A116" s="221" t="s">
        <v>68</v>
      </c>
      <c r="B116" s="238" t="s">
        <v>69</v>
      </c>
      <c r="C116" s="4" t="s">
        <v>5</v>
      </c>
      <c r="D116" s="58">
        <f t="shared" ref="D116:D117" si="81">30%*SUM(D39,D47)</f>
        <v>72</v>
      </c>
      <c r="E116" s="59">
        <f t="shared" si="78"/>
        <v>9</v>
      </c>
      <c r="F116" s="72">
        <f>D116*Rate!$B$4</f>
        <v>1800</v>
      </c>
      <c r="G116" s="52"/>
      <c r="H116" s="58">
        <f t="shared" ref="H116:H117" si="82">30%*SUM(H39,H47)</f>
        <v>114</v>
      </c>
      <c r="I116" s="59">
        <f t="shared" si="79"/>
        <v>14.25</v>
      </c>
      <c r="J116" s="72">
        <f>H116*Rate!$B$4</f>
        <v>2850</v>
      </c>
      <c r="K116" s="52"/>
      <c r="L116" s="58">
        <f t="shared" ref="L116:L117" si="83">30%*SUM(L39,L47)</f>
        <v>144</v>
      </c>
      <c r="M116" s="59">
        <f t="shared" si="80"/>
        <v>18</v>
      </c>
      <c r="N116" s="72">
        <f>L116*Rate!$B$4</f>
        <v>3600</v>
      </c>
    </row>
    <row r="117" spans="1:14" ht="30">
      <c r="A117" s="221" t="s">
        <v>68</v>
      </c>
      <c r="B117" s="238" t="s">
        <v>69</v>
      </c>
      <c r="C117" s="4" t="s">
        <v>4</v>
      </c>
      <c r="D117" s="58">
        <f t="shared" si="81"/>
        <v>78</v>
      </c>
      <c r="E117" s="59">
        <f t="shared" si="78"/>
        <v>9.75</v>
      </c>
      <c r="F117" s="72">
        <f>D117*Rate!$B$5</f>
        <v>2574</v>
      </c>
      <c r="G117" s="52"/>
      <c r="H117" s="58">
        <f t="shared" si="82"/>
        <v>126</v>
      </c>
      <c r="I117" s="59">
        <f t="shared" si="79"/>
        <v>15.75</v>
      </c>
      <c r="J117" s="72">
        <f>H117*Rate!$B$5</f>
        <v>4158</v>
      </c>
      <c r="K117" s="52"/>
      <c r="L117" s="58">
        <f t="shared" si="83"/>
        <v>156</v>
      </c>
      <c r="M117" s="59">
        <f t="shared" si="80"/>
        <v>19.5</v>
      </c>
      <c r="N117" s="72">
        <f>L117*Rate!$B$5</f>
        <v>5148</v>
      </c>
    </row>
    <row r="118" spans="1:14" ht="30.75" thickBot="1">
      <c r="A118" s="221" t="s">
        <v>68</v>
      </c>
      <c r="B118" s="238" t="s">
        <v>69</v>
      </c>
      <c r="C118" s="8" t="s">
        <v>6</v>
      </c>
      <c r="D118" s="6">
        <f t="shared" ref="D118:F118" si="84">SUM(D114:D117)</f>
        <v>183.25</v>
      </c>
      <c r="E118" s="9">
        <f t="shared" si="84"/>
        <v>22.90625</v>
      </c>
      <c r="F118" s="73">
        <f t="shared" si="84"/>
        <v>5469</v>
      </c>
      <c r="G118" s="53"/>
      <c r="H118" s="6">
        <f t="shared" ref="H118" si="85">SUM(H114:H117)</f>
        <v>291.75</v>
      </c>
      <c r="I118" s="9">
        <f t="shared" ref="I118:J118" si="86">SUM(I114:I117)</f>
        <v>36.46875</v>
      </c>
      <c r="J118" s="73">
        <f t="shared" si="86"/>
        <v>8713</v>
      </c>
      <c r="K118" s="56"/>
      <c r="L118" s="6">
        <f t="shared" ref="L118" si="87">SUM(L114:L117)</f>
        <v>366.5</v>
      </c>
      <c r="M118" s="9">
        <f t="shared" ref="M118:N118" si="88">SUM(M114:M117)</f>
        <v>45.8125</v>
      </c>
      <c r="N118" s="73">
        <f t="shared" si="88"/>
        <v>10938</v>
      </c>
    </row>
    <row r="119" spans="1:14" ht="15.75" thickBot="1"/>
    <row r="120" spans="1:14">
      <c r="A120" s="311" t="s">
        <v>0</v>
      </c>
      <c r="B120" s="313" t="s">
        <v>2</v>
      </c>
      <c r="C120" s="315" t="s">
        <v>1</v>
      </c>
      <c r="D120" s="308" t="s">
        <v>20</v>
      </c>
      <c r="E120" s="309"/>
      <c r="F120" s="310"/>
      <c r="G120" s="165"/>
      <c r="H120" s="308" t="s">
        <v>21</v>
      </c>
      <c r="I120" s="309"/>
      <c r="J120" s="310"/>
      <c r="K120" s="165"/>
      <c r="L120" s="308" t="s">
        <v>22</v>
      </c>
      <c r="M120" s="309"/>
      <c r="N120" s="310"/>
    </row>
    <row r="121" spans="1:14" ht="15.75" thickBot="1">
      <c r="A121" s="312"/>
      <c r="B121" s="314"/>
      <c r="C121" s="316"/>
      <c r="D121" s="26" t="s">
        <v>23</v>
      </c>
      <c r="E121" s="27" t="s">
        <v>24</v>
      </c>
      <c r="F121" s="71" t="s">
        <v>9</v>
      </c>
      <c r="G121" s="51"/>
      <c r="H121" s="26" t="s">
        <v>23</v>
      </c>
      <c r="I121" s="27" t="s">
        <v>24</v>
      </c>
      <c r="J121" s="71" t="s">
        <v>9</v>
      </c>
      <c r="K121" s="51"/>
      <c r="L121" s="26" t="s">
        <v>23</v>
      </c>
      <c r="M121" s="27" t="s">
        <v>24</v>
      </c>
      <c r="N121" s="71" t="s">
        <v>9</v>
      </c>
    </row>
    <row r="122" spans="1:14" ht="45.75" thickBot="1">
      <c r="A122" s="221" t="s">
        <v>111</v>
      </c>
      <c r="B122" s="238" t="s">
        <v>110</v>
      </c>
      <c r="C122" s="30" t="s">
        <v>3</v>
      </c>
      <c r="D122" s="58">
        <f>20%*(D28+D37+D45+D53+D61)</f>
        <v>53.6</v>
      </c>
      <c r="E122" s="59">
        <f>D122/8</f>
        <v>6.7</v>
      </c>
      <c r="F122" s="72">
        <f>D122*[3]Rate!$B$2</f>
        <v>1876</v>
      </c>
      <c r="G122" s="52"/>
      <c r="H122" s="58">
        <f>20%*(H28+H37+H45+H53+H61)</f>
        <v>83</v>
      </c>
      <c r="I122" s="59">
        <f>H122/8</f>
        <v>10.375</v>
      </c>
      <c r="J122" s="72">
        <f>H122*[3]Rate!$B$2</f>
        <v>2905</v>
      </c>
      <c r="K122" s="52"/>
      <c r="L122" s="58">
        <f>20%*(L28+L37+L45+L53+L61)</f>
        <v>102.75</v>
      </c>
      <c r="M122" s="59">
        <f>L122/8</f>
        <v>12.84375</v>
      </c>
      <c r="N122" s="72">
        <f>L122*[3]Rate!$B$2</f>
        <v>3596.25</v>
      </c>
    </row>
    <row r="123" spans="1:14" ht="45.75" thickBot="1">
      <c r="A123" s="221" t="s">
        <v>111</v>
      </c>
      <c r="B123" s="238" t="s">
        <v>110</v>
      </c>
      <c r="C123" s="4" t="s">
        <v>7</v>
      </c>
      <c r="D123" s="58">
        <f>20%*(D29+D38+D46+D54+D62)</f>
        <v>16.400000000000002</v>
      </c>
      <c r="E123" s="59">
        <f t="shared" ref="E123:E125" si="89">D123/8</f>
        <v>2.0500000000000003</v>
      </c>
      <c r="F123" s="72">
        <f>D123*[3]Rate!$B$3</f>
        <v>787.2</v>
      </c>
      <c r="G123" s="52"/>
      <c r="H123" s="58">
        <f t="shared" ref="H123:H125" si="90">20%*(H29+H38+H46+H54+H62)</f>
        <v>26.200000000000003</v>
      </c>
      <c r="I123" s="59">
        <f t="shared" ref="I123:I125" si="91">H123/8</f>
        <v>3.2750000000000004</v>
      </c>
      <c r="J123" s="72">
        <f>H123*[3]Rate!$B$3</f>
        <v>1257.6000000000001</v>
      </c>
      <c r="K123" s="52"/>
      <c r="L123" s="58">
        <f t="shared" ref="L123:L125" si="92">20%*(L29+L38+L46+L54+L62)</f>
        <v>34.25</v>
      </c>
      <c r="M123" s="59">
        <f t="shared" ref="M123:M125" si="93">L123/8</f>
        <v>4.28125</v>
      </c>
      <c r="N123" s="72">
        <f>L123*[3]Rate!$B$3</f>
        <v>1644</v>
      </c>
    </row>
    <row r="124" spans="1:14" ht="45.75" thickBot="1">
      <c r="A124" s="221" t="s">
        <v>111</v>
      </c>
      <c r="B124" s="238" t="s">
        <v>110</v>
      </c>
      <c r="C124" s="4" t="s">
        <v>5</v>
      </c>
      <c r="D124" s="58">
        <f>20%*(D30+D39+D47+D55+D63)</f>
        <v>118.4</v>
      </c>
      <c r="E124" s="59">
        <f t="shared" si="89"/>
        <v>14.8</v>
      </c>
      <c r="F124" s="72">
        <f>D124*[3]Rate!$B$4</f>
        <v>3078.4</v>
      </c>
      <c r="G124" s="52"/>
      <c r="H124" s="58">
        <f t="shared" si="90"/>
        <v>187.70000000000002</v>
      </c>
      <c r="I124" s="59">
        <f t="shared" si="91"/>
        <v>23.462500000000002</v>
      </c>
      <c r="J124" s="72">
        <f>H124*[3]Rate!$B$4</f>
        <v>4880.2000000000007</v>
      </c>
      <c r="K124" s="52"/>
      <c r="L124" s="58">
        <f t="shared" si="92"/>
        <v>238.10000000000002</v>
      </c>
      <c r="M124" s="59">
        <f t="shared" si="93"/>
        <v>29.762500000000003</v>
      </c>
      <c r="N124" s="72">
        <f>L124*[3]Rate!$B$4</f>
        <v>6190.6</v>
      </c>
    </row>
    <row r="125" spans="1:14" ht="45">
      <c r="A125" s="221" t="s">
        <v>111</v>
      </c>
      <c r="B125" s="238" t="s">
        <v>110</v>
      </c>
      <c r="C125" s="4" t="s">
        <v>4</v>
      </c>
      <c r="D125" s="58">
        <f>20%*(D31+D40+D48+D56+D64)</f>
        <v>78.800000000000011</v>
      </c>
      <c r="E125" s="59">
        <f t="shared" si="89"/>
        <v>9.8500000000000014</v>
      </c>
      <c r="F125" s="72">
        <f>D125*[3]Rate!$B$5</f>
        <v>3230.8000000000006</v>
      </c>
      <c r="G125" s="52"/>
      <c r="H125" s="58">
        <f t="shared" si="90"/>
        <v>125.9</v>
      </c>
      <c r="I125" s="59">
        <f t="shared" si="91"/>
        <v>15.737500000000001</v>
      </c>
      <c r="J125" s="72">
        <f>H125*[3]Rate!$B$5</f>
        <v>5161.9000000000005</v>
      </c>
      <c r="K125" s="52"/>
      <c r="L125" s="58">
        <f t="shared" si="92"/>
        <v>156</v>
      </c>
      <c r="M125" s="59">
        <f t="shared" si="93"/>
        <v>19.5</v>
      </c>
      <c r="N125" s="72">
        <f>L125*[3]Rate!$B$5</f>
        <v>6396</v>
      </c>
    </row>
    <row r="126" spans="1:14" ht="45.75" thickBot="1">
      <c r="A126" s="221" t="s">
        <v>111</v>
      </c>
      <c r="B126" s="238" t="s">
        <v>110</v>
      </c>
      <c r="C126" s="8" t="s">
        <v>6</v>
      </c>
      <c r="D126" s="6">
        <f t="shared" ref="D126:F126" si="94">SUM(D122:D125)</f>
        <v>267.20000000000005</v>
      </c>
      <c r="E126" s="9">
        <f t="shared" si="94"/>
        <v>33.400000000000006</v>
      </c>
      <c r="F126" s="73">
        <f t="shared" si="94"/>
        <v>8972.4000000000015</v>
      </c>
      <c r="G126" s="53"/>
      <c r="H126" s="6">
        <f t="shared" ref="H126:J126" si="95">SUM(H122:H125)</f>
        <v>422.80000000000007</v>
      </c>
      <c r="I126" s="9">
        <f t="shared" si="95"/>
        <v>52.850000000000009</v>
      </c>
      <c r="J126" s="73">
        <f t="shared" si="95"/>
        <v>14204.7</v>
      </c>
      <c r="K126" s="56"/>
      <c r="L126" s="6">
        <f t="shared" ref="L126" si="96">SUM(L122:L125)</f>
        <v>531.1</v>
      </c>
      <c r="M126" s="9">
        <f t="shared" ref="M126:N126" si="97">SUM(M122:M125)</f>
        <v>66.387500000000003</v>
      </c>
      <c r="N126" s="73">
        <f t="shared" si="97"/>
        <v>17826.849999999999</v>
      </c>
    </row>
    <row r="127" spans="1:14" ht="15.75" thickBot="1"/>
    <row r="128" spans="1:14">
      <c r="A128" s="311" t="s">
        <v>0</v>
      </c>
      <c r="B128" s="313" t="s">
        <v>2</v>
      </c>
      <c r="C128" s="315" t="s">
        <v>1</v>
      </c>
      <c r="D128" s="308" t="s">
        <v>20</v>
      </c>
      <c r="E128" s="309"/>
      <c r="F128" s="310"/>
      <c r="G128" s="174"/>
      <c r="H128" s="308" t="s">
        <v>21</v>
      </c>
      <c r="I128" s="309"/>
      <c r="J128" s="310"/>
      <c r="K128" s="174"/>
      <c r="L128" s="308" t="s">
        <v>22</v>
      </c>
      <c r="M128" s="309"/>
      <c r="N128" s="310"/>
    </row>
    <row r="129" spans="1:14" ht="15.75" thickBot="1">
      <c r="A129" s="312"/>
      <c r="B129" s="314"/>
      <c r="C129" s="316"/>
      <c r="D129" s="26" t="s">
        <v>23</v>
      </c>
      <c r="E129" s="27" t="s">
        <v>24</v>
      </c>
      <c r="F129" s="71" t="s">
        <v>9</v>
      </c>
      <c r="G129" s="51"/>
      <c r="H129" s="26" t="s">
        <v>23</v>
      </c>
      <c r="I129" s="27" t="s">
        <v>24</v>
      </c>
      <c r="J129" s="71" t="s">
        <v>9</v>
      </c>
      <c r="K129" s="51"/>
      <c r="L129" s="26" t="s">
        <v>23</v>
      </c>
      <c r="M129" s="27" t="s">
        <v>24</v>
      </c>
      <c r="N129" s="71" t="s">
        <v>9</v>
      </c>
    </row>
    <row r="130" spans="1:14" ht="45.75" thickBot="1">
      <c r="A130" s="221" t="s">
        <v>112</v>
      </c>
      <c r="B130" s="238" t="s">
        <v>110</v>
      </c>
      <c r="C130" s="30" t="s">
        <v>3</v>
      </c>
      <c r="D130" s="58">
        <f>30%*(D28+D37+D45+D53+D61)</f>
        <v>80.399999999999991</v>
      </c>
      <c r="E130" s="59">
        <f>D130/8</f>
        <v>10.049999999999999</v>
      </c>
      <c r="F130" s="72">
        <f>D130*[3]Rate!$B$2</f>
        <v>2813.9999999999995</v>
      </c>
      <c r="G130" s="52"/>
      <c r="H130" s="58">
        <f>30%*(H28+H37+H45+H53+H61)</f>
        <v>124.5</v>
      </c>
      <c r="I130" s="59">
        <f>H130/8</f>
        <v>15.5625</v>
      </c>
      <c r="J130" s="72">
        <f>H130*[3]Rate!$B$2</f>
        <v>4357.5</v>
      </c>
      <c r="K130" s="52"/>
      <c r="L130" s="58">
        <f>30%*(L28+L37+L45+L53+L61)</f>
        <v>154.125</v>
      </c>
      <c r="M130" s="59">
        <f>L130/8</f>
        <v>19.265625</v>
      </c>
      <c r="N130" s="72">
        <f>L130*[3]Rate!$B$2</f>
        <v>5394.375</v>
      </c>
    </row>
    <row r="131" spans="1:14" ht="45.75" thickBot="1">
      <c r="A131" s="221" t="s">
        <v>112</v>
      </c>
      <c r="B131" s="238" t="s">
        <v>110</v>
      </c>
      <c r="C131" s="4" t="s">
        <v>7</v>
      </c>
      <c r="D131" s="58">
        <f t="shared" ref="D131:D133" si="98">30%*(D29+D38+D46+D54+D62)</f>
        <v>24.599999999999998</v>
      </c>
      <c r="E131" s="59">
        <f t="shared" ref="E131:E133" si="99">D131/8</f>
        <v>3.0749999999999997</v>
      </c>
      <c r="F131" s="72">
        <f>D131*[3]Rate!$B$3</f>
        <v>1180.8</v>
      </c>
      <c r="G131" s="52"/>
      <c r="H131" s="58">
        <f t="shared" ref="H131:H133" si="100">30%*(H29+H38+H46+H54+H62)</f>
        <v>39.299999999999997</v>
      </c>
      <c r="I131" s="59">
        <f t="shared" ref="I131:I133" si="101">H131/8</f>
        <v>4.9124999999999996</v>
      </c>
      <c r="J131" s="72">
        <f>H131*[3]Rate!$B$3</f>
        <v>1886.3999999999999</v>
      </c>
      <c r="K131" s="52"/>
      <c r="L131" s="58">
        <f t="shared" ref="L131:L133" si="102">30%*(L29+L38+L46+L54+L62)</f>
        <v>51.375</v>
      </c>
      <c r="M131" s="59">
        <f t="shared" ref="M131:M133" si="103">L131/8</f>
        <v>6.421875</v>
      </c>
      <c r="N131" s="72">
        <f>L131*[3]Rate!$B$3</f>
        <v>2466</v>
      </c>
    </row>
    <row r="132" spans="1:14" ht="45.75" thickBot="1">
      <c r="A132" s="221" t="s">
        <v>112</v>
      </c>
      <c r="B132" s="238" t="s">
        <v>110</v>
      </c>
      <c r="C132" s="4" t="s">
        <v>5</v>
      </c>
      <c r="D132" s="58">
        <f t="shared" si="98"/>
        <v>177.6</v>
      </c>
      <c r="E132" s="59">
        <f t="shared" si="99"/>
        <v>22.2</v>
      </c>
      <c r="F132" s="72">
        <f>D132*[3]Rate!$B$4</f>
        <v>4617.5999999999995</v>
      </c>
      <c r="G132" s="52"/>
      <c r="H132" s="58">
        <f t="shared" si="100"/>
        <v>281.55</v>
      </c>
      <c r="I132" s="59">
        <f t="shared" si="101"/>
        <v>35.193750000000001</v>
      </c>
      <c r="J132" s="72">
        <f>H132*[3]Rate!$B$4</f>
        <v>7320.3</v>
      </c>
      <c r="K132" s="52"/>
      <c r="L132" s="58">
        <f t="shared" si="102"/>
        <v>357.15</v>
      </c>
      <c r="M132" s="59">
        <f t="shared" si="103"/>
        <v>44.643749999999997</v>
      </c>
      <c r="N132" s="72">
        <f>L132*[3]Rate!$B$4</f>
        <v>9285.9</v>
      </c>
    </row>
    <row r="133" spans="1:14" ht="45">
      <c r="A133" s="221" t="s">
        <v>112</v>
      </c>
      <c r="B133" s="238" t="s">
        <v>110</v>
      </c>
      <c r="C133" s="4" t="s">
        <v>4</v>
      </c>
      <c r="D133" s="58">
        <f t="shared" si="98"/>
        <v>118.19999999999999</v>
      </c>
      <c r="E133" s="59">
        <f t="shared" si="99"/>
        <v>14.774999999999999</v>
      </c>
      <c r="F133" s="72">
        <f>D133*[3]Rate!$B$5</f>
        <v>4846.2</v>
      </c>
      <c r="G133" s="52"/>
      <c r="H133" s="58">
        <f t="shared" si="100"/>
        <v>188.85</v>
      </c>
      <c r="I133" s="59">
        <f t="shared" si="101"/>
        <v>23.606249999999999</v>
      </c>
      <c r="J133" s="72">
        <f>H133*[3]Rate!$B$5</f>
        <v>7742.8499999999995</v>
      </c>
      <c r="K133" s="52"/>
      <c r="L133" s="58">
        <f t="shared" si="102"/>
        <v>234</v>
      </c>
      <c r="M133" s="59">
        <f t="shared" si="103"/>
        <v>29.25</v>
      </c>
      <c r="N133" s="72">
        <f>L133*[3]Rate!$B$5</f>
        <v>9594</v>
      </c>
    </row>
    <row r="134" spans="1:14" ht="45.75" thickBot="1">
      <c r="A134" s="221" t="s">
        <v>112</v>
      </c>
      <c r="B134" s="238" t="s">
        <v>110</v>
      </c>
      <c r="C134" s="8" t="s">
        <v>6</v>
      </c>
      <c r="D134" s="6">
        <f t="shared" ref="D134:F134" si="104">SUM(D130:D133)</f>
        <v>400.79999999999995</v>
      </c>
      <c r="E134" s="9">
        <f t="shared" si="104"/>
        <v>50.099999999999994</v>
      </c>
      <c r="F134" s="73">
        <f t="shared" si="104"/>
        <v>13458.599999999999</v>
      </c>
      <c r="G134" s="53"/>
      <c r="H134" s="6">
        <f t="shared" ref="H134:J134" si="105">SUM(H130:H133)</f>
        <v>634.20000000000005</v>
      </c>
      <c r="I134" s="9">
        <f t="shared" si="105"/>
        <v>79.275000000000006</v>
      </c>
      <c r="J134" s="73">
        <f t="shared" si="105"/>
        <v>21307.05</v>
      </c>
      <c r="K134" s="56"/>
      <c r="L134" s="6">
        <f t="shared" ref="L134" si="106">SUM(L130:L133)</f>
        <v>796.65</v>
      </c>
      <c r="M134" s="9">
        <f t="shared" ref="M134:N134" si="107">SUM(M130:M133)</f>
        <v>99.581249999999997</v>
      </c>
      <c r="N134" s="73">
        <f t="shared" si="107"/>
        <v>26740.275000000001</v>
      </c>
    </row>
    <row r="135" spans="1:14" ht="15.75" thickBot="1"/>
    <row r="136" spans="1:14">
      <c r="A136" s="311" t="s">
        <v>0</v>
      </c>
      <c r="B136" s="313" t="s">
        <v>2</v>
      </c>
      <c r="C136" s="315" t="s">
        <v>1</v>
      </c>
      <c r="D136" s="308" t="s">
        <v>20</v>
      </c>
      <c r="E136" s="309"/>
      <c r="F136" s="310"/>
      <c r="G136" s="174"/>
      <c r="H136" s="308" t="s">
        <v>21</v>
      </c>
      <c r="I136" s="309"/>
      <c r="J136" s="310"/>
      <c r="K136" s="174"/>
      <c r="L136" s="308" t="s">
        <v>22</v>
      </c>
      <c r="M136" s="309"/>
      <c r="N136" s="310"/>
    </row>
    <row r="137" spans="1:14" ht="15.75" thickBot="1">
      <c r="A137" s="312"/>
      <c r="B137" s="314"/>
      <c r="C137" s="316"/>
      <c r="D137" s="26" t="s">
        <v>23</v>
      </c>
      <c r="E137" s="27" t="s">
        <v>24</v>
      </c>
      <c r="F137" s="71" t="s">
        <v>9</v>
      </c>
      <c r="G137" s="51"/>
      <c r="H137" s="26" t="s">
        <v>23</v>
      </c>
      <c r="I137" s="27" t="s">
        <v>24</v>
      </c>
      <c r="J137" s="71" t="s">
        <v>9</v>
      </c>
      <c r="K137" s="51"/>
      <c r="L137" s="26" t="s">
        <v>23</v>
      </c>
      <c r="M137" s="27" t="s">
        <v>24</v>
      </c>
      <c r="N137" s="71" t="s">
        <v>9</v>
      </c>
    </row>
    <row r="138" spans="1:14" ht="30.75" thickBot="1">
      <c r="A138" s="221" t="s">
        <v>112</v>
      </c>
      <c r="B138" s="238" t="s">
        <v>113</v>
      </c>
      <c r="C138" s="30" t="s">
        <v>3</v>
      </c>
      <c r="D138" s="58">
        <f>25%*D130</f>
        <v>20.099999999999998</v>
      </c>
      <c r="E138" s="59">
        <f>D138/8</f>
        <v>2.5124999999999997</v>
      </c>
      <c r="F138" s="72">
        <f>D138*[3]Rate!$B$2</f>
        <v>703.49999999999989</v>
      </c>
      <c r="G138" s="52"/>
      <c r="H138" s="58">
        <f>25%*H130</f>
        <v>31.125</v>
      </c>
      <c r="I138" s="59">
        <f>H138/8</f>
        <v>3.890625</v>
      </c>
      <c r="J138" s="72">
        <f>H138*[3]Rate!$B$2</f>
        <v>1089.375</v>
      </c>
      <c r="K138" s="52"/>
      <c r="L138" s="58">
        <f>25%*L130</f>
        <v>38.53125</v>
      </c>
      <c r="M138" s="59">
        <f>L138/8</f>
        <v>4.81640625</v>
      </c>
      <c r="N138" s="72">
        <f>L138*[3]Rate!$B$2</f>
        <v>1348.59375</v>
      </c>
    </row>
    <row r="139" spans="1:14" ht="30.75" thickBot="1">
      <c r="A139" s="221" t="s">
        <v>112</v>
      </c>
      <c r="B139" s="238" t="s">
        <v>113</v>
      </c>
      <c r="C139" s="4" t="s">
        <v>7</v>
      </c>
      <c r="D139" s="58">
        <f>25%*D131</f>
        <v>6.1499999999999995</v>
      </c>
      <c r="E139" s="59">
        <f t="shared" ref="E139:E141" si="108">D139/8</f>
        <v>0.76874999999999993</v>
      </c>
      <c r="F139" s="72">
        <f>D139*[3]Rate!$B$3</f>
        <v>295.2</v>
      </c>
      <c r="G139" s="52"/>
      <c r="H139" s="58">
        <f>25%*H131</f>
        <v>9.8249999999999993</v>
      </c>
      <c r="I139" s="59">
        <f t="shared" ref="I139:I141" si="109">H139/8</f>
        <v>1.2281249999999999</v>
      </c>
      <c r="J139" s="72">
        <f>H139*[3]Rate!$B$3</f>
        <v>471.59999999999997</v>
      </c>
      <c r="K139" s="52"/>
      <c r="L139" s="58">
        <f>25%*L131</f>
        <v>12.84375</v>
      </c>
      <c r="M139" s="59">
        <f t="shared" ref="M139:M141" si="110">L139/8</f>
        <v>1.60546875</v>
      </c>
      <c r="N139" s="72">
        <f>L139*[3]Rate!$B$3</f>
        <v>616.5</v>
      </c>
    </row>
    <row r="140" spans="1:14" ht="30.75" thickBot="1">
      <c r="A140" s="221" t="s">
        <v>112</v>
      </c>
      <c r="B140" s="238" t="s">
        <v>113</v>
      </c>
      <c r="C140" s="4" t="s">
        <v>5</v>
      </c>
      <c r="D140" s="58">
        <f>25%*D132</f>
        <v>44.4</v>
      </c>
      <c r="E140" s="59">
        <f t="shared" si="108"/>
        <v>5.55</v>
      </c>
      <c r="F140" s="72">
        <f>D140*[3]Rate!$B$4</f>
        <v>1154.3999999999999</v>
      </c>
      <c r="G140" s="52"/>
      <c r="H140" s="58">
        <f>25%*H132</f>
        <v>70.387500000000003</v>
      </c>
      <c r="I140" s="59">
        <f t="shared" si="109"/>
        <v>8.7984375000000004</v>
      </c>
      <c r="J140" s="72">
        <f>H140*[3]Rate!$B$4</f>
        <v>1830.075</v>
      </c>
      <c r="K140" s="52"/>
      <c r="L140" s="58">
        <f>25%*L132</f>
        <v>89.287499999999994</v>
      </c>
      <c r="M140" s="59">
        <f t="shared" si="110"/>
        <v>11.160937499999999</v>
      </c>
      <c r="N140" s="72">
        <f>L140*[3]Rate!$B$4</f>
        <v>2321.4749999999999</v>
      </c>
    </row>
    <row r="141" spans="1:14" ht="30">
      <c r="A141" s="221" t="s">
        <v>112</v>
      </c>
      <c r="B141" s="238" t="s">
        <v>113</v>
      </c>
      <c r="C141" s="4" t="s">
        <v>4</v>
      </c>
      <c r="D141" s="58">
        <f>25%*D133</f>
        <v>29.549999999999997</v>
      </c>
      <c r="E141" s="59">
        <f t="shared" si="108"/>
        <v>3.6937499999999996</v>
      </c>
      <c r="F141" s="72">
        <f>D141*[3]Rate!$B$5</f>
        <v>1211.55</v>
      </c>
      <c r="G141" s="52"/>
      <c r="H141" s="58">
        <f>25%*H133</f>
        <v>47.212499999999999</v>
      </c>
      <c r="I141" s="59">
        <f t="shared" si="109"/>
        <v>5.9015624999999998</v>
      </c>
      <c r="J141" s="72">
        <f>H141*[3]Rate!$B$5</f>
        <v>1935.7124999999999</v>
      </c>
      <c r="K141" s="52"/>
      <c r="L141" s="58">
        <f>25%*L133</f>
        <v>58.5</v>
      </c>
      <c r="M141" s="59">
        <f t="shared" si="110"/>
        <v>7.3125</v>
      </c>
      <c r="N141" s="72">
        <f>L141*[3]Rate!$B$5</f>
        <v>2398.5</v>
      </c>
    </row>
    <row r="142" spans="1:14" ht="30.75" thickBot="1">
      <c r="A142" s="221" t="s">
        <v>112</v>
      </c>
      <c r="B142" s="238" t="s">
        <v>113</v>
      </c>
      <c r="C142" s="8" t="s">
        <v>6</v>
      </c>
      <c r="D142" s="6">
        <f t="shared" ref="D142:F142" si="111">SUM(D138:D141)</f>
        <v>100.19999999999999</v>
      </c>
      <c r="E142" s="9">
        <f t="shared" si="111"/>
        <v>12.524999999999999</v>
      </c>
      <c r="F142" s="73">
        <f t="shared" si="111"/>
        <v>3364.6499999999996</v>
      </c>
      <c r="G142" s="53"/>
      <c r="H142" s="6">
        <f t="shared" ref="H142:J142" si="112">SUM(H138:H141)</f>
        <v>158.55000000000001</v>
      </c>
      <c r="I142" s="9">
        <f t="shared" si="112"/>
        <v>19.818750000000001</v>
      </c>
      <c r="J142" s="73">
        <f t="shared" si="112"/>
        <v>5326.7624999999998</v>
      </c>
      <c r="K142" s="56"/>
      <c r="L142" s="6">
        <f t="shared" ref="L142" si="113">SUM(L138:L141)</f>
        <v>199.16249999999999</v>
      </c>
      <c r="M142" s="9">
        <f t="shared" ref="M142:N142" si="114">SUM(M138:M141)</f>
        <v>24.895312499999999</v>
      </c>
      <c r="N142" s="73">
        <f t="shared" si="114"/>
        <v>6685.0687500000004</v>
      </c>
    </row>
    <row r="143" spans="1:14" ht="15.75" thickBot="1"/>
    <row r="144" spans="1:14">
      <c r="A144" s="311" t="s">
        <v>0</v>
      </c>
      <c r="B144" s="313" t="s">
        <v>2</v>
      </c>
      <c r="C144" s="315" t="s">
        <v>1</v>
      </c>
      <c r="D144" s="308" t="s">
        <v>20</v>
      </c>
      <c r="E144" s="309"/>
      <c r="F144" s="310"/>
      <c r="G144" s="174"/>
      <c r="H144" s="308" t="s">
        <v>21</v>
      </c>
      <c r="I144" s="309"/>
      <c r="J144" s="310"/>
      <c r="K144" s="174"/>
      <c r="L144" s="308" t="s">
        <v>22</v>
      </c>
      <c r="M144" s="309"/>
      <c r="N144" s="310"/>
    </row>
    <row r="145" spans="1:14" ht="15.75" thickBot="1">
      <c r="A145" s="312"/>
      <c r="B145" s="314"/>
      <c r="C145" s="316"/>
      <c r="D145" s="26" t="s">
        <v>23</v>
      </c>
      <c r="E145" s="27" t="s">
        <v>24</v>
      </c>
      <c r="F145" s="71" t="s">
        <v>9</v>
      </c>
      <c r="G145" s="51"/>
      <c r="H145" s="26" t="s">
        <v>23</v>
      </c>
      <c r="I145" s="27" t="s">
        <v>24</v>
      </c>
      <c r="J145" s="71" t="s">
        <v>9</v>
      </c>
      <c r="K145" s="51"/>
      <c r="L145" s="26" t="s">
        <v>23</v>
      </c>
      <c r="M145" s="27" t="s">
        <v>24</v>
      </c>
      <c r="N145" s="71" t="s">
        <v>9</v>
      </c>
    </row>
    <row r="146" spans="1:14" ht="15.75" thickBot="1">
      <c r="A146" s="221" t="s">
        <v>114</v>
      </c>
      <c r="B146" s="238" t="s">
        <v>38</v>
      </c>
      <c r="C146" s="30" t="s">
        <v>3</v>
      </c>
      <c r="D146" s="58">
        <f>15%*D28</f>
        <v>9.75</v>
      </c>
      <c r="E146" s="59">
        <f>D146/8</f>
        <v>1.21875</v>
      </c>
      <c r="F146" s="72">
        <f>D146*[3]Rate!$B$2</f>
        <v>341.25</v>
      </c>
      <c r="G146" s="52"/>
      <c r="H146" s="58">
        <f>15%*H28</f>
        <v>14.85</v>
      </c>
      <c r="I146" s="59">
        <f>H146/8</f>
        <v>1.85625</v>
      </c>
      <c r="J146" s="72">
        <f>H146*[3]Rate!$B$2</f>
        <v>519.75</v>
      </c>
      <c r="K146" s="52"/>
      <c r="L146" s="58">
        <f>15%*L28</f>
        <v>17.7</v>
      </c>
      <c r="M146" s="59">
        <f>L146/8</f>
        <v>2.2124999999999999</v>
      </c>
      <c r="N146" s="72">
        <f>L146*[3]Rate!$B$2</f>
        <v>619.5</v>
      </c>
    </row>
    <row r="147" spans="1:14" ht="15.75" thickBot="1">
      <c r="A147" s="221" t="s">
        <v>114</v>
      </c>
      <c r="B147" s="238" t="s">
        <v>38</v>
      </c>
      <c r="C147" s="4" t="s">
        <v>7</v>
      </c>
      <c r="D147" s="58">
        <f t="shared" ref="D147:D149" si="115">15%*D29</f>
        <v>1.7999999999999998</v>
      </c>
      <c r="E147" s="59">
        <f t="shared" ref="E147:E149" si="116">D147/8</f>
        <v>0.22499999999999998</v>
      </c>
      <c r="F147" s="72">
        <f>D147*[3]Rate!$B$3</f>
        <v>86.399999999999991</v>
      </c>
      <c r="G147" s="52"/>
      <c r="H147" s="58">
        <f t="shared" ref="H147:H149" si="117">15%*H29</f>
        <v>2.6999999999999997</v>
      </c>
      <c r="I147" s="59">
        <f t="shared" ref="I147:I149" si="118">H147/8</f>
        <v>0.33749999999999997</v>
      </c>
      <c r="J147" s="72">
        <f>H147*[3]Rate!$B$3</f>
        <v>129.6</v>
      </c>
      <c r="K147" s="52"/>
      <c r="L147" s="58">
        <f t="shared" ref="L147:L149" si="119">15%*L29</f>
        <v>3.3</v>
      </c>
      <c r="M147" s="59">
        <f t="shared" ref="M147:M149" si="120">L147/8</f>
        <v>0.41249999999999998</v>
      </c>
      <c r="N147" s="72">
        <f>L147*[3]Rate!$B$3</f>
        <v>158.39999999999998</v>
      </c>
    </row>
    <row r="148" spans="1:14" ht="15.75" thickBot="1">
      <c r="A148" s="221" t="s">
        <v>114</v>
      </c>
      <c r="B148" s="238" t="s">
        <v>38</v>
      </c>
      <c r="C148" s="4" t="s">
        <v>5</v>
      </c>
      <c r="D148" s="58">
        <f t="shared" si="115"/>
        <v>3.75</v>
      </c>
      <c r="E148" s="59">
        <f t="shared" si="116"/>
        <v>0.46875</v>
      </c>
      <c r="F148" s="72">
        <f>D148*[3]Rate!$B$4</f>
        <v>97.5</v>
      </c>
      <c r="G148" s="52"/>
      <c r="H148" s="58">
        <f t="shared" si="117"/>
        <v>5.7</v>
      </c>
      <c r="I148" s="59">
        <f t="shared" si="118"/>
        <v>0.71250000000000002</v>
      </c>
      <c r="J148" s="72">
        <f>H148*[3]Rate!$B$4</f>
        <v>148.20000000000002</v>
      </c>
      <c r="K148" s="52"/>
      <c r="L148" s="58">
        <f t="shared" si="119"/>
        <v>6.75</v>
      </c>
      <c r="M148" s="59">
        <f t="shared" si="120"/>
        <v>0.84375</v>
      </c>
      <c r="N148" s="72">
        <f>L148*[3]Rate!$B$4</f>
        <v>175.5</v>
      </c>
    </row>
    <row r="149" spans="1:14">
      <c r="A149" s="221" t="s">
        <v>114</v>
      </c>
      <c r="B149" s="238" t="s">
        <v>38</v>
      </c>
      <c r="C149" s="4" t="s">
        <v>4</v>
      </c>
      <c r="D149" s="58">
        <f t="shared" si="115"/>
        <v>2.1</v>
      </c>
      <c r="E149" s="59">
        <f t="shared" si="116"/>
        <v>0.26250000000000001</v>
      </c>
      <c r="F149" s="72">
        <f>D149*[3]Rate!$B$5</f>
        <v>86.100000000000009</v>
      </c>
      <c r="G149" s="52"/>
      <c r="H149" s="58">
        <f t="shared" si="117"/>
        <v>3.15</v>
      </c>
      <c r="I149" s="59">
        <f t="shared" si="118"/>
        <v>0.39374999999999999</v>
      </c>
      <c r="J149" s="72">
        <f>H149*[3]Rate!$B$5</f>
        <v>129.15</v>
      </c>
      <c r="K149" s="52"/>
      <c r="L149" s="58">
        <f t="shared" si="119"/>
        <v>3.75</v>
      </c>
      <c r="M149" s="59">
        <f t="shared" si="120"/>
        <v>0.46875</v>
      </c>
      <c r="N149" s="72">
        <f>L149*[3]Rate!$B$5</f>
        <v>153.75</v>
      </c>
    </row>
    <row r="150" spans="1:14" ht="15.75" thickBot="1">
      <c r="A150" s="221" t="s">
        <v>114</v>
      </c>
      <c r="B150" s="238" t="s">
        <v>38</v>
      </c>
      <c r="C150" s="8" t="s">
        <v>6</v>
      </c>
      <c r="D150" s="6">
        <f t="shared" ref="D150:F150" si="121">SUM(D146:D149)</f>
        <v>17.400000000000002</v>
      </c>
      <c r="E150" s="9">
        <f t="shared" si="121"/>
        <v>2.1750000000000003</v>
      </c>
      <c r="F150" s="73">
        <f t="shared" si="121"/>
        <v>611.25</v>
      </c>
      <c r="G150" s="53"/>
      <c r="H150" s="6">
        <f t="shared" ref="H150:J150" si="122">SUM(H146:H149)</f>
        <v>26.4</v>
      </c>
      <c r="I150" s="9">
        <f t="shared" si="122"/>
        <v>3.3</v>
      </c>
      <c r="J150" s="73">
        <f t="shared" si="122"/>
        <v>926.7</v>
      </c>
      <c r="K150" s="56"/>
      <c r="L150" s="6">
        <f t="shared" ref="L150" si="123">SUM(L146:L149)</f>
        <v>31.5</v>
      </c>
      <c r="M150" s="9">
        <f t="shared" ref="M150:N150" si="124">SUM(M146:M149)</f>
        <v>3.9375</v>
      </c>
      <c r="N150" s="73">
        <f t="shared" si="124"/>
        <v>1107.1500000000001</v>
      </c>
    </row>
  </sheetData>
  <mergeCells count="64">
    <mergeCell ref="D99:F99"/>
    <mergeCell ref="L99:N99"/>
    <mergeCell ref="L43:N43"/>
    <mergeCell ref="A7:N8"/>
    <mergeCell ref="A23:N24"/>
    <mergeCell ref="A35:A36"/>
    <mergeCell ref="B35:B36"/>
    <mergeCell ref="C35:C36"/>
    <mergeCell ref="D35:F35"/>
    <mergeCell ref="H35:J35"/>
    <mergeCell ref="L35:N35"/>
    <mergeCell ref="A26:A27"/>
    <mergeCell ref="B26:B27"/>
    <mergeCell ref="C26:C27"/>
    <mergeCell ref="D26:F26"/>
    <mergeCell ref="H26:J26"/>
    <mergeCell ref="L26:N26"/>
    <mergeCell ref="A43:A44"/>
    <mergeCell ref="B43:B44"/>
    <mergeCell ref="C43:C44"/>
    <mergeCell ref="D43:F43"/>
    <mergeCell ref="H43:J43"/>
    <mergeCell ref="L51:N51"/>
    <mergeCell ref="L59:N59"/>
    <mergeCell ref="L91:N91"/>
    <mergeCell ref="D51:F51"/>
    <mergeCell ref="D59:F59"/>
    <mergeCell ref="D91:F91"/>
    <mergeCell ref="D75:F75"/>
    <mergeCell ref="L75:N75"/>
    <mergeCell ref="D67:F67"/>
    <mergeCell ref="L67:N67"/>
    <mergeCell ref="D83:F83"/>
    <mergeCell ref="L83:N83"/>
    <mergeCell ref="L112:N112"/>
    <mergeCell ref="A112:A113"/>
    <mergeCell ref="B112:B113"/>
    <mergeCell ref="C112:C113"/>
    <mergeCell ref="D112:F112"/>
    <mergeCell ref="H112:J112"/>
    <mergeCell ref="L120:N120"/>
    <mergeCell ref="A120:A121"/>
    <mergeCell ref="B120:B121"/>
    <mergeCell ref="C120:C121"/>
    <mergeCell ref="D120:F120"/>
    <mergeCell ref="H120:J120"/>
    <mergeCell ref="L128:N128"/>
    <mergeCell ref="A136:A137"/>
    <mergeCell ref="B136:B137"/>
    <mergeCell ref="C136:C137"/>
    <mergeCell ref="D136:F136"/>
    <mergeCell ref="H136:J136"/>
    <mergeCell ref="L136:N136"/>
    <mergeCell ref="A128:A129"/>
    <mergeCell ref="B128:B129"/>
    <mergeCell ref="C128:C129"/>
    <mergeCell ref="D128:F128"/>
    <mergeCell ref="H128:J128"/>
    <mergeCell ref="L144:N144"/>
    <mergeCell ref="A144:A145"/>
    <mergeCell ref="B144:B145"/>
    <mergeCell ref="C144:C145"/>
    <mergeCell ref="D144:F144"/>
    <mergeCell ref="H144:J14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B9" sqref="B9"/>
    </sheetView>
  </sheetViews>
  <sheetFormatPr defaultRowHeight="15"/>
  <cols>
    <col min="1" max="1" width="78.85546875" bestFit="1" customWidth="1"/>
    <col min="4" max="4" width="13.28515625" customWidth="1"/>
    <col min="5" max="5" width="11.140625" customWidth="1"/>
    <col min="6" max="6" width="10.5703125" customWidth="1"/>
  </cols>
  <sheetData>
    <row r="1" spans="1:6" ht="60">
      <c r="A1" s="86" t="s">
        <v>45</v>
      </c>
      <c r="B1" t="s">
        <v>53</v>
      </c>
      <c r="C1" t="s">
        <v>54</v>
      </c>
      <c r="D1" s="180" t="s">
        <v>117</v>
      </c>
      <c r="E1" s="180" t="s">
        <v>118</v>
      </c>
      <c r="F1" s="180" t="s">
        <v>119</v>
      </c>
    </row>
    <row r="2" spans="1:6">
      <c r="A2" t="s">
        <v>88</v>
      </c>
      <c r="B2" s="209">
        <v>2</v>
      </c>
      <c r="C2" s="209">
        <v>5</v>
      </c>
      <c r="D2">
        <f>C2*B2</f>
        <v>10</v>
      </c>
      <c r="E2">
        <f>D2*Medium!$H$1</f>
        <v>15.185185185185187</v>
      </c>
      <c r="F2">
        <f>D2*High!$H$1</f>
        <v>18.148148148148149</v>
      </c>
    </row>
    <row r="3" spans="1:6">
      <c r="A3" t="s">
        <v>46</v>
      </c>
      <c r="B3" s="209">
        <v>1</v>
      </c>
      <c r="C3" s="209">
        <v>5</v>
      </c>
      <c r="D3">
        <f t="shared" ref="D3:D7" si="0">C3*B3</f>
        <v>5</v>
      </c>
      <c r="E3">
        <f>D3*Medium!$H$1</f>
        <v>7.5925925925925934</v>
      </c>
      <c r="F3">
        <f>D3*High!$H$1</f>
        <v>9.0740740740740744</v>
      </c>
    </row>
    <row r="4" spans="1:6">
      <c r="A4" t="s">
        <v>47</v>
      </c>
      <c r="B4" s="209">
        <v>1</v>
      </c>
      <c r="C4" s="209">
        <v>2</v>
      </c>
      <c r="D4">
        <f t="shared" si="0"/>
        <v>2</v>
      </c>
      <c r="E4">
        <f>D4*Medium!$H$1</f>
        <v>3.0370370370370372</v>
      </c>
      <c r="F4">
        <f>D4*High!$H$1</f>
        <v>3.6296296296296298</v>
      </c>
    </row>
    <row r="5" spans="1:6">
      <c r="A5" t="s">
        <v>48</v>
      </c>
      <c r="B5" s="209">
        <v>2</v>
      </c>
      <c r="C5" s="209">
        <v>2</v>
      </c>
      <c r="D5">
        <f t="shared" si="0"/>
        <v>4</v>
      </c>
      <c r="E5">
        <f>D5*Medium!$H$1</f>
        <v>6.0740740740740744</v>
      </c>
      <c r="F5">
        <f>D5*High!$H$1</f>
        <v>7.2592592592592595</v>
      </c>
    </row>
    <row r="6" spans="1:6">
      <c r="A6" t="s">
        <v>49</v>
      </c>
      <c r="B6" s="209">
        <v>1</v>
      </c>
      <c r="C6" s="209">
        <v>5</v>
      </c>
      <c r="D6">
        <f t="shared" si="0"/>
        <v>5</v>
      </c>
      <c r="E6">
        <f>D6*Medium!$H$1</f>
        <v>7.5925925925925934</v>
      </c>
      <c r="F6">
        <f>D6*High!$H$1</f>
        <v>9.0740740740740744</v>
      </c>
    </row>
    <row r="7" spans="1:6">
      <c r="A7" t="s">
        <v>50</v>
      </c>
      <c r="B7" s="209">
        <v>1</v>
      </c>
      <c r="C7" s="209">
        <v>3</v>
      </c>
      <c r="D7">
        <f t="shared" si="0"/>
        <v>3</v>
      </c>
      <c r="E7">
        <f>D7*Medium!$H$1</f>
        <v>4.5555555555555554</v>
      </c>
      <c r="F7">
        <f>D7*High!$H$1</f>
        <v>5.4444444444444446</v>
      </c>
    </row>
    <row r="8" spans="1:6">
      <c r="A8" t="s">
        <v>55</v>
      </c>
      <c r="B8" s="87"/>
      <c r="C8" s="87"/>
      <c r="D8" s="87"/>
      <c r="E8" s="87"/>
      <c r="F8" s="87"/>
    </row>
    <row r="9" spans="1:6">
      <c r="B9">
        <f>SUM(B2:B7)</f>
        <v>8</v>
      </c>
      <c r="C9">
        <f>SUM(C2:C7)</f>
        <v>22</v>
      </c>
      <c r="D9">
        <f>SUM(D2:D7)</f>
        <v>29</v>
      </c>
      <c r="E9">
        <f>SUM(E2:E7)</f>
        <v>44.037037037037045</v>
      </c>
      <c r="F9">
        <f>SUM(F2:F7)</f>
        <v>52.629629629629633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I14" sqref="I14"/>
    </sheetView>
  </sheetViews>
  <sheetFormatPr defaultRowHeight="15"/>
  <sheetData>
    <row r="1" spans="1:17">
      <c r="B1" t="s">
        <v>95</v>
      </c>
      <c r="C1" t="s">
        <v>96</v>
      </c>
      <c r="D1" t="s">
        <v>98</v>
      </c>
      <c r="E1" t="s">
        <v>97</v>
      </c>
      <c r="H1" t="s">
        <v>101</v>
      </c>
      <c r="I1" t="s">
        <v>102</v>
      </c>
      <c r="K1" t="s">
        <v>103</v>
      </c>
      <c r="L1" t="s">
        <v>96</v>
      </c>
      <c r="M1" t="s">
        <v>98</v>
      </c>
      <c r="N1" t="s">
        <v>97</v>
      </c>
      <c r="Q1" t="s">
        <v>101</v>
      </c>
    </row>
    <row r="2" spans="1:17">
      <c r="A2" t="s">
        <v>63</v>
      </c>
      <c r="B2" s="209">
        <v>100</v>
      </c>
      <c r="C2">
        <v>6</v>
      </c>
      <c r="D2">
        <v>3</v>
      </c>
      <c r="E2">
        <v>1</v>
      </c>
      <c r="G2" t="s">
        <v>99</v>
      </c>
      <c r="H2">
        <f>B2/SUM(C2:E2)</f>
        <v>10</v>
      </c>
      <c r="K2" s="209">
        <v>10</v>
      </c>
      <c r="L2">
        <v>6</v>
      </c>
      <c r="M2">
        <v>3</v>
      </c>
      <c r="N2">
        <v>1</v>
      </c>
      <c r="P2" t="s">
        <v>99</v>
      </c>
      <c r="Q2">
        <f>K2/SUM(L2:N2)</f>
        <v>1</v>
      </c>
    </row>
    <row r="3" spans="1:17">
      <c r="C3">
        <f>C2*H2</f>
        <v>60</v>
      </c>
      <c r="D3">
        <f>D2*H2</f>
        <v>30</v>
      </c>
      <c r="E3">
        <f>E2*H2</f>
        <v>10</v>
      </c>
      <c r="G3" t="s">
        <v>100</v>
      </c>
      <c r="L3">
        <f>L2*Q2</f>
        <v>6</v>
      </c>
      <c r="M3">
        <f>M2*Q2</f>
        <v>3</v>
      </c>
      <c r="N3">
        <f>N2*Q2</f>
        <v>1</v>
      </c>
      <c r="P3" t="s">
        <v>100</v>
      </c>
    </row>
    <row r="4" spans="1:17">
      <c r="B4" t="s">
        <v>102</v>
      </c>
      <c r="C4">
        <f>ROUND(C3*$I$4,0)</f>
        <v>18</v>
      </c>
      <c r="D4">
        <f t="shared" ref="D4:E4" si="0">ROUND(D3*$I$4,0)</f>
        <v>9</v>
      </c>
      <c r="E4">
        <f t="shared" si="0"/>
        <v>3</v>
      </c>
      <c r="I4" s="208">
        <v>0.3</v>
      </c>
    </row>
    <row r="5" spans="1:17">
      <c r="B5" t="s">
        <v>16</v>
      </c>
      <c r="C5">
        <f>C3-C4</f>
        <v>42</v>
      </c>
      <c r="D5">
        <f t="shared" ref="D5:E5" si="1">D3-D4</f>
        <v>21</v>
      </c>
      <c r="E5">
        <f t="shared" si="1"/>
        <v>7</v>
      </c>
    </row>
    <row r="7" spans="1:17">
      <c r="A7" t="s">
        <v>70</v>
      </c>
      <c r="B7" s="209">
        <v>150</v>
      </c>
      <c r="C7">
        <v>6</v>
      </c>
      <c r="D7">
        <v>3</v>
      </c>
      <c r="E7">
        <v>1</v>
      </c>
      <c r="G7" t="s">
        <v>99</v>
      </c>
      <c r="H7">
        <f>B7/SUM(C7:E7)</f>
        <v>15</v>
      </c>
      <c r="K7" s="209">
        <v>20</v>
      </c>
      <c r="L7">
        <v>6</v>
      </c>
      <c r="M7">
        <v>3</v>
      </c>
      <c r="N7">
        <v>1</v>
      </c>
      <c r="P7" t="s">
        <v>99</v>
      </c>
      <c r="Q7">
        <f>K7/SUM(L7:N7)</f>
        <v>2</v>
      </c>
    </row>
    <row r="8" spans="1:17">
      <c r="C8">
        <f>C7*H7</f>
        <v>90</v>
      </c>
      <c r="D8">
        <f>D7*H7</f>
        <v>45</v>
      </c>
      <c r="E8">
        <f>E7*H7</f>
        <v>15</v>
      </c>
      <c r="G8" t="s">
        <v>100</v>
      </c>
      <c r="L8">
        <f>L7*Q7</f>
        <v>12</v>
      </c>
      <c r="M8">
        <f>M7*Q7</f>
        <v>6</v>
      </c>
      <c r="N8">
        <f>N7*Q7</f>
        <v>2</v>
      </c>
      <c r="P8" t="s">
        <v>100</v>
      </c>
    </row>
    <row r="9" spans="1:17">
      <c r="B9" t="s">
        <v>102</v>
      </c>
      <c r="C9">
        <f>ROUND(C8*$I$9,0)</f>
        <v>23</v>
      </c>
      <c r="D9">
        <f t="shared" ref="D9:E9" si="2">ROUND(D8*$I$9,0)</f>
        <v>11</v>
      </c>
      <c r="E9">
        <f t="shared" si="2"/>
        <v>4</v>
      </c>
      <c r="I9" s="208">
        <v>0.25</v>
      </c>
    </row>
    <row r="10" spans="1:17">
      <c r="B10" t="s">
        <v>16</v>
      </c>
      <c r="C10">
        <f>C8-C9</f>
        <v>67</v>
      </c>
      <c r="D10">
        <f t="shared" ref="D10" si="3">D8-D9</f>
        <v>34</v>
      </c>
      <c r="E10">
        <f t="shared" ref="E10" si="4">E8-E9</f>
        <v>11</v>
      </c>
    </row>
    <row r="12" spans="1:17">
      <c r="A12" t="s">
        <v>70</v>
      </c>
      <c r="B12" s="209">
        <v>175</v>
      </c>
      <c r="C12">
        <v>6</v>
      </c>
      <c r="D12">
        <v>3</v>
      </c>
      <c r="E12">
        <v>1</v>
      </c>
      <c r="G12" t="s">
        <v>99</v>
      </c>
      <c r="H12">
        <f>ROUND(B12/SUM(C12:E12),1)</f>
        <v>17.5</v>
      </c>
      <c r="K12" s="209">
        <v>30</v>
      </c>
      <c r="L12">
        <v>6</v>
      </c>
      <c r="M12">
        <v>3</v>
      </c>
      <c r="N12">
        <v>1</v>
      </c>
      <c r="P12" t="s">
        <v>99</v>
      </c>
      <c r="Q12">
        <f>K12/SUM(L12:N12)</f>
        <v>3</v>
      </c>
    </row>
    <row r="13" spans="1:17">
      <c r="C13">
        <f>C12*H12</f>
        <v>105</v>
      </c>
      <c r="D13">
        <f>D12*H12</f>
        <v>52.5</v>
      </c>
      <c r="E13">
        <f>E12*H12</f>
        <v>17.5</v>
      </c>
      <c r="G13" t="s">
        <v>100</v>
      </c>
      <c r="L13">
        <f>L12*Q12</f>
        <v>18</v>
      </c>
      <c r="M13">
        <f>M12*Q12</f>
        <v>9</v>
      </c>
      <c r="N13">
        <f>N12*Q12</f>
        <v>3</v>
      </c>
      <c r="P13" t="s">
        <v>100</v>
      </c>
    </row>
    <row r="14" spans="1:17">
      <c r="B14" t="s">
        <v>102</v>
      </c>
      <c r="C14">
        <f>ROUND(C13*$I$14,0)</f>
        <v>16</v>
      </c>
      <c r="D14">
        <f t="shared" ref="D14:E14" si="5">ROUND(D13*$I$14,0)</f>
        <v>8</v>
      </c>
      <c r="E14">
        <f t="shared" si="5"/>
        <v>3</v>
      </c>
      <c r="I14" s="208">
        <v>0.15</v>
      </c>
    </row>
    <row r="15" spans="1:17">
      <c r="B15" t="s">
        <v>16</v>
      </c>
      <c r="C15">
        <f>C13-C14</f>
        <v>89</v>
      </c>
      <c r="D15">
        <f t="shared" ref="D15" si="6">D13-D14</f>
        <v>44.5</v>
      </c>
      <c r="E15">
        <f t="shared" ref="E15" si="7">E13-E14</f>
        <v>14.5</v>
      </c>
    </row>
    <row r="18" spans="1:2">
      <c r="A18" s="209"/>
      <c r="B18" s="251" t="s">
        <v>134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J173"/>
  <sheetViews>
    <sheetView topLeftCell="A153" workbookViewId="0">
      <selection activeCell="A175" sqref="A175"/>
    </sheetView>
  </sheetViews>
  <sheetFormatPr defaultRowHeight="15"/>
  <cols>
    <col min="1" max="1" width="20.7109375" customWidth="1"/>
    <col min="2" max="2" width="11.42578125" bestFit="1" customWidth="1"/>
    <col min="3" max="3" width="16.85546875" customWidth="1"/>
    <col min="4" max="4" width="11.5703125" bestFit="1" customWidth="1"/>
    <col min="5" max="5" width="11.42578125" bestFit="1" customWidth="1"/>
  </cols>
  <sheetData>
    <row r="3" spans="1:7">
      <c r="A3" s="86" t="s">
        <v>0</v>
      </c>
      <c r="B3" s="86" t="s">
        <v>2</v>
      </c>
      <c r="C3" s="86" t="s">
        <v>1</v>
      </c>
      <c r="D3" s="86" t="s">
        <v>72</v>
      </c>
      <c r="E3" s="86" t="s">
        <v>73</v>
      </c>
      <c r="F3" s="86" t="s">
        <v>74</v>
      </c>
      <c r="G3" s="86" t="s">
        <v>9</v>
      </c>
    </row>
    <row r="4" spans="1:7">
      <c r="A4" t="s">
        <v>92</v>
      </c>
      <c r="B4" t="s">
        <v>76</v>
      </c>
      <c r="C4" t="s">
        <v>3</v>
      </c>
      <c r="D4">
        <v>64</v>
      </c>
      <c r="E4">
        <f>'Efforts with Complexity'!$E$10</f>
        <v>1</v>
      </c>
      <c r="F4">
        <f>E4*D4</f>
        <v>64</v>
      </c>
      <c r="G4">
        <f>F4*[4]Rate!$B$2</f>
        <v>1920</v>
      </c>
    </row>
    <row r="5" spans="1:7">
      <c r="A5" t="s">
        <v>92</v>
      </c>
      <c r="B5" t="s">
        <v>76</v>
      </c>
      <c r="C5" t="s">
        <v>7</v>
      </c>
      <c r="D5">
        <v>0</v>
      </c>
      <c r="E5">
        <f>'Efforts with Complexity'!$E$10</f>
        <v>1</v>
      </c>
      <c r="F5">
        <f t="shared" ref="F5:F7" si="0">E5*D5</f>
        <v>0</v>
      </c>
      <c r="G5">
        <f>F5*[4]Rate!$B$3</f>
        <v>0</v>
      </c>
    </row>
    <row r="6" spans="1:7">
      <c r="A6" t="s">
        <v>92</v>
      </c>
      <c r="B6" t="s">
        <v>76</v>
      </c>
      <c r="C6" t="s">
        <v>5</v>
      </c>
      <c r="D6">
        <v>0</v>
      </c>
      <c r="E6">
        <f>'Efforts with Complexity'!$E$10</f>
        <v>1</v>
      </c>
      <c r="F6">
        <f t="shared" si="0"/>
        <v>0</v>
      </c>
      <c r="G6">
        <f>F6*[4]Rate!$B$4</f>
        <v>0</v>
      </c>
    </row>
    <row r="7" spans="1:7">
      <c r="A7" t="s">
        <v>92</v>
      </c>
      <c r="B7" t="s">
        <v>76</v>
      </c>
      <c r="C7" t="s">
        <v>4</v>
      </c>
      <c r="D7">
        <v>0</v>
      </c>
      <c r="E7">
        <f>'Efforts with Complexity'!$E$10</f>
        <v>1</v>
      </c>
      <c r="F7">
        <f t="shared" si="0"/>
        <v>0</v>
      </c>
      <c r="G7">
        <f>F7*[4]Rate!$B$5</f>
        <v>0</v>
      </c>
    </row>
    <row r="8" spans="1:7">
      <c r="A8" t="s">
        <v>92</v>
      </c>
      <c r="B8" t="s">
        <v>76</v>
      </c>
      <c r="C8" t="s">
        <v>6</v>
      </c>
      <c r="D8">
        <f>SUM(D4:D7)</f>
        <v>64</v>
      </c>
      <c r="E8">
        <f>'Efforts with Complexity'!$E$10</f>
        <v>1</v>
      </c>
      <c r="F8">
        <f>SUM(F4:F7)</f>
        <v>64</v>
      </c>
      <c r="G8">
        <f>SUM(G4:G7)</f>
        <v>1920</v>
      </c>
    </row>
    <row r="9" spans="1:7">
      <c r="A9" t="s">
        <v>92</v>
      </c>
    </row>
    <row r="10" spans="1:7">
      <c r="A10" t="s">
        <v>92</v>
      </c>
      <c r="B10" t="s">
        <v>93</v>
      </c>
      <c r="C10" t="s">
        <v>3</v>
      </c>
      <c r="D10">
        <v>1</v>
      </c>
      <c r="E10">
        <f>'Efforts with Complexity'!$E$10</f>
        <v>1</v>
      </c>
      <c r="F10">
        <f>E10*D10</f>
        <v>1</v>
      </c>
      <c r="G10">
        <f>F10*[4]Rate!$B$2</f>
        <v>30</v>
      </c>
    </row>
    <row r="11" spans="1:7">
      <c r="A11" t="s">
        <v>92</v>
      </c>
      <c r="B11" t="s">
        <v>93</v>
      </c>
      <c r="C11" t="s">
        <v>7</v>
      </c>
      <c r="D11">
        <v>12</v>
      </c>
      <c r="E11">
        <f>'Efforts with Complexity'!$E$10</f>
        <v>1</v>
      </c>
      <c r="F11">
        <f t="shared" ref="F11:F13" si="1">E11*D11</f>
        <v>12</v>
      </c>
      <c r="G11">
        <f>F11*[4]Rate!$B$3</f>
        <v>480</v>
      </c>
    </row>
    <row r="12" spans="1:7">
      <c r="A12" t="s">
        <v>92</v>
      </c>
      <c r="B12" t="s">
        <v>93</v>
      </c>
      <c r="C12" t="s">
        <v>5</v>
      </c>
      <c r="D12">
        <v>25</v>
      </c>
      <c r="E12">
        <f>'Efforts with Complexity'!$E$10</f>
        <v>1</v>
      </c>
      <c r="F12">
        <f t="shared" si="1"/>
        <v>25</v>
      </c>
      <c r="G12">
        <f>F12*[4]Rate!$B$4</f>
        <v>625</v>
      </c>
    </row>
    <row r="13" spans="1:7">
      <c r="A13" t="s">
        <v>92</v>
      </c>
      <c r="B13" t="s">
        <v>93</v>
      </c>
      <c r="C13" t="s">
        <v>4</v>
      </c>
      <c r="D13">
        <v>14</v>
      </c>
      <c r="E13">
        <f>'Efforts with Complexity'!$E$10</f>
        <v>1</v>
      </c>
      <c r="F13">
        <f t="shared" si="1"/>
        <v>14</v>
      </c>
      <c r="G13">
        <f>F13*[4]Rate!$B$5</f>
        <v>462</v>
      </c>
    </row>
    <row r="14" spans="1:7">
      <c r="A14" t="s">
        <v>92</v>
      </c>
      <c r="B14" t="s">
        <v>93</v>
      </c>
      <c r="C14" t="s">
        <v>6</v>
      </c>
      <c r="D14">
        <f>SUM(D10:D13)</f>
        <v>52</v>
      </c>
      <c r="E14">
        <f>'Efforts with Complexity'!$E$10</f>
        <v>1</v>
      </c>
      <c r="F14">
        <f>SUM(F10:F13)</f>
        <v>52</v>
      </c>
      <c r="G14">
        <f>SUM(G10:G13)</f>
        <v>1597</v>
      </c>
    </row>
    <row r="16" spans="1:7">
      <c r="A16" t="s">
        <v>94</v>
      </c>
      <c r="B16" t="s">
        <v>76</v>
      </c>
      <c r="C16" t="s">
        <v>3</v>
      </c>
      <c r="D16">
        <v>0</v>
      </c>
      <c r="E16">
        <f>'Efforts with Complexity'!$B$17</f>
        <v>20</v>
      </c>
      <c r="F16">
        <f>E16*D16</f>
        <v>0</v>
      </c>
      <c r="G16">
        <f>F16*[4]Rate!$B$2</f>
        <v>0</v>
      </c>
    </row>
    <row r="17" spans="1:7">
      <c r="A17" t="s">
        <v>94</v>
      </c>
      <c r="B17" t="s">
        <v>76</v>
      </c>
      <c r="C17" t="s">
        <v>7</v>
      </c>
      <c r="D17">
        <v>0</v>
      </c>
      <c r="E17">
        <f>'Efforts with Complexity'!$B$17</f>
        <v>20</v>
      </c>
      <c r="F17">
        <f t="shared" ref="F17:F19" si="2">E17*D17</f>
        <v>0</v>
      </c>
      <c r="G17">
        <f>F17*[4]Rate!$B$3</f>
        <v>0</v>
      </c>
    </row>
    <row r="18" spans="1:7">
      <c r="A18" t="s">
        <v>94</v>
      </c>
      <c r="B18" t="s">
        <v>76</v>
      </c>
      <c r="C18" t="s">
        <v>5</v>
      </c>
      <c r="D18">
        <v>6</v>
      </c>
      <c r="E18">
        <f>'Efforts with Complexity'!$B$17</f>
        <v>20</v>
      </c>
      <c r="F18">
        <f t="shared" si="2"/>
        <v>120</v>
      </c>
      <c r="G18">
        <f>F18*[4]Rate!$B$4</f>
        <v>3000</v>
      </c>
    </row>
    <row r="19" spans="1:7">
      <c r="A19" t="s">
        <v>94</v>
      </c>
      <c r="B19" t="s">
        <v>76</v>
      </c>
      <c r="C19" t="s">
        <v>4</v>
      </c>
      <c r="D19">
        <v>0</v>
      </c>
      <c r="E19">
        <f>'Efforts with Complexity'!$B$17</f>
        <v>20</v>
      </c>
      <c r="F19">
        <f t="shared" si="2"/>
        <v>0</v>
      </c>
      <c r="G19">
        <f>F19*[4]Rate!$B$5</f>
        <v>0</v>
      </c>
    </row>
    <row r="20" spans="1:7">
      <c r="A20" t="s">
        <v>94</v>
      </c>
      <c r="B20" t="s">
        <v>76</v>
      </c>
      <c r="C20" t="s">
        <v>6</v>
      </c>
      <c r="D20">
        <f>SUM(D16:D19)</f>
        <v>6</v>
      </c>
      <c r="E20">
        <f>'Efforts with Complexity'!$B$17</f>
        <v>20</v>
      </c>
      <c r="F20">
        <f>SUM(F16:F19)</f>
        <v>120</v>
      </c>
      <c r="G20">
        <f>SUM(G16:G19)</f>
        <v>3000</v>
      </c>
    </row>
    <row r="21" spans="1:7">
      <c r="A21" t="s">
        <v>94</v>
      </c>
    </row>
    <row r="22" spans="1:7">
      <c r="A22" t="s">
        <v>94</v>
      </c>
      <c r="B22" t="s">
        <v>77</v>
      </c>
      <c r="C22" t="s">
        <v>3</v>
      </c>
      <c r="D22">
        <v>3.2</v>
      </c>
      <c r="E22">
        <f>'Efforts with Complexity'!$B$17</f>
        <v>20</v>
      </c>
      <c r="F22">
        <f>E22*D22</f>
        <v>64</v>
      </c>
      <c r="G22">
        <f>F22*[4]Rate!$B$2</f>
        <v>1920</v>
      </c>
    </row>
    <row r="23" spans="1:7">
      <c r="A23" t="s">
        <v>94</v>
      </c>
      <c r="B23" t="s">
        <v>77</v>
      </c>
      <c r="C23" t="s">
        <v>7</v>
      </c>
      <c r="D23">
        <v>1.2</v>
      </c>
      <c r="E23">
        <f>'Efforts with Complexity'!$B$17</f>
        <v>20</v>
      </c>
      <c r="F23">
        <f t="shared" ref="F23:F25" si="3">E23*D23</f>
        <v>24</v>
      </c>
      <c r="G23">
        <f>F23*[4]Rate!$B$3</f>
        <v>960</v>
      </c>
    </row>
    <row r="24" spans="1:7">
      <c r="A24" t="s">
        <v>94</v>
      </c>
      <c r="B24" t="s">
        <v>77</v>
      </c>
      <c r="C24" t="s">
        <v>5</v>
      </c>
      <c r="D24">
        <v>0</v>
      </c>
      <c r="E24">
        <f>'Efforts with Complexity'!$B$17</f>
        <v>20</v>
      </c>
      <c r="F24">
        <f t="shared" si="3"/>
        <v>0</v>
      </c>
      <c r="G24">
        <f>F24*[4]Rate!$B$4</f>
        <v>0</v>
      </c>
    </row>
    <row r="25" spans="1:7">
      <c r="A25" t="s">
        <v>94</v>
      </c>
      <c r="B25" t="s">
        <v>77</v>
      </c>
      <c r="C25" t="s">
        <v>4</v>
      </c>
      <c r="D25">
        <v>4</v>
      </c>
      <c r="E25">
        <f>'Efforts with Complexity'!$B$17</f>
        <v>20</v>
      </c>
      <c r="F25">
        <f t="shared" si="3"/>
        <v>80</v>
      </c>
      <c r="G25">
        <f>F25*[4]Rate!$B$5</f>
        <v>2640</v>
      </c>
    </row>
    <row r="26" spans="1:7">
      <c r="A26" t="s">
        <v>94</v>
      </c>
      <c r="B26" t="s">
        <v>77</v>
      </c>
      <c r="C26" t="s">
        <v>6</v>
      </c>
      <c r="D26">
        <f>SUM(D22:D25)</f>
        <v>8.4</v>
      </c>
      <c r="E26">
        <f>'Efforts with Complexity'!$B$17</f>
        <v>20</v>
      </c>
      <c r="F26">
        <f>SUM(F22:F25)</f>
        <v>168</v>
      </c>
      <c r="G26">
        <f>SUM(G22:G25)</f>
        <v>5520</v>
      </c>
    </row>
    <row r="28" spans="1:7">
      <c r="A28" t="s">
        <v>75</v>
      </c>
      <c r="B28" t="s">
        <v>76</v>
      </c>
      <c r="C28" t="s">
        <v>3</v>
      </c>
      <c r="D28">
        <v>1</v>
      </c>
      <c r="E28">
        <f>'Efforts with Complexity'!$B$18</f>
        <v>15</v>
      </c>
      <c r="F28">
        <f>E28*D28</f>
        <v>15</v>
      </c>
      <c r="G28">
        <f>F28*[4]Rate!$B$2</f>
        <v>450</v>
      </c>
    </row>
    <row r="29" spans="1:7">
      <c r="A29" t="s">
        <v>75</v>
      </c>
      <c r="B29" t="s">
        <v>76</v>
      </c>
      <c r="C29" t="s">
        <v>7</v>
      </c>
      <c r="D29">
        <v>0</v>
      </c>
      <c r="E29">
        <f>'Efforts with Complexity'!$B$18</f>
        <v>15</v>
      </c>
      <c r="F29">
        <f t="shared" ref="F29:F31" si="4">E29*D29</f>
        <v>0</v>
      </c>
      <c r="G29">
        <f>F29*[4]Rate!$B$3</f>
        <v>0</v>
      </c>
    </row>
    <row r="30" spans="1:7">
      <c r="A30" t="s">
        <v>75</v>
      </c>
      <c r="B30" t="s">
        <v>76</v>
      </c>
      <c r="C30" t="s">
        <v>5</v>
      </c>
      <c r="D30">
        <v>8</v>
      </c>
      <c r="E30">
        <f>'Efforts with Complexity'!$B$18</f>
        <v>15</v>
      </c>
      <c r="F30">
        <f t="shared" si="4"/>
        <v>120</v>
      </c>
      <c r="G30">
        <f>F30*[4]Rate!$B$4</f>
        <v>3000</v>
      </c>
    </row>
    <row r="31" spans="1:7">
      <c r="A31" t="s">
        <v>75</v>
      </c>
      <c r="B31" t="s">
        <v>76</v>
      </c>
      <c r="C31" t="s">
        <v>4</v>
      </c>
      <c r="D31">
        <v>0</v>
      </c>
      <c r="E31">
        <f>'Efforts with Complexity'!$B$18</f>
        <v>15</v>
      </c>
      <c r="F31">
        <f t="shared" si="4"/>
        <v>0</v>
      </c>
      <c r="G31">
        <f>F31*[4]Rate!$B$5</f>
        <v>0</v>
      </c>
    </row>
    <row r="32" spans="1:7">
      <c r="A32" t="s">
        <v>75</v>
      </c>
      <c r="B32" t="s">
        <v>76</v>
      </c>
      <c r="C32" t="s">
        <v>6</v>
      </c>
      <c r="D32">
        <f>SUM(D28:D31)</f>
        <v>9</v>
      </c>
      <c r="E32">
        <f>'Efforts with Complexity'!$B$18</f>
        <v>15</v>
      </c>
      <c r="F32">
        <f>SUM(F28:F31)</f>
        <v>135</v>
      </c>
      <c r="G32">
        <f>SUM(G28:G31)</f>
        <v>3450</v>
      </c>
    </row>
    <row r="33" spans="1:7">
      <c r="A33" t="s">
        <v>75</v>
      </c>
    </row>
    <row r="34" spans="1:7">
      <c r="A34" t="s">
        <v>75</v>
      </c>
      <c r="B34" t="s">
        <v>77</v>
      </c>
      <c r="C34" t="s">
        <v>3</v>
      </c>
      <c r="D34">
        <v>1</v>
      </c>
      <c r="E34">
        <f>'Efforts with Complexity'!$B$18</f>
        <v>15</v>
      </c>
      <c r="F34">
        <f>E34*D34</f>
        <v>15</v>
      </c>
      <c r="G34">
        <f>F34*[4]Rate!$B$2</f>
        <v>450</v>
      </c>
    </row>
    <row r="35" spans="1:7">
      <c r="A35" t="s">
        <v>75</v>
      </c>
      <c r="B35" t="s">
        <v>77</v>
      </c>
      <c r="C35" t="s">
        <v>7</v>
      </c>
      <c r="D35">
        <v>1</v>
      </c>
      <c r="E35">
        <f>'Efforts with Complexity'!$B$18</f>
        <v>15</v>
      </c>
      <c r="F35">
        <f t="shared" ref="F35:F37" si="5">E35*D35</f>
        <v>15</v>
      </c>
      <c r="G35">
        <f>F35*[4]Rate!$B$3</f>
        <v>600</v>
      </c>
    </row>
    <row r="36" spans="1:7">
      <c r="A36" t="s">
        <v>75</v>
      </c>
      <c r="B36" t="s">
        <v>77</v>
      </c>
      <c r="C36" t="s">
        <v>5</v>
      </c>
      <c r="D36">
        <v>0</v>
      </c>
      <c r="E36">
        <f>'Efforts with Complexity'!$B$18</f>
        <v>15</v>
      </c>
      <c r="F36">
        <f t="shared" si="5"/>
        <v>0</v>
      </c>
      <c r="G36">
        <f>F36*[4]Rate!$B$4</f>
        <v>0</v>
      </c>
    </row>
    <row r="37" spans="1:7">
      <c r="A37" t="s">
        <v>75</v>
      </c>
      <c r="B37" t="s">
        <v>77</v>
      </c>
      <c r="C37" t="s">
        <v>4</v>
      </c>
      <c r="D37">
        <v>12</v>
      </c>
      <c r="E37">
        <f>'Efforts with Complexity'!$B$18</f>
        <v>15</v>
      </c>
      <c r="F37">
        <f t="shared" si="5"/>
        <v>180</v>
      </c>
      <c r="G37">
        <f>F37*[4]Rate!$B$5</f>
        <v>5940</v>
      </c>
    </row>
    <row r="38" spans="1:7">
      <c r="A38" t="s">
        <v>75</v>
      </c>
      <c r="B38" t="s">
        <v>77</v>
      </c>
      <c r="C38" t="s">
        <v>6</v>
      </c>
      <c r="D38">
        <f>SUM(D34:D37)</f>
        <v>14</v>
      </c>
      <c r="E38">
        <f>'Efforts with Complexity'!$B$18</f>
        <v>15</v>
      </c>
      <c r="F38">
        <f>SUM(F34:F37)</f>
        <v>210</v>
      </c>
      <c r="G38">
        <f>SUM(G34:G37)</f>
        <v>6990</v>
      </c>
    </row>
    <row r="40" spans="1:7">
      <c r="A40" t="s">
        <v>78</v>
      </c>
      <c r="B40" t="s">
        <v>76</v>
      </c>
      <c r="C40" t="s">
        <v>3</v>
      </c>
      <c r="D40">
        <v>0.5</v>
      </c>
      <c r="E40">
        <f>'Efforts with Complexity'!C19</f>
        <v>42</v>
      </c>
      <c r="F40">
        <f>E40*D40</f>
        <v>21</v>
      </c>
      <c r="G40">
        <f>F40*[4]Rate!$B$2</f>
        <v>630</v>
      </c>
    </row>
    <row r="41" spans="1:7">
      <c r="A41" t="s">
        <v>78</v>
      </c>
      <c r="B41" t="s">
        <v>76</v>
      </c>
      <c r="C41" t="s">
        <v>7</v>
      </c>
      <c r="D41">
        <v>0</v>
      </c>
      <c r="E41">
        <f t="shared" ref="E41:E44" si="6">$E$40</f>
        <v>42</v>
      </c>
      <c r="F41">
        <f t="shared" ref="F41:F43" si="7">E41*D41</f>
        <v>0</v>
      </c>
      <c r="G41">
        <f>F41*[4]Rate!$B$3</f>
        <v>0</v>
      </c>
    </row>
    <row r="42" spans="1:7">
      <c r="A42" t="s">
        <v>78</v>
      </c>
      <c r="B42" t="s">
        <v>76</v>
      </c>
      <c r="C42" t="s">
        <v>5</v>
      </c>
      <c r="D42">
        <v>4</v>
      </c>
      <c r="E42">
        <f t="shared" si="6"/>
        <v>42</v>
      </c>
      <c r="F42">
        <f t="shared" si="7"/>
        <v>168</v>
      </c>
      <c r="G42">
        <f>F42*[4]Rate!$B$4</f>
        <v>4200</v>
      </c>
    </row>
    <row r="43" spans="1:7">
      <c r="A43" t="s">
        <v>78</v>
      </c>
      <c r="B43" t="s">
        <v>76</v>
      </c>
      <c r="C43" t="s">
        <v>4</v>
      </c>
      <c r="D43">
        <v>0</v>
      </c>
      <c r="E43">
        <f t="shared" si="6"/>
        <v>42</v>
      </c>
      <c r="F43">
        <f t="shared" si="7"/>
        <v>0</v>
      </c>
      <c r="G43">
        <f>F43*[4]Rate!$B$5</f>
        <v>0</v>
      </c>
    </row>
    <row r="44" spans="1:7">
      <c r="A44" t="s">
        <v>78</v>
      </c>
      <c r="B44" t="s">
        <v>76</v>
      </c>
      <c r="C44" t="s">
        <v>6</v>
      </c>
      <c r="D44">
        <f>SUM(D40:D43)</f>
        <v>4.5</v>
      </c>
      <c r="E44">
        <f t="shared" si="6"/>
        <v>42</v>
      </c>
      <c r="F44">
        <f>SUM(F40:F43)</f>
        <v>189</v>
      </c>
      <c r="G44">
        <f>SUM(G40:G43)</f>
        <v>4830</v>
      </c>
    </row>
    <row r="45" spans="1:7">
      <c r="A45" t="s">
        <v>78</v>
      </c>
    </row>
    <row r="46" spans="1:7">
      <c r="A46" t="s">
        <v>78</v>
      </c>
      <c r="B46" t="s">
        <v>77</v>
      </c>
      <c r="C46" t="s">
        <v>3</v>
      </c>
      <c r="D46">
        <v>0.5</v>
      </c>
      <c r="E46">
        <f t="shared" ref="E46:E50" si="8">$E$40</f>
        <v>42</v>
      </c>
      <c r="F46">
        <f>E46*D46</f>
        <v>21</v>
      </c>
      <c r="G46">
        <f>F46*[4]Rate!$B$2</f>
        <v>630</v>
      </c>
    </row>
    <row r="47" spans="1:7">
      <c r="A47" t="s">
        <v>78</v>
      </c>
      <c r="B47" t="s">
        <v>77</v>
      </c>
      <c r="C47" t="s">
        <v>7</v>
      </c>
      <c r="D47">
        <v>0.5</v>
      </c>
      <c r="E47">
        <f t="shared" si="8"/>
        <v>42</v>
      </c>
      <c r="F47">
        <f t="shared" ref="F47:F49" si="9">E47*D47</f>
        <v>21</v>
      </c>
      <c r="G47">
        <f>F47*[4]Rate!$B$3</f>
        <v>840</v>
      </c>
    </row>
    <row r="48" spans="1:7">
      <c r="A48" t="s">
        <v>78</v>
      </c>
      <c r="B48" t="s">
        <v>77</v>
      </c>
      <c r="C48" t="s">
        <v>5</v>
      </c>
      <c r="D48">
        <v>0</v>
      </c>
      <c r="E48">
        <f t="shared" si="8"/>
        <v>42</v>
      </c>
      <c r="F48">
        <f t="shared" si="9"/>
        <v>0</v>
      </c>
      <c r="G48">
        <f>F48*[4]Rate!$B$4</f>
        <v>0</v>
      </c>
    </row>
    <row r="49" spans="1:7">
      <c r="A49" t="s">
        <v>78</v>
      </c>
      <c r="B49" t="s">
        <v>77</v>
      </c>
      <c r="C49" t="s">
        <v>4</v>
      </c>
      <c r="D49">
        <v>1.5</v>
      </c>
      <c r="E49">
        <f t="shared" si="8"/>
        <v>42</v>
      </c>
      <c r="F49">
        <f t="shared" si="9"/>
        <v>63</v>
      </c>
      <c r="G49">
        <f>F49*[4]Rate!$B$5</f>
        <v>2079</v>
      </c>
    </row>
    <row r="50" spans="1:7">
      <c r="A50" t="s">
        <v>78</v>
      </c>
      <c r="B50" t="s">
        <v>77</v>
      </c>
      <c r="C50" t="s">
        <v>6</v>
      </c>
      <c r="D50">
        <f>SUM(D46:D49)</f>
        <v>2.5</v>
      </c>
      <c r="E50">
        <f t="shared" si="8"/>
        <v>42</v>
      </c>
      <c r="F50">
        <f>SUM(F46:F49)</f>
        <v>105</v>
      </c>
      <c r="G50">
        <f>SUM(G46:G49)</f>
        <v>3549</v>
      </c>
    </row>
    <row r="52" spans="1:7">
      <c r="A52" t="s">
        <v>79</v>
      </c>
      <c r="B52" t="s">
        <v>76</v>
      </c>
      <c r="C52" t="s">
        <v>3</v>
      </c>
      <c r="D52">
        <v>0.5</v>
      </c>
      <c r="E52" s="76">
        <f>'Efforts with Complexity'!D19</f>
        <v>18</v>
      </c>
      <c r="F52">
        <f>E52*D52</f>
        <v>9</v>
      </c>
      <c r="G52">
        <f>F52*[4]Rate!$B$2</f>
        <v>270</v>
      </c>
    </row>
    <row r="53" spans="1:7">
      <c r="A53" t="s">
        <v>79</v>
      </c>
      <c r="B53" t="s">
        <v>76</v>
      </c>
      <c r="C53" t="s">
        <v>7</v>
      </c>
      <c r="D53">
        <v>0</v>
      </c>
      <c r="E53">
        <f>$E$52</f>
        <v>18</v>
      </c>
      <c r="F53">
        <f>E53*D53</f>
        <v>0</v>
      </c>
      <c r="G53">
        <f>F53*[4]Rate!$B$3</f>
        <v>0</v>
      </c>
    </row>
    <row r="54" spans="1:7">
      <c r="A54" t="s">
        <v>79</v>
      </c>
      <c r="B54" t="s">
        <v>76</v>
      </c>
      <c r="C54" t="s">
        <v>5</v>
      </c>
      <c r="D54">
        <v>2</v>
      </c>
      <c r="E54">
        <f t="shared" ref="E54:E62" si="10">$E$52</f>
        <v>18</v>
      </c>
      <c r="F54">
        <f>E54*D54</f>
        <v>36</v>
      </c>
      <c r="G54">
        <f>F54*[4]Rate!$B$4</f>
        <v>900</v>
      </c>
    </row>
    <row r="55" spans="1:7">
      <c r="A55" t="s">
        <v>79</v>
      </c>
      <c r="B55" t="s">
        <v>76</v>
      </c>
      <c r="C55" t="s">
        <v>4</v>
      </c>
      <c r="D55">
        <v>0</v>
      </c>
      <c r="E55">
        <f t="shared" si="10"/>
        <v>18</v>
      </c>
      <c r="F55">
        <f>E55*D55</f>
        <v>0</v>
      </c>
      <c r="G55">
        <f>F55*[4]Rate!$B$5</f>
        <v>0</v>
      </c>
    </row>
    <row r="56" spans="1:7">
      <c r="A56" t="s">
        <v>79</v>
      </c>
      <c r="B56" t="s">
        <v>76</v>
      </c>
      <c r="C56" t="s">
        <v>6</v>
      </c>
      <c r="D56">
        <f>SUM(D52:D55)</f>
        <v>2.5</v>
      </c>
      <c r="E56">
        <f t="shared" si="10"/>
        <v>18</v>
      </c>
      <c r="F56">
        <f>SUM(F52:F55)</f>
        <v>45</v>
      </c>
      <c r="G56">
        <f>SUM(G52:G55)</f>
        <v>1170</v>
      </c>
    </row>
    <row r="57" spans="1:7">
      <c r="A57" t="s">
        <v>79</v>
      </c>
    </row>
    <row r="58" spans="1:7">
      <c r="A58" t="s">
        <v>79</v>
      </c>
      <c r="B58" t="s">
        <v>77</v>
      </c>
      <c r="C58" t="s">
        <v>3</v>
      </c>
      <c r="D58">
        <v>0.5</v>
      </c>
      <c r="E58">
        <f t="shared" si="10"/>
        <v>18</v>
      </c>
      <c r="F58">
        <f>E58*D58</f>
        <v>9</v>
      </c>
      <c r="G58">
        <f>F58*[4]Rate!$B$2</f>
        <v>270</v>
      </c>
    </row>
    <row r="59" spans="1:7">
      <c r="A59" t="s">
        <v>79</v>
      </c>
      <c r="B59" t="s">
        <v>77</v>
      </c>
      <c r="C59" t="s">
        <v>7</v>
      </c>
      <c r="D59">
        <v>0</v>
      </c>
      <c r="E59">
        <f t="shared" si="10"/>
        <v>18</v>
      </c>
      <c r="F59">
        <f>E59*D59</f>
        <v>0</v>
      </c>
      <c r="G59">
        <f>F59*[4]Rate!$B$3</f>
        <v>0</v>
      </c>
    </row>
    <row r="60" spans="1:7">
      <c r="A60" t="s">
        <v>79</v>
      </c>
      <c r="B60" t="s">
        <v>77</v>
      </c>
      <c r="C60" t="s">
        <v>5</v>
      </c>
      <c r="D60">
        <v>0</v>
      </c>
      <c r="E60">
        <f t="shared" si="10"/>
        <v>18</v>
      </c>
      <c r="F60">
        <f>E60*D60</f>
        <v>0</v>
      </c>
      <c r="G60">
        <f>F60*[4]Rate!$B$4</f>
        <v>0</v>
      </c>
    </row>
    <row r="61" spans="1:7">
      <c r="A61" t="s">
        <v>79</v>
      </c>
      <c r="B61" t="s">
        <v>77</v>
      </c>
      <c r="C61" t="s">
        <v>4</v>
      </c>
      <c r="D61">
        <v>1</v>
      </c>
      <c r="E61">
        <f t="shared" si="10"/>
        <v>18</v>
      </c>
      <c r="F61">
        <f>E61*D61</f>
        <v>18</v>
      </c>
      <c r="G61">
        <f>F61*[4]Rate!$B$5</f>
        <v>594</v>
      </c>
    </row>
    <row r="62" spans="1:7">
      <c r="A62" t="s">
        <v>79</v>
      </c>
      <c r="B62" t="s">
        <v>77</v>
      </c>
      <c r="C62" t="s">
        <v>6</v>
      </c>
      <c r="D62">
        <f>SUM(D58:D61)</f>
        <v>1.5</v>
      </c>
      <c r="E62">
        <f t="shared" si="10"/>
        <v>18</v>
      </c>
      <c r="F62">
        <f>SUM(F58:F61)</f>
        <v>27</v>
      </c>
      <c r="G62">
        <f>SUM(G58:G61)</f>
        <v>864</v>
      </c>
    </row>
    <row r="64" spans="1:7">
      <c r="A64" t="s">
        <v>80</v>
      </c>
      <c r="B64" t="s">
        <v>76</v>
      </c>
      <c r="C64" t="s">
        <v>3</v>
      </c>
      <c r="D64">
        <v>0</v>
      </c>
      <c r="E64">
        <f>'Efforts with Complexity'!C20</f>
        <v>21</v>
      </c>
      <c r="F64">
        <f>E64*D64</f>
        <v>0</v>
      </c>
      <c r="G64">
        <f>F64*[4]Rate!$B$2</f>
        <v>0</v>
      </c>
    </row>
    <row r="65" spans="1:7">
      <c r="A65" t="s">
        <v>80</v>
      </c>
      <c r="B65" t="s">
        <v>76</v>
      </c>
      <c r="C65" t="s">
        <v>7</v>
      </c>
      <c r="D65">
        <v>0</v>
      </c>
      <c r="E65">
        <f>$E$64</f>
        <v>21</v>
      </c>
      <c r="F65">
        <f>E65*D65</f>
        <v>0</v>
      </c>
      <c r="G65">
        <f>F65*[4]Rate!$B$3</f>
        <v>0</v>
      </c>
    </row>
    <row r="66" spans="1:7">
      <c r="A66" t="s">
        <v>80</v>
      </c>
      <c r="B66" t="s">
        <v>76</v>
      </c>
      <c r="C66" t="s">
        <v>5</v>
      </c>
      <c r="D66">
        <v>2</v>
      </c>
      <c r="E66">
        <f t="shared" ref="E66:E68" si="11">$E$64</f>
        <v>21</v>
      </c>
      <c r="F66">
        <f>E66*D66</f>
        <v>42</v>
      </c>
      <c r="G66">
        <f>F66*[4]Rate!$B$4</f>
        <v>1050</v>
      </c>
    </row>
    <row r="67" spans="1:7">
      <c r="A67" t="s">
        <v>80</v>
      </c>
      <c r="B67" t="s">
        <v>76</v>
      </c>
      <c r="C67" t="s">
        <v>4</v>
      </c>
      <c r="D67">
        <v>0</v>
      </c>
      <c r="E67">
        <f t="shared" si="11"/>
        <v>21</v>
      </c>
      <c r="F67">
        <f>E67*D67</f>
        <v>0</v>
      </c>
      <c r="G67">
        <f>F67*[4]Rate!$B$5</f>
        <v>0</v>
      </c>
    </row>
    <row r="68" spans="1:7">
      <c r="A68" t="s">
        <v>80</v>
      </c>
      <c r="B68" t="s">
        <v>76</v>
      </c>
      <c r="C68" t="s">
        <v>6</v>
      </c>
      <c r="D68">
        <f>SUM(D64:D67)</f>
        <v>2</v>
      </c>
      <c r="E68">
        <f t="shared" si="11"/>
        <v>21</v>
      </c>
      <c r="F68">
        <f>SUM(F64:F67)</f>
        <v>42</v>
      </c>
      <c r="G68">
        <f>SUM(G64:G67)</f>
        <v>1050</v>
      </c>
    </row>
    <row r="69" spans="1:7">
      <c r="A69" t="s">
        <v>80</v>
      </c>
    </row>
    <row r="70" spans="1:7">
      <c r="A70" t="s">
        <v>80</v>
      </c>
      <c r="B70" t="s">
        <v>77</v>
      </c>
      <c r="C70" t="s">
        <v>3</v>
      </c>
      <c r="D70">
        <v>0.5</v>
      </c>
      <c r="E70">
        <f t="shared" ref="E70:E74" si="12">$E$64</f>
        <v>21</v>
      </c>
      <c r="F70">
        <f>E70*D70</f>
        <v>10.5</v>
      </c>
      <c r="G70">
        <f>F70*[4]Rate!$B$2</f>
        <v>315</v>
      </c>
    </row>
    <row r="71" spans="1:7">
      <c r="A71" t="s">
        <v>80</v>
      </c>
      <c r="B71" t="s">
        <v>77</v>
      </c>
      <c r="C71" t="s">
        <v>7</v>
      </c>
      <c r="D71">
        <v>0</v>
      </c>
      <c r="E71">
        <f t="shared" si="12"/>
        <v>21</v>
      </c>
      <c r="F71">
        <f>E71*D71</f>
        <v>0</v>
      </c>
      <c r="G71">
        <f>F71*[4]Rate!$B$3</f>
        <v>0</v>
      </c>
    </row>
    <row r="72" spans="1:7">
      <c r="A72" t="s">
        <v>80</v>
      </c>
      <c r="B72" t="s">
        <v>77</v>
      </c>
      <c r="C72" t="s">
        <v>5</v>
      </c>
      <c r="D72">
        <v>0</v>
      </c>
      <c r="E72">
        <f t="shared" si="12"/>
        <v>21</v>
      </c>
      <c r="F72">
        <f>E72*D72</f>
        <v>0</v>
      </c>
      <c r="G72">
        <f>F72*[4]Rate!$B$4</f>
        <v>0</v>
      </c>
    </row>
    <row r="73" spans="1:7">
      <c r="A73" t="s">
        <v>80</v>
      </c>
      <c r="B73" t="s">
        <v>77</v>
      </c>
      <c r="C73" t="s">
        <v>4</v>
      </c>
      <c r="D73">
        <v>0.5</v>
      </c>
      <c r="E73">
        <f t="shared" si="12"/>
        <v>21</v>
      </c>
      <c r="F73">
        <f>E73*D73</f>
        <v>10.5</v>
      </c>
      <c r="G73">
        <f>F73*[4]Rate!$B$5</f>
        <v>346.5</v>
      </c>
    </row>
    <row r="74" spans="1:7">
      <c r="A74" t="s">
        <v>80</v>
      </c>
      <c r="B74" t="s">
        <v>77</v>
      </c>
      <c r="C74" t="s">
        <v>6</v>
      </c>
      <c r="D74">
        <f>SUM(D70:D73)</f>
        <v>1</v>
      </c>
      <c r="E74">
        <f t="shared" si="12"/>
        <v>21</v>
      </c>
      <c r="F74">
        <f>SUM(F70:F73)</f>
        <v>21</v>
      </c>
      <c r="G74">
        <f>SUM(G70:G73)</f>
        <v>661.5</v>
      </c>
    </row>
    <row r="76" spans="1:7">
      <c r="A76" t="s">
        <v>81</v>
      </c>
      <c r="B76" t="s">
        <v>76</v>
      </c>
      <c r="C76" t="s">
        <v>3</v>
      </c>
      <c r="D76">
        <v>0</v>
      </c>
      <c r="E76">
        <f>'Efforts with Complexity'!D20</f>
        <v>9</v>
      </c>
      <c r="F76">
        <f>E76*D76</f>
        <v>0</v>
      </c>
      <c r="G76">
        <f>F76*[4]Rate!$B$2</f>
        <v>0</v>
      </c>
    </row>
    <row r="77" spans="1:7">
      <c r="A77" t="s">
        <v>81</v>
      </c>
      <c r="B77" t="s">
        <v>76</v>
      </c>
      <c r="C77" t="s">
        <v>7</v>
      </c>
      <c r="D77">
        <v>0</v>
      </c>
      <c r="E77">
        <f>$E$76</f>
        <v>9</v>
      </c>
      <c r="F77">
        <f t="shared" ref="F77:F79" si="13">E77*D77</f>
        <v>0</v>
      </c>
      <c r="G77">
        <f>F77*[4]Rate!$B$3</f>
        <v>0</v>
      </c>
    </row>
    <row r="78" spans="1:7">
      <c r="A78" t="s">
        <v>81</v>
      </c>
      <c r="B78" t="s">
        <v>76</v>
      </c>
      <c r="C78" t="s">
        <v>5</v>
      </c>
      <c r="D78">
        <v>0.5</v>
      </c>
      <c r="E78">
        <f t="shared" ref="E78:E80" si="14">$E$76</f>
        <v>9</v>
      </c>
      <c r="F78">
        <f t="shared" si="13"/>
        <v>4.5</v>
      </c>
      <c r="G78">
        <f>F78*[4]Rate!$B$4</f>
        <v>112.5</v>
      </c>
    </row>
    <row r="79" spans="1:7">
      <c r="A79" t="s">
        <v>81</v>
      </c>
      <c r="B79" t="s">
        <v>76</v>
      </c>
      <c r="C79" t="s">
        <v>4</v>
      </c>
      <c r="D79">
        <v>0</v>
      </c>
      <c r="E79">
        <f t="shared" si="14"/>
        <v>9</v>
      </c>
      <c r="F79">
        <f t="shared" si="13"/>
        <v>0</v>
      </c>
      <c r="G79">
        <f>F79*[4]Rate!$B$5</f>
        <v>0</v>
      </c>
    </row>
    <row r="80" spans="1:7">
      <c r="A80" t="s">
        <v>81</v>
      </c>
      <c r="B80" t="s">
        <v>76</v>
      </c>
      <c r="C80" t="s">
        <v>6</v>
      </c>
      <c r="D80">
        <f>SUM(D76:D79)</f>
        <v>0.5</v>
      </c>
      <c r="E80">
        <f t="shared" si="14"/>
        <v>9</v>
      </c>
      <c r="F80">
        <f>SUM(F76:F79)</f>
        <v>4.5</v>
      </c>
      <c r="G80">
        <f>SUM(G76:G79)</f>
        <v>112.5</v>
      </c>
    </row>
    <row r="81" spans="1:7">
      <c r="A81" t="s">
        <v>81</v>
      </c>
    </row>
    <row r="82" spans="1:7">
      <c r="A82" t="s">
        <v>81</v>
      </c>
      <c r="B82" t="s">
        <v>77</v>
      </c>
      <c r="C82" t="s">
        <v>3</v>
      </c>
      <c r="D82">
        <v>1</v>
      </c>
      <c r="E82">
        <f t="shared" ref="E82:E86" si="15">$E$76</f>
        <v>9</v>
      </c>
      <c r="F82">
        <f>E82*D82</f>
        <v>9</v>
      </c>
      <c r="G82">
        <f>F82*[4]Rate!$B$2</f>
        <v>270</v>
      </c>
    </row>
    <row r="83" spans="1:7">
      <c r="A83" t="s">
        <v>81</v>
      </c>
      <c r="B83" t="s">
        <v>77</v>
      </c>
      <c r="C83" t="s">
        <v>7</v>
      </c>
      <c r="D83">
        <v>0</v>
      </c>
      <c r="E83">
        <f t="shared" si="15"/>
        <v>9</v>
      </c>
      <c r="F83">
        <f t="shared" ref="F83:F85" si="16">E83*D83</f>
        <v>0</v>
      </c>
      <c r="G83">
        <f>F83*[4]Rate!$B$3</f>
        <v>0</v>
      </c>
    </row>
    <row r="84" spans="1:7">
      <c r="A84" t="s">
        <v>81</v>
      </c>
      <c r="B84" t="s">
        <v>77</v>
      </c>
      <c r="C84" t="s">
        <v>5</v>
      </c>
      <c r="D84">
        <v>0</v>
      </c>
      <c r="E84">
        <f t="shared" si="15"/>
        <v>9</v>
      </c>
      <c r="F84">
        <f t="shared" si="16"/>
        <v>0</v>
      </c>
      <c r="G84">
        <f>F84*[4]Rate!$B$4</f>
        <v>0</v>
      </c>
    </row>
    <row r="85" spans="1:7">
      <c r="A85" t="s">
        <v>81</v>
      </c>
      <c r="B85" t="s">
        <v>77</v>
      </c>
      <c r="C85" t="s">
        <v>4</v>
      </c>
      <c r="D85">
        <v>0.5</v>
      </c>
      <c r="E85">
        <f t="shared" si="15"/>
        <v>9</v>
      </c>
      <c r="F85">
        <f t="shared" si="16"/>
        <v>4.5</v>
      </c>
      <c r="G85">
        <f>F85*[4]Rate!$B$5</f>
        <v>148.5</v>
      </c>
    </row>
    <row r="86" spans="1:7">
      <c r="A86" t="s">
        <v>81</v>
      </c>
      <c r="B86" t="s">
        <v>77</v>
      </c>
      <c r="C86" t="s">
        <v>6</v>
      </c>
      <c r="D86">
        <f>SUM(D82:D85)</f>
        <v>1.5</v>
      </c>
      <c r="E86">
        <f t="shared" si="15"/>
        <v>9</v>
      </c>
      <c r="F86">
        <f>SUM(F82:F85)</f>
        <v>13.5</v>
      </c>
      <c r="G86">
        <f>SUM(G82:G85)</f>
        <v>418.5</v>
      </c>
    </row>
    <row r="88" spans="1:7">
      <c r="A88" t="s">
        <v>82</v>
      </c>
      <c r="B88" t="s">
        <v>76</v>
      </c>
      <c r="C88" t="s">
        <v>3</v>
      </c>
      <c r="D88">
        <v>1</v>
      </c>
      <c r="E88">
        <f>'Efforts with Complexity'!C21</f>
        <v>7</v>
      </c>
      <c r="F88">
        <f>E88*D88</f>
        <v>7</v>
      </c>
      <c r="G88">
        <f>F88*[4]Rate!$B$2</f>
        <v>210</v>
      </c>
    </row>
    <row r="89" spans="1:7">
      <c r="A89" t="s">
        <v>82</v>
      </c>
      <c r="B89" t="s">
        <v>76</v>
      </c>
      <c r="C89" t="s">
        <v>7</v>
      </c>
      <c r="D89">
        <v>0</v>
      </c>
      <c r="E89">
        <f>$E$88</f>
        <v>7</v>
      </c>
      <c r="F89">
        <f t="shared" ref="F89:F91" si="17">E89*D89</f>
        <v>0</v>
      </c>
      <c r="G89">
        <f>F89*[4]Rate!$B$3</f>
        <v>0</v>
      </c>
    </row>
    <row r="90" spans="1:7">
      <c r="A90" t="s">
        <v>82</v>
      </c>
      <c r="B90" t="s">
        <v>76</v>
      </c>
      <c r="C90" t="s">
        <v>5</v>
      </c>
      <c r="D90">
        <v>6</v>
      </c>
      <c r="E90">
        <f t="shared" ref="E90:E92" si="18">$E$88</f>
        <v>7</v>
      </c>
      <c r="F90">
        <f t="shared" si="17"/>
        <v>42</v>
      </c>
      <c r="G90">
        <f>F90*[4]Rate!$B$4</f>
        <v>1050</v>
      </c>
    </row>
    <row r="91" spans="1:7">
      <c r="A91" t="s">
        <v>82</v>
      </c>
      <c r="B91" t="s">
        <v>76</v>
      </c>
      <c r="C91" t="s">
        <v>4</v>
      </c>
      <c r="D91">
        <v>0</v>
      </c>
      <c r="E91">
        <f t="shared" si="18"/>
        <v>7</v>
      </c>
      <c r="F91">
        <f t="shared" si="17"/>
        <v>0</v>
      </c>
      <c r="G91">
        <f>F91*[4]Rate!$B$5</f>
        <v>0</v>
      </c>
    </row>
    <row r="92" spans="1:7">
      <c r="A92" t="s">
        <v>82</v>
      </c>
      <c r="B92" t="s">
        <v>76</v>
      </c>
      <c r="C92" t="s">
        <v>6</v>
      </c>
      <c r="D92">
        <f>SUM(D88:D91)</f>
        <v>7</v>
      </c>
      <c r="E92">
        <f t="shared" si="18"/>
        <v>7</v>
      </c>
      <c r="F92">
        <f>SUM(F88:F91)</f>
        <v>49</v>
      </c>
      <c r="G92">
        <f>SUM(G88:G91)</f>
        <v>1260</v>
      </c>
    </row>
    <row r="93" spans="1:7">
      <c r="A93" t="s">
        <v>82</v>
      </c>
    </row>
    <row r="94" spans="1:7">
      <c r="A94" t="s">
        <v>82</v>
      </c>
      <c r="B94" t="s">
        <v>77</v>
      </c>
      <c r="C94" t="s">
        <v>3</v>
      </c>
      <c r="D94">
        <v>1</v>
      </c>
      <c r="E94">
        <f t="shared" ref="E94:E98" si="19">$E$88</f>
        <v>7</v>
      </c>
      <c r="F94">
        <f>E94*D94</f>
        <v>7</v>
      </c>
      <c r="G94">
        <f>F94*[4]Rate!$B$2</f>
        <v>210</v>
      </c>
    </row>
    <row r="95" spans="1:7">
      <c r="A95" t="s">
        <v>82</v>
      </c>
      <c r="B95" t="s">
        <v>77</v>
      </c>
      <c r="C95" t="s">
        <v>7</v>
      </c>
      <c r="D95">
        <v>0.5</v>
      </c>
      <c r="E95">
        <f t="shared" si="19"/>
        <v>7</v>
      </c>
      <c r="F95">
        <f t="shared" ref="F95:F97" si="20">E95*D95</f>
        <v>3.5</v>
      </c>
      <c r="G95">
        <f>F95*[4]Rate!$B$3</f>
        <v>140</v>
      </c>
    </row>
    <row r="96" spans="1:7">
      <c r="A96" t="s">
        <v>82</v>
      </c>
      <c r="B96" t="s">
        <v>77</v>
      </c>
      <c r="C96" t="s">
        <v>5</v>
      </c>
      <c r="D96">
        <v>0</v>
      </c>
      <c r="E96">
        <f t="shared" si="19"/>
        <v>7</v>
      </c>
      <c r="F96">
        <f t="shared" si="20"/>
        <v>0</v>
      </c>
      <c r="G96">
        <f>F96*[4]Rate!$B$4</f>
        <v>0</v>
      </c>
    </row>
    <row r="97" spans="1:7">
      <c r="A97" t="s">
        <v>82</v>
      </c>
      <c r="B97" t="s">
        <v>77</v>
      </c>
      <c r="C97" t="s">
        <v>4</v>
      </c>
      <c r="D97">
        <v>1.5</v>
      </c>
      <c r="E97">
        <f t="shared" si="19"/>
        <v>7</v>
      </c>
      <c r="F97">
        <f t="shared" si="20"/>
        <v>10.5</v>
      </c>
      <c r="G97">
        <f>F97*[4]Rate!$B$5</f>
        <v>346.5</v>
      </c>
    </row>
    <row r="98" spans="1:7">
      <c r="A98" t="s">
        <v>82</v>
      </c>
      <c r="B98" t="s">
        <v>77</v>
      </c>
      <c r="C98" t="s">
        <v>6</v>
      </c>
      <c r="D98">
        <f>SUM(D94:D97)</f>
        <v>3</v>
      </c>
      <c r="E98">
        <f t="shared" si="19"/>
        <v>7</v>
      </c>
      <c r="F98">
        <f>SUM(F94:F97)</f>
        <v>21</v>
      </c>
      <c r="G98">
        <f>SUM(G94:G97)</f>
        <v>696.5</v>
      </c>
    </row>
    <row r="100" spans="1:7">
      <c r="A100" t="s">
        <v>83</v>
      </c>
      <c r="B100" t="s">
        <v>76</v>
      </c>
      <c r="C100" t="s">
        <v>3</v>
      </c>
      <c r="D100">
        <v>0</v>
      </c>
      <c r="E100" s="76">
        <f>'Efforts with Complexity'!D21</f>
        <v>3</v>
      </c>
      <c r="F100">
        <f>E100*D100</f>
        <v>0</v>
      </c>
      <c r="G100">
        <f>F100*[4]Rate!$B$2</f>
        <v>0</v>
      </c>
    </row>
    <row r="101" spans="1:7">
      <c r="A101" t="s">
        <v>83</v>
      </c>
      <c r="B101" t="s">
        <v>76</v>
      </c>
      <c r="C101" t="s">
        <v>7</v>
      </c>
      <c r="D101">
        <v>0</v>
      </c>
      <c r="E101">
        <f>$E$100</f>
        <v>3</v>
      </c>
      <c r="F101">
        <f t="shared" ref="F101:F103" si="21">E101*D101</f>
        <v>0</v>
      </c>
      <c r="G101">
        <f>F101*[4]Rate!$B$3</f>
        <v>0</v>
      </c>
    </row>
    <row r="102" spans="1:7">
      <c r="A102" t="s">
        <v>83</v>
      </c>
      <c r="B102" t="s">
        <v>76</v>
      </c>
      <c r="C102" t="s">
        <v>5</v>
      </c>
      <c r="D102">
        <v>1</v>
      </c>
      <c r="E102">
        <f t="shared" ref="E102:E104" si="22">$E$100</f>
        <v>3</v>
      </c>
      <c r="F102">
        <f t="shared" si="21"/>
        <v>3</v>
      </c>
      <c r="G102">
        <f>F102*[4]Rate!$B$4</f>
        <v>75</v>
      </c>
    </row>
    <row r="103" spans="1:7">
      <c r="A103" t="s">
        <v>83</v>
      </c>
      <c r="B103" t="s">
        <v>76</v>
      </c>
      <c r="C103" t="s">
        <v>4</v>
      </c>
      <c r="D103">
        <v>0</v>
      </c>
      <c r="E103">
        <f t="shared" si="22"/>
        <v>3</v>
      </c>
      <c r="F103">
        <f t="shared" si="21"/>
        <v>0</v>
      </c>
      <c r="G103">
        <f>F103*[4]Rate!$B$5</f>
        <v>0</v>
      </c>
    </row>
    <row r="104" spans="1:7">
      <c r="A104" t="s">
        <v>83</v>
      </c>
      <c r="B104" t="s">
        <v>76</v>
      </c>
      <c r="C104" t="s">
        <v>6</v>
      </c>
      <c r="D104">
        <f>SUM(D100:D103)</f>
        <v>1</v>
      </c>
      <c r="E104">
        <f t="shared" si="22"/>
        <v>3</v>
      </c>
      <c r="F104">
        <f>SUM(F100:F103)</f>
        <v>3</v>
      </c>
      <c r="G104">
        <f>SUM(G100:G103)</f>
        <v>75</v>
      </c>
    </row>
    <row r="105" spans="1:7">
      <c r="A105" t="s">
        <v>83</v>
      </c>
    </row>
    <row r="106" spans="1:7">
      <c r="A106" t="s">
        <v>83</v>
      </c>
      <c r="B106" t="s">
        <v>77</v>
      </c>
      <c r="C106" t="s">
        <v>3</v>
      </c>
      <c r="D106">
        <v>0.5</v>
      </c>
      <c r="E106">
        <f t="shared" ref="E106:E110" si="23">$E$100</f>
        <v>3</v>
      </c>
      <c r="F106">
        <f>E106*D106</f>
        <v>1.5</v>
      </c>
      <c r="G106">
        <f>F106*[4]Rate!$B$2</f>
        <v>45</v>
      </c>
    </row>
    <row r="107" spans="1:7">
      <c r="A107" t="s">
        <v>83</v>
      </c>
      <c r="B107" t="s">
        <v>77</v>
      </c>
      <c r="C107" t="s">
        <v>7</v>
      </c>
      <c r="D107">
        <v>0</v>
      </c>
      <c r="E107">
        <f t="shared" si="23"/>
        <v>3</v>
      </c>
      <c r="F107">
        <f t="shared" ref="F107:F109" si="24">E107*D107</f>
        <v>0</v>
      </c>
      <c r="G107">
        <f>F107*[4]Rate!$B$3</f>
        <v>0</v>
      </c>
    </row>
    <row r="108" spans="1:7">
      <c r="A108" t="s">
        <v>83</v>
      </c>
      <c r="B108" t="s">
        <v>77</v>
      </c>
      <c r="C108" t="s">
        <v>5</v>
      </c>
      <c r="D108">
        <v>0</v>
      </c>
      <c r="E108">
        <f t="shared" si="23"/>
        <v>3</v>
      </c>
      <c r="F108">
        <f t="shared" si="24"/>
        <v>0</v>
      </c>
      <c r="G108">
        <f>F108*[4]Rate!$B$4</f>
        <v>0</v>
      </c>
    </row>
    <row r="109" spans="1:7">
      <c r="A109" t="s">
        <v>83</v>
      </c>
      <c r="B109" t="s">
        <v>77</v>
      </c>
      <c r="C109" t="s">
        <v>4</v>
      </c>
      <c r="D109">
        <v>0.5</v>
      </c>
      <c r="E109">
        <f t="shared" si="23"/>
        <v>3</v>
      </c>
      <c r="F109">
        <f t="shared" si="24"/>
        <v>1.5</v>
      </c>
      <c r="G109">
        <f>F109*[4]Rate!$B$5</f>
        <v>49.5</v>
      </c>
    </row>
    <row r="110" spans="1:7">
      <c r="A110" t="s">
        <v>83</v>
      </c>
      <c r="B110" t="s">
        <v>77</v>
      </c>
      <c r="C110" t="s">
        <v>6</v>
      </c>
      <c r="D110">
        <f>SUM(D106:D109)</f>
        <v>1</v>
      </c>
      <c r="E110">
        <f t="shared" si="23"/>
        <v>3</v>
      </c>
      <c r="F110">
        <f>SUM(F106:F109)</f>
        <v>3</v>
      </c>
      <c r="G110">
        <f>SUM(G106:G109)</f>
        <v>94.5</v>
      </c>
    </row>
    <row r="112" spans="1:7">
      <c r="A112" t="s">
        <v>105</v>
      </c>
      <c r="B112" t="s">
        <v>76</v>
      </c>
      <c r="C112" t="s">
        <v>3</v>
      </c>
      <c r="D112">
        <v>0.5</v>
      </c>
      <c r="E112" s="76">
        <f>'Efforts with Complexity'!$E$19</f>
        <v>6</v>
      </c>
      <c r="F112">
        <f>E112*D112</f>
        <v>3</v>
      </c>
      <c r="G112">
        <f>F112*[4]Rate!$B$2</f>
        <v>90</v>
      </c>
    </row>
    <row r="113" spans="1:9">
      <c r="A113" t="s">
        <v>105</v>
      </c>
      <c r="B113" t="s">
        <v>76</v>
      </c>
      <c r="C113" t="s">
        <v>7</v>
      </c>
      <c r="D113">
        <v>0</v>
      </c>
      <c r="E113" s="76">
        <f>'Efforts with Complexity'!$E$19</f>
        <v>6</v>
      </c>
      <c r="F113">
        <f>E113*D113</f>
        <v>0</v>
      </c>
      <c r="G113">
        <f>F113*[4]Rate!$B$3</f>
        <v>0</v>
      </c>
    </row>
    <row r="114" spans="1:9">
      <c r="A114" t="s">
        <v>105</v>
      </c>
      <c r="B114" t="s">
        <v>76</v>
      </c>
      <c r="C114" t="s">
        <v>5</v>
      </c>
      <c r="D114">
        <v>4</v>
      </c>
      <c r="E114" s="76">
        <f>'Efforts with Complexity'!$E$19</f>
        <v>6</v>
      </c>
      <c r="F114">
        <f>E114*D114</f>
        <v>24</v>
      </c>
      <c r="G114">
        <f>F114*[4]Rate!$B$4</f>
        <v>600</v>
      </c>
    </row>
    <row r="115" spans="1:9">
      <c r="A115" t="s">
        <v>105</v>
      </c>
      <c r="B115" t="s">
        <v>76</v>
      </c>
      <c r="C115" t="s">
        <v>4</v>
      </c>
      <c r="D115">
        <v>0</v>
      </c>
      <c r="E115" s="76">
        <f>'Efforts with Complexity'!$E$19</f>
        <v>6</v>
      </c>
      <c r="F115">
        <f>E115*D115</f>
        <v>0</v>
      </c>
      <c r="G115">
        <f>F115*[4]Rate!$B$5</f>
        <v>0</v>
      </c>
    </row>
    <row r="116" spans="1:9">
      <c r="A116" t="s">
        <v>105</v>
      </c>
      <c r="B116" t="s">
        <v>76</v>
      </c>
      <c r="C116" t="s">
        <v>6</v>
      </c>
      <c r="D116">
        <f>SUM(D112:D115)</f>
        <v>4.5</v>
      </c>
      <c r="E116" s="76">
        <f>'Efforts with Complexity'!$E$19</f>
        <v>6</v>
      </c>
      <c r="F116">
        <f>SUM(F112:F115)</f>
        <v>27</v>
      </c>
      <c r="G116">
        <f>SUM(G112:G115)</f>
        <v>690</v>
      </c>
    </row>
    <row r="117" spans="1:9">
      <c r="A117" t="s">
        <v>105</v>
      </c>
    </row>
    <row r="118" spans="1:9">
      <c r="A118" t="s">
        <v>105</v>
      </c>
      <c r="B118" t="s">
        <v>77</v>
      </c>
      <c r="C118" t="s">
        <v>3</v>
      </c>
      <c r="D118">
        <v>0.5</v>
      </c>
      <c r="E118" s="76">
        <f>'Efforts with Complexity'!$E$19</f>
        <v>6</v>
      </c>
      <c r="F118">
        <f>E118*D118</f>
        <v>3</v>
      </c>
      <c r="G118">
        <f>F118*[4]Rate!$B$2</f>
        <v>90</v>
      </c>
    </row>
    <row r="119" spans="1:9">
      <c r="A119" t="s">
        <v>105</v>
      </c>
      <c r="B119" t="s">
        <v>77</v>
      </c>
      <c r="C119" t="s">
        <v>7</v>
      </c>
      <c r="D119">
        <v>0.5</v>
      </c>
      <c r="E119" s="76">
        <f>'Efforts with Complexity'!$E$19</f>
        <v>6</v>
      </c>
      <c r="F119">
        <f>E119*D119</f>
        <v>3</v>
      </c>
      <c r="G119">
        <f>F119*[4]Rate!$B$3</f>
        <v>120</v>
      </c>
    </row>
    <row r="120" spans="1:9">
      <c r="A120" t="s">
        <v>105</v>
      </c>
      <c r="B120" t="s">
        <v>77</v>
      </c>
      <c r="C120" t="s">
        <v>5</v>
      </c>
      <c r="D120">
        <v>0</v>
      </c>
      <c r="E120" s="76">
        <f>'Efforts with Complexity'!$E$19</f>
        <v>6</v>
      </c>
      <c r="F120">
        <f>E120*D120</f>
        <v>0</v>
      </c>
      <c r="G120">
        <f>F120*[4]Rate!$B$4</f>
        <v>0</v>
      </c>
    </row>
    <row r="121" spans="1:9">
      <c r="A121" t="s">
        <v>105</v>
      </c>
      <c r="B121" t="s">
        <v>77</v>
      </c>
      <c r="C121" t="s">
        <v>4</v>
      </c>
      <c r="D121">
        <v>1.5</v>
      </c>
      <c r="E121" s="76">
        <f>'Efforts with Complexity'!$E$19</f>
        <v>6</v>
      </c>
      <c r="F121">
        <f>E121*D121</f>
        <v>9</v>
      </c>
      <c r="G121">
        <f>F121*[4]Rate!$B$5</f>
        <v>297</v>
      </c>
    </row>
    <row r="122" spans="1:9">
      <c r="A122" t="s">
        <v>105</v>
      </c>
      <c r="B122" t="s">
        <v>77</v>
      </c>
      <c r="C122" t="s">
        <v>6</v>
      </c>
      <c r="D122">
        <f>SUM(D118:D121)</f>
        <v>2.5</v>
      </c>
      <c r="E122" s="76">
        <f>'Efforts with Complexity'!$E$19</f>
        <v>6</v>
      </c>
      <c r="F122">
        <f>SUM(F118:F121)</f>
        <v>15</v>
      </c>
      <c r="G122">
        <f>SUM(G118:G121)</f>
        <v>507</v>
      </c>
    </row>
    <row r="124" spans="1:9">
      <c r="A124" t="s">
        <v>106</v>
      </c>
      <c r="B124" t="s">
        <v>76</v>
      </c>
      <c r="C124" t="s">
        <v>3</v>
      </c>
      <c r="D124">
        <v>1</v>
      </c>
      <c r="E124">
        <f>'Efforts with Complexity'!$E$20</f>
        <v>3</v>
      </c>
      <c r="F124">
        <f>E124*D124</f>
        <v>3</v>
      </c>
      <c r="G124">
        <f>F124*[4]Rate!$B$2</f>
        <v>90</v>
      </c>
      <c r="I124" t="s">
        <v>109</v>
      </c>
    </row>
    <row r="125" spans="1:9">
      <c r="A125" t="s">
        <v>106</v>
      </c>
      <c r="B125" t="s">
        <v>76</v>
      </c>
      <c r="C125" t="s">
        <v>7</v>
      </c>
      <c r="D125">
        <v>0</v>
      </c>
      <c r="E125">
        <f>'Efforts with Complexity'!$E$20</f>
        <v>3</v>
      </c>
      <c r="F125">
        <f t="shared" ref="F125:F127" si="25">E125*D125</f>
        <v>0</v>
      </c>
      <c r="G125">
        <f>F125*[4]Rate!$B$3</f>
        <v>0</v>
      </c>
    </row>
    <row r="126" spans="1:9">
      <c r="A126" t="s">
        <v>106</v>
      </c>
      <c r="B126" t="s">
        <v>76</v>
      </c>
      <c r="C126" t="s">
        <v>5</v>
      </c>
      <c r="D126">
        <v>0.5</v>
      </c>
      <c r="E126">
        <f>'Efforts with Complexity'!$E$20</f>
        <v>3</v>
      </c>
      <c r="F126">
        <f t="shared" si="25"/>
        <v>1.5</v>
      </c>
      <c r="G126">
        <f>F126*[4]Rate!$B$4</f>
        <v>37.5</v>
      </c>
    </row>
    <row r="127" spans="1:9">
      <c r="A127" t="s">
        <v>106</v>
      </c>
      <c r="B127" t="s">
        <v>76</v>
      </c>
      <c r="C127" t="s">
        <v>4</v>
      </c>
      <c r="D127">
        <v>0</v>
      </c>
      <c r="E127">
        <f>'Efforts with Complexity'!$E$20</f>
        <v>3</v>
      </c>
      <c r="F127">
        <f t="shared" si="25"/>
        <v>0</v>
      </c>
      <c r="G127">
        <f>F127*[4]Rate!$B$5</f>
        <v>0</v>
      </c>
    </row>
    <row r="128" spans="1:9">
      <c r="A128" t="s">
        <v>106</v>
      </c>
      <c r="B128" t="s">
        <v>76</v>
      </c>
      <c r="C128" t="s">
        <v>6</v>
      </c>
      <c r="D128">
        <f>SUM(D124:D127)</f>
        <v>1.5</v>
      </c>
      <c r="E128">
        <f>'Efforts with Complexity'!$E$20</f>
        <v>3</v>
      </c>
      <c r="F128">
        <f>SUM(F124:F127)</f>
        <v>4.5</v>
      </c>
      <c r="G128">
        <f>SUM(G124:G127)</f>
        <v>127.5</v>
      </c>
    </row>
    <row r="129" spans="1:9">
      <c r="A129" t="s">
        <v>106</v>
      </c>
    </row>
    <row r="130" spans="1:9">
      <c r="A130" t="s">
        <v>106</v>
      </c>
      <c r="B130" t="s">
        <v>77</v>
      </c>
      <c r="C130" t="s">
        <v>3</v>
      </c>
      <c r="D130">
        <v>1</v>
      </c>
      <c r="E130">
        <f>'Efforts with Complexity'!$E$20</f>
        <v>3</v>
      </c>
      <c r="F130">
        <f>E130*D130</f>
        <v>3</v>
      </c>
      <c r="G130">
        <f>F130*[4]Rate!$B$2</f>
        <v>90</v>
      </c>
      <c r="I130" t="s">
        <v>109</v>
      </c>
    </row>
    <row r="131" spans="1:9">
      <c r="A131" t="s">
        <v>106</v>
      </c>
      <c r="B131" t="s">
        <v>77</v>
      </c>
      <c r="C131" t="s">
        <v>7</v>
      </c>
      <c r="D131">
        <v>1</v>
      </c>
      <c r="E131">
        <f>'Efforts with Complexity'!$E$20</f>
        <v>3</v>
      </c>
      <c r="F131">
        <f t="shared" ref="F131:F133" si="26">E131*D131</f>
        <v>3</v>
      </c>
      <c r="G131">
        <f>F131*[4]Rate!$B$3</f>
        <v>120</v>
      </c>
      <c r="I131" t="s">
        <v>109</v>
      </c>
    </row>
    <row r="132" spans="1:9">
      <c r="A132" t="s">
        <v>106</v>
      </c>
      <c r="B132" t="s">
        <v>77</v>
      </c>
      <c r="C132" t="s">
        <v>5</v>
      </c>
      <c r="D132">
        <v>0</v>
      </c>
      <c r="E132">
        <f>'Efforts with Complexity'!$E$20</f>
        <v>3</v>
      </c>
      <c r="F132">
        <f t="shared" si="26"/>
        <v>0</v>
      </c>
      <c r="G132">
        <f>F132*[4]Rate!$B$4</f>
        <v>0</v>
      </c>
    </row>
    <row r="133" spans="1:9">
      <c r="A133" t="s">
        <v>106</v>
      </c>
      <c r="B133" t="s">
        <v>77</v>
      </c>
      <c r="C133" t="s">
        <v>4</v>
      </c>
      <c r="D133">
        <v>0.5</v>
      </c>
      <c r="E133">
        <f>'Efforts with Complexity'!$E$20</f>
        <v>3</v>
      </c>
      <c r="F133">
        <f t="shared" si="26"/>
        <v>1.5</v>
      </c>
      <c r="G133">
        <f>F133*[4]Rate!$B$5</f>
        <v>49.5</v>
      </c>
    </row>
    <row r="134" spans="1:9">
      <c r="A134" t="s">
        <v>106</v>
      </c>
      <c r="B134" t="s">
        <v>77</v>
      </c>
      <c r="C134" t="s">
        <v>6</v>
      </c>
      <c r="D134">
        <f>SUM(D130:D133)</f>
        <v>2.5</v>
      </c>
      <c r="E134">
        <f>'Efforts with Complexity'!$E$20</f>
        <v>3</v>
      </c>
      <c r="F134">
        <f>SUM(F130:F133)</f>
        <v>7.5</v>
      </c>
      <c r="G134">
        <f>SUM(G130:G133)</f>
        <v>259.5</v>
      </c>
    </row>
    <row r="136" spans="1:9">
      <c r="A136" t="s">
        <v>107</v>
      </c>
      <c r="B136" t="s">
        <v>76</v>
      </c>
      <c r="C136" t="s">
        <v>3</v>
      </c>
      <c r="D136">
        <v>1</v>
      </c>
      <c r="E136" s="76">
        <f>'Efforts with Complexity'!$E$21</f>
        <v>1</v>
      </c>
      <c r="F136">
        <f>E136*D136</f>
        <v>1</v>
      </c>
      <c r="G136">
        <f>F136*[4]Rate!$B$2</f>
        <v>30</v>
      </c>
    </row>
    <row r="137" spans="1:9">
      <c r="A137" t="s">
        <v>107</v>
      </c>
      <c r="B137" t="s">
        <v>76</v>
      </c>
      <c r="C137" t="s">
        <v>7</v>
      </c>
      <c r="D137">
        <v>0</v>
      </c>
      <c r="E137" s="76">
        <f>'Efforts with Complexity'!$E$21</f>
        <v>1</v>
      </c>
      <c r="F137">
        <f t="shared" ref="F137:F139" si="27">E137*D137</f>
        <v>0</v>
      </c>
      <c r="G137">
        <f>F137*[4]Rate!$B$3</f>
        <v>0</v>
      </c>
    </row>
    <row r="138" spans="1:9">
      <c r="A138" t="s">
        <v>107</v>
      </c>
      <c r="B138" t="s">
        <v>76</v>
      </c>
      <c r="C138" t="s">
        <v>5</v>
      </c>
      <c r="D138">
        <v>6</v>
      </c>
      <c r="E138" s="76">
        <f>'Efforts with Complexity'!$E$21</f>
        <v>1</v>
      </c>
      <c r="F138">
        <f t="shared" si="27"/>
        <v>6</v>
      </c>
      <c r="G138">
        <f>F138*[4]Rate!$B$4</f>
        <v>150</v>
      </c>
    </row>
    <row r="139" spans="1:9">
      <c r="A139" t="s">
        <v>107</v>
      </c>
      <c r="B139" t="s">
        <v>76</v>
      </c>
      <c r="C139" t="s">
        <v>4</v>
      </c>
      <c r="D139">
        <v>0</v>
      </c>
      <c r="E139" s="76">
        <f>'Efforts with Complexity'!$E$21</f>
        <v>1</v>
      </c>
      <c r="F139">
        <f t="shared" si="27"/>
        <v>0</v>
      </c>
      <c r="G139">
        <f>F139*[4]Rate!$B$5</f>
        <v>0</v>
      </c>
    </row>
    <row r="140" spans="1:9">
      <c r="A140" t="s">
        <v>107</v>
      </c>
      <c r="B140" t="s">
        <v>76</v>
      </c>
      <c r="C140" t="s">
        <v>6</v>
      </c>
      <c r="D140">
        <f>SUM(D136:D139)</f>
        <v>7</v>
      </c>
      <c r="E140" s="76">
        <f>'Efforts with Complexity'!$E$21</f>
        <v>1</v>
      </c>
      <c r="F140">
        <f>SUM(F136:F139)</f>
        <v>7</v>
      </c>
      <c r="G140">
        <f>SUM(G136:G139)</f>
        <v>180</v>
      </c>
    </row>
    <row r="141" spans="1:9">
      <c r="A141" t="s">
        <v>107</v>
      </c>
    </row>
    <row r="142" spans="1:9">
      <c r="A142" t="s">
        <v>107</v>
      </c>
      <c r="B142" t="s">
        <v>77</v>
      </c>
      <c r="C142" t="s">
        <v>3</v>
      </c>
      <c r="D142">
        <v>1</v>
      </c>
      <c r="E142" s="76">
        <f>'Efforts with Complexity'!$E$21</f>
        <v>1</v>
      </c>
      <c r="F142">
        <f>E142*D142</f>
        <v>1</v>
      </c>
      <c r="G142">
        <f>F142*[4]Rate!$B$2</f>
        <v>30</v>
      </c>
    </row>
    <row r="143" spans="1:9">
      <c r="A143" t="s">
        <v>107</v>
      </c>
      <c r="B143" t="s">
        <v>77</v>
      </c>
      <c r="C143" t="s">
        <v>7</v>
      </c>
      <c r="D143">
        <v>0.5</v>
      </c>
      <c r="E143" s="76">
        <f>'Efforts with Complexity'!$E$21</f>
        <v>1</v>
      </c>
      <c r="F143">
        <f t="shared" ref="F143:F145" si="28">E143*D143</f>
        <v>0.5</v>
      </c>
      <c r="G143">
        <f>F143*[4]Rate!$B$3</f>
        <v>20</v>
      </c>
    </row>
    <row r="144" spans="1:9">
      <c r="A144" t="s">
        <v>107</v>
      </c>
      <c r="B144" t="s">
        <v>77</v>
      </c>
      <c r="C144" t="s">
        <v>5</v>
      </c>
      <c r="D144">
        <v>0</v>
      </c>
      <c r="E144" s="76">
        <f>'Efforts with Complexity'!$E$21</f>
        <v>1</v>
      </c>
      <c r="F144">
        <f t="shared" si="28"/>
        <v>0</v>
      </c>
      <c r="G144">
        <f>F144*[4]Rate!$B$4</f>
        <v>0</v>
      </c>
    </row>
    <row r="145" spans="1:7">
      <c r="A145" t="s">
        <v>107</v>
      </c>
      <c r="B145" t="s">
        <v>77</v>
      </c>
      <c r="C145" t="s">
        <v>4</v>
      </c>
      <c r="D145">
        <v>1.5</v>
      </c>
      <c r="E145" s="76">
        <f>'Efforts with Complexity'!$E$21</f>
        <v>1</v>
      </c>
      <c r="F145">
        <f t="shared" si="28"/>
        <v>1.5</v>
      </c>
      <c r="G145">
        <f>F145*[4]Rate!$B$5</f>
        <v>49.5</v>
      </c>
    </row>
    <row r="146" spans="1:7">
      <c r="A146" t="s">
        <v>107</v>
      </c>
      <c r="B146" t="s">
        <v>77</v>
      </c>
      <c r="C146" t="s">
        <v>6</v>
      </c>
      <c r="D146">
        <f>SUM(D142:D145)</f>
        <v>3</v>
      </c>
      <c r="E146" s="76">
        <f>'Efforts with Complexity'!$E$21</f>
        <v>1</v>
      </c>
      <c r="F146">
        <f>SUM(F142:F145)</f>
        <v>3</v>
      </c>
      <c r="G146">
        <f>SUM(G142:G145)</f>
        <v>99.5</v>
      </c>
    </row>
    <row r="148" spans="1:7">
      <c r="A148" t="s">
        <v>84</v>
      </c>
      <c r="B148" t="s">
        <v>76</v>
      </c>
      <c r="C148" t="s">
        <v>3</v>
      </c>
      <c r="F148">
        <f t="shared" ref="F148:G152" si="29">F28+F40+F52+F64+F76+F88+F100</f>
        <v>52</v>
      </c>
      <c r="G148">
        <f t="shared" si="29"/>
        <v>1560</v>
      </c>
    </row>
    <row r="149" spans="1:7">
      <c r="A149" t="s">
        <v>84</v>
      </c>
      <c r="B149" t="s">
        <v>76</v>
      </c>
      <c r="C149" t="s">
        <v>7</v>
      </c>
      <c r="F149">
        <f t="shared" si="29"/>
        <v>0</v>
      </c>
      <c r="G149">
        <f t="shared" si="29"/>
        <v>0</v>
      </c>
    </row>
    <row r="150" spans="1:7">
      <c r="A150" t="s">
        <v>84</v>
      </c>
      <c r="B150" t="s">
        <v>76</v>
      </c>
      <c r="C150" t="s">
        <v>5</v>
      </c>
      <c r="F150">
        <f t="shared" si="29"/>
        <v>415.5</v>
      </c>
      <c r="G150">
        <f t="shared" si="29"/>
        <v>10387.5</v>
      </c>
    </row>
    <row r="151" spans="1:7">
      <c r="A151" t="s">
        <v>84</v>
      </c>
      <c r="B151" t="s">
        <v>76</v>
      </c>
      <c r="C151" t="s">
        <v>4</v>
      </c>
      <c r="F151">
        <f t="shared" si="29"/>
        <v>0</v>
      </c>
      <c r="G151">
        <f t="shared" si="29"/>
        <v>0</v>
      </c>
    </row>
    <row r="152" spans="1:7">
      <c r="A152" t="s">
        <v>84</v>
      </c>
      <c r="B152" t="s">
        <v>76</v>
      </c>
      <c r="C152" t="s">
        <v>6</v>
      </c>
      <c r="F152">
        <f t="shared" si="29"/>
        <v>467.5</v>
      </c>
      <c r="G152">
        <f t="shared" si="29"/>
        <v>11947.5</v>
      </c>
    </row>
    <row r="153" spans="1:7">
      <c r="A153" t="s">
        <v>84</v>
      </c>
      <c r="C153" t="s">
        <v>85</v>
      </c>
      <c r="F153">
        <f>SUM(F148:F151)</f>
        <v>467.5</v>
      </c>
      <c r="G153">
        <f>SUM(G148:G151)</f>
        <v>11947.5</v>
      </c>
    </row>
    <row r="154" spans="1:7">
      <c r="A154" t="s">
        <v>84</v>
      </c>
      <c r="B154" t="s">
        <v>77</v>
      </c>
      <c r="C154" t="s">
        <v>3</v>
      </c>
      <c r="F154">
        <f t="shared" ref="F154:G158" si="30">F34+F46+F58+F70+F82+F94+F106</f>
        <v>73</v>
      </c>
      <c r="G154">
        <f t="shared" si="30"/>
        <v>2190</v>
      </c>
    </row>
    <row r="155" spans="1:7">
      <c r="A155" t="s">
        <v>84</v>
      </c>
      <c r="B155" t="s">
        <v>77</v>
      </c>
      <c r="C155" t="s">
        <v>7</v>
      </c>
      <c r="F155">
        <f t="shared" si="30"/>
        <v>39.5</v>
      </c>
      <c r="G155">
        <f t="shared" si="30"/>
        <v>1580</v>
      </c>
    </row>
    <row r="156" spans="1:7">
      <c r="A156" t="s">
        <v>84</v>
      </c>
      <c r="B156" t="s">
        <v>77</v>
      </c>
      <c r="C156" t="s">
        <v>5</v>
      </c>
      <c r="F156">
        <f t="shared" si="30"/>
        <v>0</v>
      </c>
      <c r="G156">
        <f t="shared" si="30"/>
        <v>0</v>
      </c>
    </row>
    <row r="157" spans="1:7">
      <c r="A157" t="s">
        <v>84</v>
      </c>
      <c r="B157" t="s">
        <v>77</v>
      </c>
      <c r="C157" t="s">
        <v>4</v>
      </c>
      <c r="F157">
        <f t="shared" si="30"/>
        <v>288</v>
      </c>
      <c r="G157">
        <f t="shared" si="30"/>
        <v>9504</v>
      </c>
    </row>
    <row r="158" spans="1:7">
      <c r="A158" t="s">
        <v>84</v>
      </c>
      <c r="B158" t="s">
        <v>77</v>
      </c>
      <c r="C158" t="s">
        <v>6</v>
      </c>
      <c r="F158">
        <f t="shared" si="30"/>
        <v>400.5</v>
      </c>
      <c r="G158">
        <f t="shared" si="30"/>
        <v>13274</v>
      </c>
    </row>
    <row r="159" spans="1:7">
      <c r="A159" t="s">
        <v>84</v>
      </c>
      <c r="C159" t="s">
        <v>85</v>
      </c>
      <c r="F159">
        <f>SUM(F154:F157)</f>
        <v>400.5</v>
      </c>
      <c r="G159">
        <f>SUM(G154:G157)</f>
        <v>13274</v>
      </c>
    </row>
    <row r="161" spans="1:10">
      <c r="A161" t="s">
        <v>86</v>
      </c>
      <c r="B161" t="s">
        <v>10</v>
      </c>
      <c r="C161" t="s">
        <v>3</v>
      </c>
      <c r="F161">
        <f t="shared" ref="F161:G165" si="31">F28+F34+F40+F46+F52+F58+F64+F70+F76+F82+F88+F94+F100+F106</f>
        <v>125</v>
      </c>
      <c r="G161">
        <f t="shared" si="31"/>
        <v>3750</v>
      </c>
      <c r="H161">
        <f>F161*1.5</f>
        <v>187.5</v>
      </c>
      <c r="J161">
        <f>F161*0.5</f>
        <v>62.5</v>
      </c>
    </row>
    <row r="162" spans="1:10">
      <c r="A162" t="s">
        <v>86</v>
      </c>
      <c r="B162" t="s">
        <v>10</v>
      </c>
      <c r="C162" t="s">
        <v>7</v>
      </c>
      <c r="F162">
        <f t="shared" si="31"/>
        <v>39.5</v>
      </c>
      <c r="G162">
        <f t="shared" si="31"/>
        <v>1580</v>
      </c>
      <c r="H162">
        <f t="shared" ref="H162:H166" si="32">F162*1.5</f>
        <v>59.25</v>
      </c>
      <c r="J162">
        <f t="shared" ref="J162:J166" si="33">F162*0.5</f>
        <v>19.75</v>
      </c>
    </row>
    <row r="163" spans="1:10">
      <c r="A163" t="s">
        <v>86</v>
      </c>
      <c r="B163" t="s">
        <v>10</v>
      </c>
      <c r="C163" t="s">
        <v>5</v>
      </c>
      <c r="F163">
        <f t="shared" si="31"/>
        <v>415.5</v>
      </c>
      <c r="G163">
        <f t="shared" si="31"/>
        <v>10387.5</v>
      </c>
      <c r="H163">
        <f t="shared" si="32"/>
        <v>623.25</v>
      </c>
      <c r="J163">
        <f t="shared" si="33"/>
        <v>207.75</v>
      </c>
    </row>
    <row r="164" spans="1:10">
      <c r="A164" t="s">
        <v>86</v>
      </c>
      <c r="B164" t="s">
        <v>10</v>
      </c>
      <c r="C164" t="s">
        <v>4</v>
      </c>
      <c r="F164">
        <f t="shared" si="31"/>
        <v>288</v>
      </c>
      <c r="G164">
        <f t="shared" si="31"/>
        <v>9504</v>
      </c>
      <c r="H164">
        <f t="shared" si="32"/>
        <v>432</v>
      </c>
      <c r="J164">
        <f t="shared" si="33"/>
        <v>144</v>
      </c>
    </row>
    <row r="165" spans="1:10">
      <c r="A165" t="s">
        <v>86</v>
      </c>
      <c r="B165" t="s">
        <v>10</v>
      </c>
      <c r="C165" t="s">
        <v>6</v>
      </c>
      <c r="F165">
        <f t="shared" si="31"/>
        <v>868</v>
      </c>
      <c r="G165">
        <f t="shared" si="31"/>
        <v>25221.5</v>
      </c>
      <c r="H165">
        <f t="shared" si="32"/>
        <v>1302</v>
      </c>
      <c r="J165">
        <f t="shared" si="33"/>
        <v>434</v>
      </c>
    </row>
    <row r="166" spans="1:10">
      <c r="A166" t="s">
        <v>86</v>
      </c>
      <c r="B166" t="s">
        <v>10</v>
      </c>
      <c r="C166" t="s">
        <v>85</v>
      </c>
      <c r="F166">
        <f>SUM(F161:F164)</f>
        <v>868</v>
      </c>
      <c r="G166">
        <f>SUM(G161:G164)</f>
        <v>25221.5</v>
      </c>
      <c r="H166">
        <f t="shared" si="32"/>
        <v>1302</v>
      </c>
      <c r="J166">
        <f t="shared" si="33"/>
        <v>434</v>
      </c>
    </row>
    <row r="168" spans="1:10">
      <c r="F168" t="s">
        <v>95</v>
      </c>
      <c r="H168" t="s">
        <v>75</v>
      </c>
    </row>
    <row r="169" spans="1:10">
      <c r="C169" t="s">
        <v>3</v>
      </c>
      <c r="F169">
        <f>F40+F46+F52+F58+F64+F70+F76+F82+F88+F94+F100+F106</f>
        <v>95</v>
      </c>
      <c r="H169">
        <f>F161-F169</f>
        <v>30</v>
      </c>
    </row>
    <row r="170" spans="1:10">
      <c r="C170" t="s">
        <v>7</v>
      </c>
      <c r="F170">
        <f>F41+F47+F53+F59+F65+F71+F77+F83+F89+F95+F101+F107</f>
        <v>24.5</v>
      </c>
      <c r="H170">
        <f>F162-F170</f>
        <v>15</v>
      </c>
    </row>
    <row r="171" spans="1:10">
      <c r="C171" t="s">
        <v>5</v>
      </c>
      <c r="F171">
        <f>F42+F48+F54+F60+F66+F72+F78+F84+F90+F96+F102+F108</f>
        <v>295.5</v>
      </c>
      <c r="H171">
        <f t="shared" ref="H171:H172" si="34">F163-F171</f>
        <v>120</v>
      </c>
    </row>
    <row r="172" spans="1:10">
      <c r="C172" t="s">
        <v>4</v>
      </c>
      <c r="F172">
        <f>F43+F49+F55+F61+F67+F73+F79+F85+F91+F97+F103+F109</f>
        <v>108</v>
      </c>
      <c r="H172">
        <f t="shared" si="34"/>
        <v>180</v>
      </c>
    </row>
    <row r="173" spans="1:10">
      <c r="C173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73"/>
  <sheetViews>
    <sheetView workbookViewId="0">
      <selection activeCell="H1" sqref="H1"/>
    </sheetView>
  </sheetViews>
  <sheetFormatPr defaultRowHeight="15"/>
  <cols>
    <col min="1" max="1" width="20.7109375" customWidth="1"/>
    <col min="2" max="2" width="11.42578125" bestFit="1" customWidth="1"/>
    <col min="3" max="3" width="16.85546875" customWidth="1"/>
    <col min="4" max="4" width="11.5703125" bestFit="1" customWidth="1"/>
    <col min="5" max="5" width="11.42578125" bestFit="1" customWidth="1"/>
  </cols>
  <sheetData>
    <row r="1" spans="1:8">
      <c r="E1" t="s">
        <v>116</v>
      </c>
      <c r="H1">
        <f>SUM('Efforts with Complexity'!H17:H21)/SUM('Efforts with Complexity'!B17:B21)</f>
        <v>1.5185185185185186</v>
      </c>
    </row>
    <row r="3" spans="1:8">
      <c r="A3" s="86" t="s">
        <v>0</v>
      </c>
      <c r="B3" s="86" t="s">
        <v>2</v>
      </c>
      <c r="C3" s="86" t="s">
        <v>1</v>
      </c>
      <c r="D3" s="86" t="s">
        <v>72</v>
      </c>
      <c r="E3" s="86" t="s">
        <v>73</v>
      </c>
      <c r="F3" s="86" t="s">
        <v>74</v>
      </c>
      <c r="G3" s="86" t="s">
        <v>9</v>
      </c>
    </row>
    <row r="4" spans="1:8">
      <c r="A4" t="s">
        <v>92</v>
      </c>
      <c r="B4" t="s">
        <v>76</v>
      </c>
      <c r="C4" t="s">
        <v>3</v>
      </c>
      <c r="D4">
        <v>64</v>
      </c>
      <c r="E4">
        <f>'Efforts with Complexity'!$E$10</f>
        <v>1</v>
      </c>
      <c r="F4">
        <f>ROUND(E4*D4*$H$1,0)</f>
        <v>97</v>
      </c>
      <c r="G4">
        <f>F4*[4]Rate!$B$2</f>
        <v>2910</v>
      </c>
    </row>
    <row r="5" spans="1:8">
      <c r="A5" t="s">
        <v>92</v>
      </c>
      <c r="B5" t="s">
        <v>76</v>
      </c>
      <c r="C5" t="s">
        <v>7</v>
      </c>
      <c r="D5">
        <v>0</v>
      </c>
      <c r="E5">
        <f>'Efforts with Complexity'!$E$10</f>
        <v>1</v>
      </c>
      <c r="F5">
        <f t="shared" ref="F5:F7" si="0">ROUND(E5*D5*$H$1,0)</f>
        <v>0</v>
      </c>
      <c r="G5">
        <f>F5*[4]Rate!$B$3</f>
        <v>0</v>
      </c>
    </row>
    <row r="6" spans="1:8">
      <c r="A6" t="s">
        <v>92</v>
      </c>
      <c r="B6" t="s">
        <v>76</v>
      </c>
      <c r="C6" t="s">
        <v>5</v>
      </c>
      <c r="D6">
        <v>0</v>
      </c>
      <c r="E6">
        <f>'Efforts with Complexity'!$E$10</f>
        <v>1</v>
      </c>
      <c r="F6">
        <f t="shared" si="0"/>
        <v>0</v>
      </c>
      <c r="G6">
        <f>F6*[4]Rate!$B$4</f>
        <v>0</v>
      </c>
    </row>
    <row r="7" spans="1:8">
      <c r="A7" t="s">
        <v>92</v>
      </c>
      <c r="B7" t="s">
        <v>76</v>
      </c>
      <c r="C7" t="s">
        <v>4</v>
      </c>
      <c r="D7">
        <v>0</v>
      </c>
      <c r="E7">
        <f>'Efforts with Complexity'!$E$10</f>
        <v>1</v>
      </c>
      <c r="F7">
        <f t="shared" si="0"/>
        <v>0</v>
      </c>
      <c r="G7">
        <f>F7*[4]Rate!$B$5</f>
        <v>0</v>
      </c>
    </row>
    <row r="8" spans="1:8">
      <c r="A8" t="s">
        <v>92</v>
      </c>
      <c r="B8" t="s">
        <v>76</v>
      </c>
      <c r="C8" t="s">
        <v>6</v>
      </c>
      <c r="D8">
        <f>SUM(D4:D7)</f>
        <v>64</v>
      </c>
      <c r="E8">
        <f>'Efforts with Complexity'!$E$10</f>
        <v>1</v>
      </c>
      <c r="F8">
        <f>SUM(F4:F7)</f>
        <v>97</v>
      </c>
      <c r="G8">
        <f>SUM(G4:G7)</f>
        <v>2910</v>
      </c>
    </row>
    <row r="9" spans="1:8">
      <c r="A9" t="s">
        <v>92</v>
      </c>
    </row>
    <row r="10" spans="1:8">
      <c r="A10" t="s">
        <v>92</v>
      </c>
      <c r="B10" t="s">
        <v>93</v>
      </c>
      <c r="C10" t="s">
        <v>3</v>
      </c>
      <c r="D10">
        <v>1</v>
      </c>
      <c r="E10">
        <f>'Efforts with Complexity'!$E$10</f>
        <v>1</v>
      </c>
      <c r="F10">
        <f t="shared" ref="F10:F13" si="1">ROUND(E10*D10*$H$1,0)</f>
        <v>2</v>
      </c>
      <c r="G10">
        <f>F10*[4]Rate!$B$2</f>
        <v>60</v>
      </c>
    </row>
    <row r="11" spans="1:8">
      <c r="A11" t="s">
        <v>92</v>
      </c>
      <c r="B11" t="s">
        <v>93</v>
      </c>
      <c r="C11" t="s">
        <v>7</v>
      </c>
      <c r="D11">
        <v>12</v>
      </c>
      <c r="E11">
        <f>'Efforts with Complexity'!$E$10</f>
        <v>1</v>
      </c>
      <c r="F11">
        <f t="shared" si="1"/>
        <v>18</v>
      </c>
      <c r="G11">
        <f>F11*[4]Rate!$B$3</f>
        <v>720</v>
      </c>
    </row>
    <row r="12" spans="1:8">
      <c r="A12" t="s">
        <v>92</v>
      </c>
      <c r="B12" t="s">
        <v>93</v>
      </c>
      <c r="C12" t="s">
        <v>5</v>
      </c>
      <c r="D12">
        <v>25</v>
      </c>
      <c r="E12">
        <f>'Efforts with Complexity'!$E$10</f>
        <v>1</v>
      </c>
      <c r="F12">
        <f t="shared" si="1"/>
        <v>38</v>
      </c>
      <c r="G12">
        <f>F12*[4]Rate!$B$4</f>
        <v>950</v>
      </c>
    </row>
    <row r="13" spans="1:8">
      <c r="A13" t="s">
        <v>92</v>
      </c>
      <c r="B13" t="s">
        <v>93</v>
      </c>
      <c r="C13" t="s">
        <v>4</v>
      </c>
      <c r="D13">
        <v>14</v>
      </c>
      <c r="E13">
        <f>'Efforts with Complexity'!$E$10</f>
        <v>1</v>
      </c>
      <c r="F13">
        <f t="shared" si="1"/>
        <v>21</v>
      </c>
      <c r="G13">
        <f>F13*[4]Rate!$B$5</f>
        <v>693</v>
      </c>
    </row>
    <row r="14" spans="1:8">
      <c r="A14" t="s">
        <v>92</v>
      </c>
      <c r="B14" t="s">
        <v>93</v>
      </c>
      <c r="C14" t="s">
        <v>6</v>
      </c>
      <c r="D14">
        <f>SUM(D10:D13)</f>
        <v>52</v>
      </c>
      <c r="E14">
        <f>'Efforts with Complexity'!$E$10</f>
        <v>1</v>
      </c>
      <c r="F14">
        <f>SUM(F10:F13)</f>
        <v>79</v>
      </c>
      <c r="G14">
        <f>SUM(G10:G13)</f>
        <v>2423</v>
      </c>
    </row>
    <row r="16" spans="1:8">
      <c r="A16" t="s">
        <v>94</v>
      </c>
      <c r="B16" t="s">
        <v>76</v>
      </c>
      <c r="C16" t="s">
        <v>3</v>
      </c>
      <c r="D16">
        <v>0</v>
      </c>
      <c r="E16">
        <f>'Efforts with Complexity'!$H$17</f>
        <v>30</v>
      </c>
      <c r="F16">
        <f>E16*D16</f>
        <v>0</v>
      </c>
      <c r="G16">
        <f>F16*[4]Rate!$B$2</f>
        <v>0</v>
      </c>
    </row>
    <row r="17" spans="1:7">
      <c r="A17" t="s">
        <v>94</v>
      </c>
      <c r="B17" t="s">
        <v>76</v>
      </c>
      <c r="C17" t="s">
        <v>7</v>
      </c>
      <c r="D17">
        <v>0</v>
      </c>
      <c r="E17">
        <f>'Efforts with Complexity'!$H$17</f>
        <v>30</v>
      </c>
      <c r="F17">
        <f t="shared" ref="F17:F19" si="2">E17*D17</f>
        <v>0</v>
      </c>
      <c r="G17">
        <f>F17*[4]Rate!$B$3</f>
        <v>0</v>
      </c>
    </row>
    <row r="18" spans="1:7">
      <c r="A18" t="s">
        <v>94</v>
      </c>
      <c r="B18" t="s">
        <v>76</v>
      </c>
      <c r="C18" t="s">
        <v>5</v>
      </c>
      <c r="D18">
        <v>6</v>
      </c>
      <c r="E18">
        <f>'Efforts with Complexity'!$H$17</f>
        <v>30</v>
      </c>
      <c r="F18">
        <f t="shared" si="2"/>
        <v>180</v>
      </c>
      <c r="G18">
        <f>F18*[4]Rate!$B$4</f>
        <v>4500</v>
      </c>
    </row>
    <row r="19" spans="1:7">
      <c r="A19" t="s">
        <v>94</v>
      </c>
      <c r="B19" t="s">
        <v>76</v>
      </c>
      <c r="C19" t="s">
        <v>4</v>
      </c>
      <c r="D19">
        <v>0</v>
      </c>
      <c r="E19">
        <f>'Efforts with Complexity'!$H$17</f>
        <v>30</v>
      </c>
      <c r="F19">
        <f t="shared" si="2"/>
        <v>0</v>
      </c>
      <c r="G19">
        <f>F19*[4]Rate!$B$5</f>
        <v>0</v>
      </c>
    </row>
    <row r="20" spans="1:7">
      <c r="A20" t="s">
        <v>94</v>
      </c>
      <c r="B20" t="s">
        <v>76</v>
      </c>
      <c r="C20" t="s">
        <v>6</v>
      </c>
      <c r="D20">
        <f>SUM(D16:D19)</f>
        <v>6</v>
      </c>
      <c r="E20">
        <f>'Efforts with Complexity'!$H$17</f>
        <v>30</v>
      </c>
      <c r="F20">
        <f>SUM(F16:F19)</f>
        <v>180</v>
      </c>
      <c r="G20">
        <f>SUM(G16:G19)</f>
        <v>4500</v>
      </c>
    </row>
    <row r="21" spans="1:7">
      <c r="A21" t="s">
        <v>94</v>
      </c>
    </row>
    <row r="22" spans="1:7">
      <c r="A22" t="s">
        <v>94</v>
      </c>
      <c r="B22" t="s">
        <v>77</v>
      </c>
      <c r="C22" t="s">
        <v>3</v>
      </c>
      <c r="D22">
        <v>3.2</v>
      </c>
      <c r="E22">
        <f>'Efforts with Complexity'!$H$17</f>
        <v>30</v>
      </c>
      <c r="F22">
        <f>E22*D22</f>
        <v>96</v>
      </c>
      <c r="G22">
        <f>F22*[4]Rate!$B$2</f>
        <v>2880</v>
      </c>
    </row>
    <row r="23" spans="1:7">
      <c r="A23" t="s">
        <v>94</v>
      </c>
      <c r="B23" t="s">
        <v>77</v>
      </c>
      <c r="C23" t="s">
        <v>7</v>
      </c>
      <c r="D23">
        <v>1.2</v>
      </c>
      <c r="E23">
        <f>'Efforts with Complexity'!$H$17</f>
        <v>30</v>
      </c>
      <c r="F23">
        <f t="shared" ref="F23:F25" si="3">E23*D23</f>
        <v>36</v>
      </c>
      <c r="G23">
        <f>F23*[4]Rate!$B$3</f>
        <v>1440</v>
      </c>
    </row>
    <row r="24" spans="1:7">
      <c r="A24" t="s">
        <v>94</v>
      </c>
      <c r="B24" t="s">
        <v>77</v>
      </c>
      <c r="C24" t="s">
        <v>5</v>
      </c>
      <c r="D24">
        <v>0</v>
      </c>
      <c r="E24">
        <f>'Efforts with Complexity'!$H$17</f>
        <v>30</v>
      </c>
      <c r="F24">
        <f t="shared" si="3"/>
        <v>0</v>
      </c>
      <c r="G24">
        <f>F24*[4]Rate!$B$4</f>
        <v>0</v>
      </c>
    </row>
    <row r="25" spans="1:7">
      <c r="A25" t="s">
        <v>94</v>
      </c>
      <c r="B25" t="s">
        <v>77</v>
      </c>
      <c r="C25" t="s">
        <v>4</v>
      </c>
      <c r="D25">
        <v>4</v>
      </c>
      <c r="E25">
        <f>'Efforts with Complexity'!$H$17</f>
        <v>30</v>
      </c>
      <c r="F25">
        <f t="shared" si="3"/>
        <v>120</v>
      </c>
      <c r="G25">
        <f>F25*[4]Rate!$B$5</f>
        <v>3960</v>
      </c>
    </row>
    <row r="26" spans="1:7">
      <c r="A26" t="s">
        <v>94</v>
      </c>
      <c r="B26" t="s">
        <v>77</v>
      </c>
      <c r="C26" t="s">
        <v>6</v>
      </c>
      <c r="D26">
        <f>SUM(D22:D25)</f>
        <v>8.4</v>
      </c>
      <c r="E26">
        <f>'Efforts with Complexity'!$H$17</f>
        <v>30</v>
      </c>
      <c r="F26">
        <f>SUM(F22:F25)</f>
        <v>252</v>
      </c>
      <c r="G26">
        <f>SUM(G22:G25)</f>
        <v>8280</v>
      </c>
    </row>
    <row r="28" spans="1:7">
      <c r="A28" t="s">
        <v>75</v>
      </c>
      <c r="B28" t="s">
        <v>76</v>
      </c>
      <c r="C28" t="s">
        <v>3</v>
      </c>
      <c r="D28">
        <v>1</v>
      </c>
      <c r="E28">
        <f>'Efforts with Complexity'!$H$18</f>
        <v>25</v>
      </c>
      <c r="F28">
        <f>E28*D28</f>
        <v>25</v>
      </c>
      <c r="G28">
        <f>F28*[4]Rate!$B$2</f>
        <v>750</v>
      </c>
    </row>
    <row r="29" spans="1:7">
      <c r="A29" t="s">
        <v>75</v>
      </c>
      <c r="B29" t="s">
        <v>76</v>
      </c>
      <c r="C29" t="s">
        <v>7</v>
      </c>
      <c r="D29">
        <v>0</v>
      </c>
      <c r="E29">
        <f>'Efforts with Complexity'!$H$18</f>
        <v>25</v>
      </c>
      <c r="F29">
        <f t="shared" ref="F29:F31" si="4">E29*D29</f>
        <v>0</v>
      </c>
      <c r="G29">
        <f>F29*[4]Rate!$B$3</f>
        <v>0</v>
      </c>
    </row>
    <row r="30" spans="1:7">
      <c r="A30" t="s">
        <v>75</v>
      </c>
      <c r="B30" t="s">
        <v>76</v>
      </c>
      <c r="C30" t="s">
        <v>5</v>
      </c>
      <c r="D30">
        <v>8</v>
      </c>
      <c r="E30">
        <f>'Efforts with Complexity'!$H$18</f>
        <v>25</v>
      </c>
      <c r="F30">
        <f t="shared" si="4"/>
        <v>200</v>
      </c>
      <c r="G30">
        <f>F30*[4]Rate!$B$4</f>
        <v>5000</v>
      </c>
    </row>
    <row r="31" spans="1:7">
      <c r="A31" t="s">
        <v>75</v>
      </c>
      <c r="B31" t="s">
        <v>76</v>
      </c>
      <c r="C31" t="s">
        <v>4</v>
      </c>
      <c r="D31">
        <v>0</v>
      </c>
      <c r="E31">
        <f>'Efforts with Complexity'!$H$18</f>
        <v>25</v>
      </c>
      <c r="F31">
        <f t="shared" si="4"/>
        <v>0</v>
      </c>
      <c r="G31">
        <f>F31*[4]Rate!$B$5</f>
        <v>0</v>
      </c>
    </row>
    <row r="32" spans="1:7">
      <c r="A32" t="s">
        <v>75</v>
      </c>
      <c r="B32" t="s">
        <v>76</v>
      </c>
      <c r="C32" t="s">
        <v>6</v>
      </c>
      <c r="D32">
        <f>SUM(D28:D31)</f>
        <v>9</v>
      </c>
      <c r="E32">
        <f>'Efforts with Complexity'!$H$18</f>
        <v>25</v>
      </c>
      <c r="F32">
        <f>SUM(F28:F31)</f>
        <v>225</v>
      </c>
      <c r="G32">
        <f>SUM(G28:G31)</f>
        <v>5750</v>
      </c>
    </row>
    <row r="33" spans="1:7">
      <c r="A33" t="s">
        <v>75</v>
      </c>
    </row>
    <row r="34" spans="1:7">
      <c r="A34" t="s">
        <v>75</v>
      </c>
      <c r="B34" t="s">
        <v>77</v>
      </c>
      <c r="C34" t="s">
        <v>3</v>
      </c>
      <c r="D34">
        <v>1</v>
      </c>
      <c r="E34">
        <f>'Efforts with Complexity'!$H$18</f>
        <v>25</v>
      </c>
      <c r="F34">
        <f>E34*D34</f>
        <v>25</v>
      </c>
      <c r="G34">
        <f>F34*[4]Rate!$B$2</f>
        <v>750</v>
      </c>
    </row>
    <row r="35" spans="1:7">
      <c r="A35" t="s">
        <v>75</v>
      </c>
      <c r="B35" t="s">
        <v>77</v>
      </c>
      <c r="C35" t="s">
        <v>7</v>
      </c>
      <c r="D35">
        <v>1</v>
      </c>
      <c r="E35">
        <f>'Efforts with Complexity'!$H$18</f>
        <v>25</v>
      </c>
      <c r="F35">
        <f t="shared" ref="F35:F37" si="5">E35*D35</f>
        <v>25</v>
      </c>
      <c r="G35">
        <f>F35*[4]Rate!$B$3</f>
        <v>1000</v>
      </c>
    </row>
    <row r="36" spans="1:7">
      <c r="A36" t="s">
        <v>75</v>
      </c>
      <c r="B36" t="s">
        <v>77</v>
      </c>
      <c r="C36" t="s">
        <v>5</v>
      </c>
      <c r="D36">
        <v>0</v>
      </c>
      <c r="E36">
        <f>'Efforts with Complexity'!$H$18</f>
        <v>25</v>
      </c>
      <c r="F36">
        <f t="shared" si="5"/>
        <v>0</v>
      </c>
      <c r="G36">
        <f>F36*[4]Rate!$B$4</f>
        <v>0</v>
      </c>
    </row>
    <row r="37" spans="1:7">
      <c r="A37" t="s">
        <v>75</v>
      </c>
      <c r="B37" t="s">
        <v>77</v>
      </c>
      <c r="C37" t="s">
        <v>4</v>
      </c>
      <c r="D37">
        <v>12</v>
      </c>
      <c r="E37">
        <f>'Efforts with Complexity'!$H$18</f>
        <v>25</v>
      </c>
      <c r="F37">
        <f t="shared" si="5"/>
        <v>300</v>
      </c>
      <c r="G37">
        <f>F37*[4]Rate!$B$5</f>
        <v>9900</v>
      </c>
    </row>
    <row r="38" spans="1:7">
      <c r="A38" t="s">
        <v>75</v>
      </c>
      <c r="B38" t="s">
        <v>77</v>
      </c>
      <c r="C38" t="s">
        <v>6</v>
      </c>
      <c r="D38">
        <f>SUM(D34:D37)</f>
        <v>14</v>
      </c>
      <c r="E38">
        <f>'Efforts with Complexity'!$H$18</f>
        <v>25</v>
      </c>
      <c r="F38">
        <f>SUM(F34:F37)</f>
        <v>350</v>
      </c>
      <c r="G38">
        <f>SUM(G34:G37)</f>
        <v>11650</v>
      </c>
    </row>
    <row r="40" spans="1:7">
      <c r="A40" t="s">
        <v>78</v>
      </c>
      <c r="B40" t="s">
        <v>76</v>
      </c>
      <c r="C40" t="s">
        <v>3</v>
      </c>
      <c r="D40">
        <v>0.5</v>
      </c>
      <c r="E40">
        <f>'Efforts with Complexity'!I19</f>
        <v>67</v>
      </c>
      <c r="F40">
        <f>E40*D40</f>
        <v>33.5</v>
      </c>
      <c r="G40">
        <f>F40*[4]Rate!$B$2</f>
        <v>1005</v>
      </c>
    </row>
    <row r="41" spans="1:7">
      <c r="A41" t="s">
        <v>78</v>
      </c>
      <c r="B41" t="s">
        <v>76</v>
      </c>
      <c r="C41" t="s">
        <v>7</v>
      </c>
      <c r="D41">
        <v>0</v>
      </c>
      <c r="E41">
        <f t="shared" ref="E41:E44" si="6">$E$40</f>
        <v>67</v>
      </c>
      <c r="F41">
        <f t="shared" ref="F41:F43" si="7">E41*D41</f>
        <v>0</v>
      </c>
      <c r="G41">
        <f>F41*[4]Rate!$B$3</f>
        <v>0</v>
      </c>
    </row>
    <row r="42" spans="1:7">
      <c r="A42" t="s">
        <v>78</v>
      </c>
      <c r="B42" t="s">
        <v>76</v>
      </c>
      <c r="C42" t="s">
        <v>5</v>
      </c>
      <c r="D42">
        <v>4</v>
      </c>
      <c r="E42">
        <f t="shared" si="6"/>
        <v>67</v>
      </c>
      <c r="F42">
        <f t="shared" si="7"/>
        <v>268</v>
      </c>
      <c r="G42">
        <f>F42*[4]Rate!$B$4</f>
        <v>6700</v>
      </c>
    </row>
    <row r="43" spans="1:7">
      <c r="A43" t="s">
        <v>78</v>
      </c>
      <c r="B43" t="s">
        <v>76</v>
      </c>
      <c r="C43" t="s">
        <v>4</v>
      </c>
      <c r="D43">
        <v>0</v>
      </c>
      <c r="E43">
        <f t="shared" si="6"/>
        <v>67</v>
      </c>
      <c r="F43">
        <f t="shared" si="7"/>
        <v>0</v>
      </c>
      <c r="G43">
        <f>F43*[4]Rate!$B$5</f>
        <v>0</v>
      </c>
    </row>
    <row r="44" spans="1:7">
      <c r="A44" t="s">
        <v>78</v>
      </c>
      <c r="B44" t="s">
        <v>76</v>
      </c>
      <c r="C44" t="s">
        <v>6</v>
      </c>
      <c r="D44">
        <f>SUM(D40:D43)</f>
        <v>4.5</v>
      </c>
      <c r="E44">
        <f t="shared" si="6"/>
        <v>67</v>
      </c>
      <c r="F44">
        <f>SUM(F40:F43)</f>
        <v>301.5</v>
      </c>
      <c r="G44">
        <f>SUM(G40:G43)</f>
        <v>7705</v>
      </c>
    </row>
    <row r="45" spans="1:7">
      <c r="A45" t="s">
        <v>78</v>
      </c>
    </row>
    <row r="46" spans="1:7">
      <c r="A46" t="s">
        <v>78</v>
      </c>
      <c r="B46" t="s">
        <v>77</v>
      </c>
      <c r="C46" t="s">
        <v>3</v>
      </c>
      <c r="D46">
        <v>0.5</v>
      </c>
      <c r="E46">
        <f t="shared" ref="E46:E50" si="8">$E$40</f>
        <v>67</v>
      </c>
      <c r="F46">
        <f>E46*D46</f>
        <v>33.5</v>
      </c>
      <c r="G46">
        <f>F46*[4]Rate!$B$2</f>
        <v>1005</v>
      </c>
    </row>
    <row r="47" spans="1:7">
      <c r="A47" t="s">
        <v>78</v>
      </c>
      <c r="B47" t="s">
        <v>77</v>
      </c>
      <c r="C47" t="s">
        <v>7</v>
      </c>
      <c r="D47">
        <v>0.5</v>
      </c>
      <c r="E47">
        <f t="shared" si="8"/>
        <v>67</v>
      </c>
      <c r="F47">
        <f t="shared" ref="F47:F49" si="9">E47*D47</f>
        <v>33.5</v>
      </c>
      <c r="G47">
        <f>F47*[4]Rate!$B$3</f>
        <v>1340</v>
      </c>
    </row>
    <row r="48" spans="1:7">
      <c r="A48" t="s">
        <v>78</v>
      </c>
      <c r="B48" t="s">
        <v>77</v>
      </c>
      <c r="C48" t="s">
        <v>5</v>
      </c>
      <c r="D48">
        <v>0</v>
      </c>
      <c r="E48">
        <f t="shared" si="8"/>
        <v>67</v>
      </c>
      <c r="F48">
        <f t="shared" si="9"/>
        <v>0</v>
      </c>
      <c r="G48">
        <f>F48*[4]Rate!$B$4</f>
        <v>0</v>
      </c>
    </row>
    <row r="49" spans="1:7">
      <c r="A49" t="s">
        <v>78</v>
      </c>
      <c r="B49" t="s">
        <v>77</v>
      </c>
      <c r="C49" t="s">
        <v>4</v>
      </c>
      <c r="D49">
        <v>1.5</v>
      </c>
      <c r="E49">
        <f t="shared" si="8"/>
        <v>67</v>
      </c>
      <c r="F49">
        <f t="shared" si="9"/>
        <v>100.5</v>
      </c>
      <c r="G49">
        <f>F49*[4]Rate!$B$5</f>
        <v>3316.5</v>
      </c>
    </row>
    <row r="50" spans="1:7">
      <c r="A50" t="s">
        <v>78</v>
      </c>
      <c r="B50" t="s">
        <v>77</v>
      </c>
      <c r="C50" t="s">
        <v>6</v>
      </c>
      <c r="D50">
        <f>SUM(D46:D49)</f>
        <v>2.5</v>
      </c>
      <c r="E50">
        <f t="shared" si="8"/>
        <v>67</v>
      </c>
      <c r="F50">
        <f>SUM(F46:F49)</f>
        <v>167.5</v>
      </c>
      <c r="G50">
        <f>SUM(G46:G49)</f>
        <v>5661.5</v>
      </c>
    </row>
    <row r="52" spans="1:7">
      <c r="A52" t="s">
        <v>79</v>
      </c>
      <c r="B52" t="s">
        <v>76</v>
      </c>
      <c r="C52" t="s">
        <v>3</v>
      </c>
      <c r="D52">
        <v>0.5</v>
      </c>
      <c r="E52" s="76">
        <f>'Efforts with Complexity'!J19</f>
        <v>23</v>
      </c>
      <c r="F52">
        <f>E52*D52</f>
        <v>11.5</v>
      </c>
      <c r="G52">
        <f>F52*[4]Rate!$B$2</f>
        <v>345</v>
      </c>
    </row>
    <row r="53" spans="1:7">
      <c r="A53" t="s">
        <v>79</v>
      </c>
      <c r="B53" t="s">
        <v>76</v>
      </c>
      <c r="C53" t="s">
        <v>7</v>
      </c>
      <c r="D53">
        <v>0</v>
      </c>
      <c r="E53">
        <f>$E$52</f>
        <v>23</v>
      </c>
      <c r="F53">
        <f>E53*D53</f>
        <v>0</v>
      </c>
      <c r="G53">
        <f>F53*[4]Rate!$B$3</f>
        <v>0</v>
      </c>
    </row>
    <row r="54" spans="1:7">
      <c r="A54" t="s">
        <v>79</v>
      </c>
      <c r="B54" t="s">
        <v>76</v>
      </c>
      <c r="C54" t="s">
        <v>5</v>
      </c>
      <c r="D54">
        <v>2</v>
      </c>
      <c r="E54">
        <f t="shared" ref="E54:E62" si="10">$E$52</f>
        <v>23</v>
      </c>
      <c r="F54">
        <f>E54*D54</f>
        <v>46</v>
      </c>
      <c r="G54">
        <f>F54*[4]Rate!$B$4</f>
        <v>1150</v>
      </c>
    </row>
    <row r="55" spans="1:7">
      <c r="A55" t="s">
        <v>79</v>
      </c>
      <c r="B55" t="s">
        <v>76</v>
      </c>
      <c r="C55" t="s">
        <v>4</v>
      </c>
      <c r="D55">
        <v>0</v>
      </c>
      <c r="E55">
        <f t="shared" si="10"/>
        <v>23</v>
      </c>
      <c r="F55">
        <f>E55*D55</f>
        <v>0</v>
      </c>
      <c r="G55">
        <f>F55*[4]Rate!$B$5</f>
        <v>0</v>
      </c>
    </row>
    <row r="56" spans="1:7">
      <c r="A56" t="s">
        <v>79</v>
      </c>
      <c r="B56" t="s">
        <v>76</v>
      </c>
      <c r="C56" t="s">
        <v>6</v>
      </c>
      <c r="D56">
        <f>SUM(D52:D55)</f>
        <v>2.5</v>
      </c>
      <c r="E56">
        <f t="shared" si="10"/>
        <v>23</v>
      </c>
      <c r="F56">
        <f>SUM(F52:F55)</f>
        <v>57.5</v>
      </c>
      <c r="G56">
        <f>SUM(G52:G55)</f>
        <v>1495</v>
      </c>
    </row>
    <row r="57" spans="1:7">
      <c r="A57" t="s">
        <v>79</v>
      </c>
    </row>
    <row r="58" spans="1:7">
      <c r="A58" t="s">
        <v>79</v>
      </c>
      <c r="B58" t="s">
        <v>77</v>
      </c>
      <c r="C58" t="s">
        <v>3</v>
      </c>
      <c r="D58">
        <v>0.5</v>
      </c>
      <c r="E58">
        <f t="shared" si="10"/>
        <v>23</v>
      </c>
      <c r="F58">
        <f>E58*D58</f>
        <v>11.5</v>
      </c>
      <c r="G58">
        <f>F58*[4]Rate!$B$2</f>
        <v>345</v>
      </c>
    </row>
    <row r="59" spans="1:7">
      <c r="A59" t="s">
        <v>79</v>
      </c>
      <c r="B59" t="s">
        <v>77</v>
      </c>
      <c r="C59" t="s">
        <v>7</v>
      </c>
      <c r="D59">
        <v>0</v>
      </c>
      <c r="E59">
        <f t="shared" si="10"/>
        <v>23</v>
      </c>
      <c r="F59">
        <f>E59*D59</f>
        <v>0</v>
      </c>
      <c r="G59">
        <f>F59*[4]Rate!$B$3</f>
        <v>0</v>
      </c>
    </row>
    <row r="60" spans="1:7">
      <c r="A60" t="s">
        <v>79</v>
      </c>
      <c r="B60" t="s">
        <v>77</v>
      </c>
      <c r="C60" t="s">
        <v>5</v>
      </c>
      <c r="D60">
        <v>0</v>
      </c>
      <c r="E60">
        <f t="shared" si="10"/>
        <v>23</v>
      </c>
      <c r="F60">
        <f>E60*D60</f>
        <v>0</v>
      </c>
      <c r="G60">
        <f>F60*[4]Rate!$B$4</f>
        <v>0</v>
      </c>
    </row>
    <row r="61" spans="1:7">
      <c r="A61" t="s">
        <v>79</v>
      </c>
      <c r="B61" t="s">
        <v>77</v>
      </c>
      <c r="C61" t="s">
        <v>4</v>
      </c>
      <c r="D61">
        <v>1</v>
      </c>
      <c r="E61">
        <f t="shared" si="10"/>
        <v>23</v>
      </c>
      <c r="F61">
        <f>E61*D61</f>
        <v>23</v>
      </c>
      <c r="G61">
        <f>F61*[4]Rate!$B$5</f>
        <v>759</v>
      </c>
    </row>
    <row r="62" spans="1:7">
      <c r="A62" t="s">
        <v>79</v>
      </c>
      <c r="B62" t="s">
        <v>77</v>
      </c>
      <c r="C62" t="s">
        <v>6</v>
      </c>
      <c r="D62">
        <f>SUM(D58:D61)</f>
        <v>1.5</v>
      </c>
      <c r="E62">
        <f t="shared" si="10"/>
        <v>23</v>
      </c>
      <c r="F62">
        <f>SUM(F58:F61)</f>
        <v>34.5</v>
      </c>
      <c r="G62">
        <f>SUM(G58:G61)</f>
        <v>1104</v>
      </c>
    </row>
    <row r="64" spans="1:7">
      <c r="A64" t="s">
        <v>80</v>
      </c>
      <c r="B64" t="s">
        <v>76</v>
      </c>
      <c r="C64" t="s">
        <v>3</v>
      </c>
      <c r="D64">
        <v>0</v>
      </c>
      <c r="E64">
        <f>'Efforts with Complexity'!I20</f>
        <v>34</v>
      </c>
      <c r="F64">
        <f>E64*D64</f>
        <v>0</v>
      </c>
      <c r="G64">
        <f>F64*[4]Rate!$B$2</f>
        <v>0</v>
      </c>
    </row>
    <row r="65" spans="1:7">
      <c r="A65" t="s">
        <v>80</v>
      </c>
      <c r="B65" t="s">
        <v>76</v>
      </c>
      <c r="C65" t="s">
        <v>7</v>
      </c>
      <c r="D65">
        <v>0</v>
      </c>
      <c r="E65">
        <f>$E$64</f>
        <v>34</v>
      </c>
      <c r="F65">
        <f>E65*D65</f>
        <v>0</v>
      </c>
      <c r="G65">
        <f>F65*[4]Rate!$B$3</f>
        <v>0</v>
      </c>
    </row>
    <row r="66" spans="1:7">
      <c r="A66" t="s">
        <v>80</v>
      </c>
      <c r="B66" t="s">
        <v>76</v>
      </c>
      <c r="C66" t="s">
        <v>5</v>
      </c>
      <c r="D66">
        <v>2</v>
      </c>
      <c r="E66">
        <f t="shared" ref="E66:E68" si="11">$E$64</f>
        <v>34</v>
      </c>
      <c r="F66">
        <f>E66*D66</f>
        <v>68</v>
      </c>
      <c r="G66">
        <f>F66*[4]Rate!$B$4</f>
        <v>1700</v>
      </c>
    </row>
    <row r="67" spans="1:7">
      <c r="A67" t="s">
        <v>80</v>
      </c>
      <c r="B67" t="s">
        <v>76</v>
      </c>
      <c r="C67" t="s">
        <v>4</v>
      </c>
      <c r="D67">
        <v>0</v>
      </c>
      <c r="E67">
        <f t="shared" si="11"/>
        <v>34</v>
      </c>
      <c r="F67">
        <f>E67*D67</f>
        <v>0</v>
      </c>
      <c r="G67">
        <f>F67*[4]Rate!$B$5</f>
        <v>0</v>
      </c>
    </row>
    <row r="68" spans="1:7">
      <c r="A68" t="s">
        <v>80</v>
      </c>
      <c r="B68" t="s">
        <v>76</v>
      </c>
      <c r="C68" t="s">
        <v>6</v>
      </c>
      <c r="D68">
        <f>SUM(D64:D67)</f>
        <v>2</v>
      </c>
      <c r="E68">
        <f t="shared" si="11"/>
        <v>34</v>
      </c>
      <c r="F68">
        <f>SUM(F64:F67)</f>
        <v>68</v>
      </c>
      <c r="G68">
        <f>SUM(G64:G67)</f>
        <v>1700</v>
      </c>
    </row>
    <row r="69" spans="1:7">
      <c r="A69" t="s">
        <v>80</v>
      </c>
    </row>
    <row r="70" spans="1:7">
      <c r="A70" t="s">
        <v>80</v>
      </c>
      <c r="B70" t="s">
        <v>77</v>
      </c>
      <c r="C70" t="s">
        <v>3</v>
      </c>
      <c r="D70">
        <v>0.5</v>
      </c>
      <c r="E70">
        <f t="shared" ref="E70:E74" si="12">$E$64</f>
        <v>34</v>
      </c>
      <c r="F70">
        <f>E70*D70</f>
        <v>17</v>
      </c>
      <c r="G70">
        <f>F70*[4]Rate!$B$2</f>
        <v>510</v>
      </c>
    </row>
    <row r="71" spans="1:7">
      <c r="A71" t="s">
        <v>80</v>
      </c>
      <c r="B71" t="s">
        <v>77</v>
      </c>
      <c r="C71" t="s">
        <v>7</v>
      </c>
      <c r="D71">
        <v>0</v>
      </c>
      <c r="E71">
        <f t="shared" si="12"/>
        <v>34</v>
      </c>
      <c r="F71">
        <f>E71*D71</f>
        <v>0</v>
      </c>
      <c r="G71">
        <f>F71*[4]Rate!$B$3</f>
        <v>0</v>
      </c>
    </row>
    <row r="72" spans="1:7">
      <c r="A72" t="s">
        <v>80</v>
      </c>
      <c r="B72" t="s">
        <v>77</v>
      </c>
      <c r="C72" t="s">
        <v>5</v>
      </c>
      <c r="D72">
        <v>0</v>
      </c>
      <c r="E72">
        <f t="shared" si="12"/>
        <v>34</v>
      </c>
      <c r="F72">
        <f>E72*D72</f>
        <v>0</v>
      </c>
      <c r="G72">
        <f>F72*[4]Rate!$B$4</f>
        <v>0</v>
      </c>
    </row>
    <row r="73" spans="1:7">
      <c r="A73" t="s">
        <v>80</v>
      </c>
      <c r="B73" t="s">
        <v>77</v>
      </c>
      <c r="C73" t="s">
        <v>4</v>
      </c>
      <c r="D73">
        <v>0.5</v>
      </c>
      <c r="E73">
        <f t="shared" si="12"/>
        <v>34</v>
      </c>
      <c r="F73">
        <f>E73*D73</f>
        <v>17</v>
      </c>
      <c r="G73">
        <f>F73*[4]Rate!$B$5</f>
        <v>561</v>
      </c>
    </row>
    <row r="74" spans="1:7">
      <c r="A74" t="s">
        <v>80</v>
      </c>
      <c r="B74" t="s">
        <v>77</v>
      </c>
      <c r="C74" t="s">
        <v>6</v>
      </c>
      <c r="D74">
        <f>SUM(D70:D73)</f>
        <v>1</v>
      </c>
      <c r="E74">
        <f t="shared" si="12"/>
        <v>34</v>
      </c>
      <c r="F74">
        <f>SUM(F70:F73)</f>
        <v>34</v>
      </c>
      <c r="G74">
        <f>SUM(G70:G73)</f>
        <v>1071</v>
      </c>
    </row>
    <row r="76" spans="1:7">
      <c r="A76" t="s">
        <v>81</v>
      </c>
      <c r="B76" t="s">
        <v>76</v>
      </c>
      <c r="C76" t="s">
        <v>3</v>
      </c>
      <c r="D76">
        <v>0</v>
      </c>
      <c r="E76">
        <f>'Efforts with Complexity'!J20</f>
        <v>11</v>
      </c>
      <c r="F76">
        <f>E76*D76</f>
        <v>0</v>
      </c>
      <c r="G76">
        <f>F76*[4]Rate!$B$2</f>
        <v>0</v>
      </c>
    </row>
    <row r="77" spans="1:7">
      <c r="A77" t="s">
        <v>81</v>
      </c>
      <c r="B77" t="s">
        <v>76</v>
      </c>
      <c r="C77" t="s">
        <v>7</v>
      </c>
      <c r="D77">
        <v>0</v>
      </c>
      <c r="E77">
        <f>$E$76</f>
        <v>11</v>
      </c>
      <c r="F77">
        <f t="shared" ref="F77:F79" si="13">E77*D77</f>
        <v>0</v>
      </c>
      <c r="G77">
        <f>F77*[4]Rate!$B$3</f>
        <v>0</v>
      </c>
    </row>
    <row r="78" spans="1:7">
      <c r="A78" t="s">
        <v>81</v>
      </c>
      <c r="B78" t="s">
        <v>76</v>
      </c>
      <c r="C78" t="s">
        <v>5</v>
      </c>
      <c r="D78">
        <v>0.5</v>
      </c>
      <c r="E78">
        <f t="shared" ref="E78:E80" si="14">$E$76</f>
        <v>11</v>
      </c>
      <c r="F78">
        <f t="shared" si="13"/>
        <v>5.5</v>
      </c>
      <c r="G78">
        <f>F78*[4]Rate!$B$4</f>
        <v>137.5</v>
      </c>
    </row>
    <row r="79" spans="1:7">
      <c r="A79" t="s">
        <v>81</v>
      </c>
      <c r="B79" t="s">
        <v>76</v>
      </c>
      <c r="C79" t="s">
        <v>4</v>
      </c>
      <c r="D79">
        <v>0</v>
      </c>
      <c r="E79">
        <f t="shared" si="14"/>
        <v>11</v>
      </c>
      <c r="F79">
        <f t="shared" si="13"/>
        <v>0</v>
      </c>
      <c r="G79">
        <f>F79*[4]Rate!$B$5</f>
        <v>0</v>
      </c>
    </row>
    <row r="80" spans="1:7">
      <c r="A80" t="s">
        <v>81</v>
      </c>
      <c r="B80" t="s">
        <v>76</v>
      </c>
      <c r="C80" t="s">
        <v>6</v>
      </c>
      <c r="D80">
        <f>SUM(D76:D79)</f>
        <v>0.5</v>
      </c>
      <c r="E80">
        <f t="shared" si="14"/>
        <v>11</v>
      </c>
      <c r="F80">
        <f>SUM(F76:F79)</f>
        <v>5.5</v>
      </c>
      <c r="G80">
        <f>SUM(G76:G79)</f>
        <v>137.5</v>
      </c>
    </row>
    <row r="81" spans="1:7">
      <c r="A81" t="s">
        <v>81</v>
      </c>
    </row>
    <row r="82" spans="1:7">
      <c r="A82" t="s">
        <v>81</v>
      </c>
      <c r="B82" t="s">
        <v>77</v>
      </c>
      <c r="C82" t="s">
        <v>3</v>
      </c>
      <c r="D82">
        <v>1</v>
      </c>
      <c r="E82">
        <f t="shared" ref="E82:E86" si="15">$E$76</f>
        <v>11</v>
      </c>
      <c r="F82">
        <f>E82*D82</f>
        <v>11</v>
      </c>
      <c r="G82">
        <f>F82*[4]Rate!$B$2</f>
        <v>330</v>
      </c>
    </row>
    <row r="83" spans="1:7">
      <c r="A83" t="s">
        <v>81</v>
      </c>
      <c r="B83" t="s">
        <v>77</v>
      </c>
      <c r="C83" t="s">
        <v>7</v>
      </c>
      <c r="D83">
        <v>0</v>
      </c>
      <c r="E83">
        <f t="shared" si="15"/>
        <v>11</v>
      </c>
      <c r="F83">
        <f t="shared" ref="F83:F85" si="16">E83*D83</f>
        <v>0</v>
      </c>
      <c r="G83">
        <f>F83*[4]Rate!$B$3</f>
        <v>0</v>
      </c>
    </row>
    <row r="84" spans="1:7">
      <c r="A84" t="s">
        <v>81</v>
      </c>
      <c r="B84" t="s">
        <v>77</v>
      </c>
      <c r="C84" t="s">
        <v>5</v>
      </c>
      <c r="D84">
        <v>0</v>
      </c>
      <c r="E84">
        <f t="shared" si="15"/>
        <v>11</v>
      </c>
      <c r="F84">
        <f t="shared" si="16"/>
        <v>0</v>
      </c>
      <c r="G84">
        <f>F84*[4]Rate!$B$4</f>
        <v>0</v>
      </c>
    </row>
    <row r="85" spans="1:7">
      <c r="A85" t="s">
        <v>81</v>
      </c>
      <c r="B85" t="s">
        <v>77</v>
      </c>
      <c r="C85" t="s">
        <v>4</v>
      </c>
      <c r="D85">
        <v>0.5</v>
      </c>
      <c r="E85">
        <f t="shared" si="15"/>
        <v>11</v>
      </c>
      <c r="F85">
        <f t="shared" si="16"/>
        <v>5.5</v>
      </c>
      <c r="G85">
        <f>F85*[4]Rate!$B$5</f>
        <v>181.5</v>
      </c>
    </row>
    <row r="86" spans="1:7">
      <c r="A86" t="s">
        <v>81</v>
      </c>
      <c r="B86" t="s">
        <v>77</v>
      </c>
      <c r="C86" t="s">
        <v>6</v>
      </c>
      <c r="D86">
        <f>SUM(D82:D85)</f>
        <v>1.5</v>
      </c>
      <c r="E86">
        <f t="shared" si="15"/>
        <v>11</v>
      </c>
      <c r="F86">
        <f>SUM(F82:F85)</f>
        <v>16.5</v>
      </c>
      <c r="G86">
        <f>SUM(G82:G85)</f>
        <v>511.5</v>
      </c>
    </row>
    <row r="88" spans="1:7">
      <c r="A88" t="s">
        <v>82</v>
      </c>
      <c r="B88" t="s">
        <v>76</v>
      </c>
      <c r="C88" t="s">
        <v>3</v>
      </c>
      <c r="D88">
        <v>1</v>
      </c>
      <c r="E88">
        <f>'Efforts with Complexity'!I21</f>
        <v>11</v>
      </c>
      <c r="F88">
        <f>E88*D88</f>
        <v>11</v>
      </c>
      <c r="G88">
        <f>F88*[4]Rate!$B$2</f>
        <v>330</v>
      </c>
    </row>
    <row r="89" spans="1:7">
      <c r="A89" t="s">
        <v>82</v>
      </c>
      <c r="B89" t="s">
        <v>76</v>
      </c>
      <c r="C89" t="s">
        <v>7</v>
      </c>
      <c r="D89">
        <v>0</v>
      </c>
      <c r="E89">
        <f>$E$88</f>
        <v>11</v>
      </c>
      <c r="F89">
        <f t="shared" ref="F89:F91" si="17">E89*D89</f>
        <v>0</v>
      </c>
      <c r="G89">
        <f>F89*[4]Rate!$B$3</f>
        <v>0</v>
      </c>
    </row>
    <row r="90" spans="1:7">
      <c r="A90" t="s">
        <v>82</v>
      </c>
      <c r="B90" t="s">
        <v>76</v>
      </c>
      <c r="C90" t="s">
        <v>5</v>
      </c>
      <c r="D90">
        <v>6</v>
      </c>
      <c r="E90">
        <f t="shared" ref="E90:E92" si="18">$E$88</f>
        <v>11</v>
      </c>
      <c r="F90">
        <f t="shared" si="17"/>
        <v>66</v>
      </c>
      <c r="G90">
        <f>F90*[4]Rate!$B$4</f>
        <v>1650</v>
      </c>
    </row>
    <row r="91" spans="1:7">
      <c r="A91" t="s">
        <v>82</v>
      </c>
      <c r="B91" t="s">
        <v>76</v>
      </c>
      <c r="C91" t="s">
        <v>4</v>
      </c>
      <c r="D91">
        <v>0</v>
      </c>
      <c r="E91">
        <f t="shared" si="18"/>
        <v>11</v>
      </c>
      <c r="F91">
        <f t="shared" si="17"/>
        <v>0</v>
      </c>
      <c r="G91">
        <f>F91*[4]Rate!$B$5</f>
        <v>0</v>
      </c>
    </row>
    <row r="92" spans="1:7">
      <c r="A92" t="s">
        <v>82</v>
      </c>
      <c r="B92" t="s">
        <v>76</v>
      </c>
      <c r="C92" t="s">
        <v>6</v>
      </c>
      <c r="D92">
        <f>SUM(D88:D91)</f>
        <v>7</v>
      </c>
      <c r="E92">
        <f t="shared" si="18"/>
        <v>11</v>
      </c>
      <c r="F92">
        <f>SUM(F88:F91)</f>
        <v>77</v>
      </c>
      <c r="G92">
        <f>SUM(G88:G91)</f>
        <v>1980</v>
      </c>
    </row>
    <row r="93" spans="1:7">
      <c r="A93" t="s">
        <v>82</v>
      </c>
    </row>
    <row r="94" spans="1:7">
      <c r="A94" t="s">
        <v>82</v>
      </c>
      <c r="B94" t="s">
        <v>77</v>
      </c>
      <c r="C94" t="s">
        <v>3</v>
      </c>
      <c r="D94">
        <v>1</v>
      </c>
      <c r="E94">
        <f t="shared" ref="E94:E98" si="19">$E$88</f>
        <v>11</v>
      </c>
      <c r="F94">
        <f>E94*D94</f>
        <v>11</v>
      </c>
      <c r="G94">
        <f>F94*[4]Rate!$B$2</f>
        <v>330</v>
      </c>
    </row>
    <row r="95" spans="1:7">
      <c r="A95" t="s">
        <v>82</v>
      </c>
      <c r="B95" t="s">
        <v>77</v>
      </c>
      <c r="C95" t="s">
        <v>7</v>
      </c>
      <c r="D95">
        <v>0.5</v>
      </c>
      <c r="E95">
        <f t="shared" si="19"/>
        <v>11</v>
      </c>
      <c r="F95">
        <f t="shared" ref="F95:F97" si="20">E95*D95</f>
        <v>5.5</v>
      </c>
      <c r="G95">
        <f>F95*[4]Rate!$B$3</f>
        <v>220</v>
      </c>
    </row>
    <row r="96" spans="1:7">
      <c r="A96" t="s">
        <v>82</v>
      </c>
      <c r="B96" t="s">
        <v>77</v>
      </c>
      <c r="C96" t="s">
        <v>5</v>
      </c>
      <c r="D96">
        <v>0</v>
      </c>
      <c r="E96">
        <f t="shared" si="19"/>
        <v>11</v>
      </c>
      <c r="F96">
        <f t="shared" si="20"/>
        <v>0</v>
      </c>
      <c r="G96">
        <f>F96*[4]Rate!$B$4</f>
        <v>0</v>
      </c>
    </row>
    <row r="97" spans="1:7">
      <c r="A97" t="s">
        <v>82</v>
      </c>
      <c r="B97" t="s">
        <v>77</v>
      </c>
      <c r="C97" t="s">
        <v>4</v>
      </c>
      <c r="D97">
        <v>1.5</v>
      </c>
      <c r="E97">
        <f t="shared" si="19"/>
        <v>11</v>
      </c>
      <c r="F97">
        <f t="shared" si="20"/>
        <v>16.5</v>
      </c>
      <c r="G97">
        <f>F97*[4]Rate!$B$5</f>
        <v>544.5</v>
      </c>
    </row>
    <row r="98" spans="1:7">
      <c r="A98" t="s">
        <v>82</v>
      </c>
      <c r="B98" t="s">
        <v>77</v>
      </c>
      <c r="C98" t="s">
        <v>6</v>
      </c>
      <c r="D98">
        <f>SUM(D94:D97)</f>
        <v>3</v>
      </c>
      <c r="E98">
        <f t="shared" si="19"/>
        <v>11</v>
      </c>
      <c r="F98">
        <f>SUM(F94:F97)</f>
        <v>33</v>
      </c>
      <c r="G98">
        <f>SUM(G94:G97)</f>
        <v>1094.5</v>
      </c>
    </row>
    <row r="100" spans="1:7">
      <c r="A100" t="s">
        <v>83</v>
      </c>
      <c r="B100" t="s">
        <v>76</v>
      </c>
      <c r="C100" t="s">
        <v>3</v>
      </c>
      <c r="D100">
        <v>0</v>
      </c>
      <c r="E100" s="76">
        <f>'Efforts with Complexity'!J21</f>
        <v>4</v>
      </c>
      <c r="F100">
        <f>E100*D100</f>
        <v>0</v>
      </c>
      <c r="G100">
        <f>F100*[4]Rate!$B$2</f>
        <v>0</v>
      </c>
    </row>
    <row r="101" spans="1:7">
      <c r="A101" t="s">
        <v>83</v>
      </c>
      <c r="B101" t="s">
        <v>76</v>
      </c>
      <c r="C101" t="s">
        <v>7</v>
      </c>
      <c r="D101">
        <v>0</v>
      </c>
      <c r="E101">
        <f>$E$100</f>
        <v>4</v>
      </c>
      <c r="F101">
        <f t="shared" ref="F101:F103" si="21">E101*D101</f>
        <v>0</v>
      </c>
      <c r="G101">
        <f>F101*[4]Rate!$B$3</f>
        <v>0</v>
      </c>
    </row>
    <row r="102" spans="1:7">
      <c r="A102" t="s">
        <v>83</v>
      </c>
      <c r="B102" t="s">
        <v>76</v>
      </c>
      <c r="C102" t="s">
        <v>5</v>
      </c>
      <c r="D102">
        <v>1</v>
      </c>
      <c r="E102">
        <f t="shared" ref="E102:E104" si="22">$E$100</f>
        <v>4</v>
      </c>
      <c r="F102">
        <f t="shared" si="21"/>
        <v>4</v>
      </c>
      <c r="G102">
        <f>F102*[4]Rate!$B$4</f>
        <v>100</v>
      </c>
    </row>
    <row r="103" spans="1:7">
      <c r="A103" t="s">
        <v>83</v>
      </c>
      <c r="B103" t="s">
        <v>76</v>
      </c>
      <c r="C103" t="s">
        <v>4</v>
      </c>
      <c r="D103">
        <v>0</v>
      </c>
      <c r="E103">
        <f t="shared" si="22"/>
        <v>4</v>
      </c>
      <c r="F103">
        <f t="shared" si="21"/>
        <v>0</v>
      </c>
      <c r="G103">
        <f>F103*[4]Rate!$B$5</f>
        <v>0</v>
      </c>
    </row>
    <row r="104" spans="1:7">
      <c r="A104" t="s">
        <v>83</v>
      </c>
      <c r="B104" t="s">
        <v>76</v>
      </c>
      <c r="C104" t="s">
        <v>6</v>
      </c>
      <c r="D104">
        <f>SUM(D100:D103)</f>
        <v>1</v>
      </c>
      <c r="E104">
        <f t="shared" si="22"/>
        <v>4</v>
      </c>
      <c r="F104">
        <f>SUM(F100:F103)</f>
        <v>4</v>
      </c>
      <c r="G104">
        <f>SUM(G100:G103)</f>
        <v>100</v>
      </c>
    </row>
    <row r="105" spans="1:7">
      <c r="A105" t="s">
        <v>83</v>
      </c>
    </row>
    <row r="106" spans="1:7">
      <c r="A106" t="s">
        <v>83</v>
      </c>
      <c r="B106" t="s">
        <v>77</v>
      </c>
      <c r="C106" t="s">
        <v>3</v>
      </c>
      <c r="D106">
        <v>0.5</v>
      </c>
      <c r="E106">
        <f t="shared" ref="E106:E110" si="23">$E$100</f>
        <v>4</v>
      </c>
      <c r="F106">
        <f>E106*D106</f>
        <v>2</v>
      </c>
      <c r="G106">
        <f>F106*[4]Rate!$B$2</f>
        <v>60</v>
      </c>
    </row>
    <row r="107" spans="1:7">
      <c r="A107" t="s">
        <v>83</v>
      </c>
      <c r="B107" t="s">
        <v>77</v>
      </c>
      <c r="C107" t="s">
        <v>7</v>
      </c>
      <c r="D107">
        <v>0</v>
      </c>
      <c r="E107">
        <f t="shared" si="23"/>
        <v>4</v>
      </c>
      <c r="F107">
        <f t="shared" ref="F107:F109" si="24">E107*D107</f>
        <v>0</v>
      </c>
      <c r="G107">
        <f>F107*[4]Rate!$B$3</f>
        <v>0</v>
      </c>
    </row>
    <row r="108" spans="1:7">
      <c r="A108" t="s">
        <v>83</v>
      </c>
      <c r="B108" t="s">
        <v>77</v>
      </c>
      <c r="C108" t="s">
        <v>5</v>
      </c>
      <c r="D108">
        <v>0</v>
      </c>
      <c r="E108">
        <f t="shared" si="23"/>
        <v>4</v>
      </c>
      <c r="F108">
        <f t="shared" si="24"/>
        <v>0</v>
      </c>
      <c r="G108">
        <f>F108*[4]Rate!$B$4</f>
        <v>0</v>
      </c>
    </row>
    <row r="109" spans="1:7">
      <c r="A109" t="s">
        <v>83</v>
      </c>
      <c r="B109" t="s">
        <v>77</v>
      </c>
      <c r="C109" t="s">
        <v>4</v>
      </c>
      <c r="D109">
        <v>0.5</v>
      </c>
      <c r="E109">
        <f t="shared" si="23"/>
        <v>4</v>
      </c>
      <c r="F109">
        <f t="shared" si="24"/>
        <v>2</v>
      </c>
      <c r="G109">
        <f>F109*[4]Rate!$B$5</f>
        <v>66</v>
      </c>
    </row>
    <row r="110" spans="1:7">
      <c r="A110" t="s">
        <v>83</v>
      </c>
      <c r="B110" t="s">
        <v>77</v>
      </c>
      <c r="C110" t="s">
        <v>6</v>
      </c>
      <c r="D110">
        <f>SUM(D106:D109)</f>
        <v>1</v>
      </c>
      <c r="E110">
        <f t="shared" si="23"/>
        <v>4</v>
      </c>
      <c r="F110">
        <f>SUM(F106:F109)</f>
        <v>4</v>
      </c>
      <c r="G110">
        <f>SUM(G106:G109)</f>
        <v>126</v>
      </c>
    </row>
    <row r="112" spans="1:7">
      <c r="A112" t="s">
        <v>105</v>
      </c>
      <c r="B112" t="s">
        <v>76</v>
      </c>
      <c r="C112" t="s">
        <v>3</v>
      </c>
      <c r="D112">
        <v>0.5</v>
      </c>
      <c r="E112" s="76">
        <f>'Efforts with Complexity'!$K$19</f>
        <v>12</v>
      </c>
      <c r="F112">
        <f>E112*D112</f>
        <v>6</v>
      </c>
      <c r="G112">
        <f>F112*[4]Rate!$B$2</f>
        <v>180</v>
      </c>
    </row>
    <row r="113" spans="1:9">
      <c r="A113" t="s">
        <v>105</v>
      </c>
      <c r="B113" t="s">
        <v>76</v>
      </c>
      <c r="C113" t="s">
        <v>7</v>
      </c>
      <c r="D113">
        <v>0</v>
      </c>
      <c r="E113" s="76">
        <f>'Efforts with Complexity'!$K$19</f>
        <v>12</v>
      </c>
      <c r="F113">
        <f>E113*D113</f>
        <v>0</v>
      </c>
      <c r="G113">
        <f>F113*[4]Rate!$B$3</f>
        <v>0</v>
      </c>
    </row>
    <row r="114" spans="1:9">
      <c r="A114" t="s">
        <v>105</v>
      </c>
      <c r="B114" t="s">
        <v>76</v>
      </c>
      <c r="C114" t="s">
        <v>5</v>
      </c>
      <c r="D114">
        <v>4</v>
      </c>
      <c r="E114" s="76">
        <f>'Efforts with Complexity'!$K$19</f>
        <v>12</v>
      </c>
      <c r="F114">
        <f>E114*D114</f>
        <v>48</v>
      </c>
      <c r="G114">
        <f>F114*[4]Rate!$B$4</f>
        <v>1200</v>
      </c>
    </row>
    <row r="115" spans="1:9">
      <c r="A115" t="s">
        <v>105</v>
      </c>
      <c r="B115" t="s">
        <v>76</v>
      </c>
      <c r="C115" t="s">
        <v>4</v>
      </c>
      <c r="D115">
        <v>0</v>
      </c>
      <c r="E115" s="76">
        <f>'Efforts with Complexity'!$K$19</f>
        <v>12</v>
      </c>
      <c r="F115">
        <f>E115*D115</f>
        <v>0</v>
      </c>
      <c r="G115">
        <f>F115*[4]Rate!$B$5</f>
        <v>0</v>
      </c>
    </row>
    <row r="116" spans="1:9">
      <c r="A116" t="s">
        <v>105</v>
      </c>
      <c r="B116" t="s">
        <v>76</v>
      </c>
      <c r="C116" t="s">
        <v>6</v>
      </c>
      <c r="D116">
        <f>SUM(D112:D115)</f>
        <v>4.5</v>
      </c>
      <c r="E116" s="76">
        <f>'Efforts with Complexity'!$K$19</f>
        <v>12</v>
      </c>
      <c r="F116">
        <f>SUM(F112:F115)</f>
        <v>54</v>
      </c>
      <c r="G116">
        <f>SUM(G112:G115)</f>
        <v>1380</v>
      </c>
    </row>
    <row r="117" spans="1:9">
      <c r="A117" t="s">
        <v>105</v>
      </c>
    </row>
    <row r="118" spans="1:9">
      <c r="A118" t="s">
        <v>105</v>
      </c>
      <c r="B118" t="s">
        <v>77</v>
      </c>
      <c r="C118" t="s">
        <v>3</v>
      </c>
      <c r="D118">
        <v>0.5</v>
      </c>
      <c r="E118" s="76">
        <f>'Efforts with Complexity'!$K$19</f>
        <v>12</v>
      </c>
      <c r="F118">
        <f>E118*D118</f>
        <v>6</v>
      </c>
      <c r="G118">
        <f>F118*[4]Rate!$B$2</f>
        <v>180</v>
      </c>
    </row>
    <row r="119" spans="1:9">
      <c r="A119" t="s">
        <v>105</v>
      </c>
      <c r="B119" t="s">
        <v>77</v>
      </c>
      <c r="C119" t="s">
        <v>7</v>
      </c>
      <c r="D119">
        <v>0.5</v>
      </c>
      <c r="E119" s="76">
        <f>'Efforts with Complexity'!$K$19</f>
        <v>12</v>
      </c>
      <c r="F119">
        <f>E119*D119</f>
        <v>6</v>
      </c>
      <c r="G119">
        <f>F119*[4]Rate!$B$3</f>
        <v>240</v>
      </c>
    </row>
    <row r="120" spans="1:9">
      <c r="A120" t="s">
        <v>105</v>
      </c>
      <c r="B120" t="s">
        <v>77</v>
      </c>
      <c r="C120" t="s">
        <v>5</v>
      </c>
      <c r="D120">
        <v>0</v>
      </c>
      <c r="E120" s="76">
        <f>'Efforts with Complexity'!$K$19</f>
        <v>12</v>
      </c>
      <c r="F120">
        <f>E120*D120</f>
        <v>0</v>
      </c>
      <c r="G120">
        <f>F120*[4]Rate!$B$4</f>
        <v>0</v>
      </c>
    </row>
    <row r="121" spans="1:9">
      <c r="A121" t="s">
        <v>105</v>
      </c>
      <c r="B121" t="s">
        <v>77</v>
      </c>
      <c r="C121" t="s">
        <v>4</v>
      </c>
      <c r="D121">
        <v>1.5</v>
      </c>
      <c r="E121" s="76">
        <f>'Efforts with Complexity'!$K$19</f>
        <v>12</v>
      </c>
      <c r="F121">
        <f>E121*D121</f>
        <v>18</v>
      </c>
      <c r="G121">
        <f>F121*[4]Rate!$B$5</f>
        <v>594</v>
      </c>
    </row>
    <row r="122" spans="1:9">
      <c r="A122" t="s">
        <v>105</v>
      </c>
      <c r="B122" t="s">
        <v>77</v>
      </c>
      <c r="C122" t="s">
        <v>6</v>
      </c>
      <c r="D122">
        <f>SUM(D118:D121)</f>
        <v>2.5</v>
      </c>
      <c r="E122" s="76">
        <f>'Efforts with Complexity'!$K$19</f>
        <v>12</v>
      </c>
      <c r="F122">
        <f>SUM(F118:F121)</f>
        <v>30</v>
      </c>
      <c r="G122">
        <f>SUM(G118:G121)</f>
        <v>1014</v>
      </c>
    </row>
    <row r="124" spans="1:9">
      <c r="A124" t="s">
        <v>106</v>
      </c>
      <c r="B124" t="s">
        <v>76</v>
      </c>
      <c r="C124" t="s">
        <v>3</v>
      </c>
      <c r="D124">
        <v>1</v>
      </c>
      <c r="E124">
        <f>'Efforts with Complexity'!$K$20</f>
        <v>6</v>
      </c>
      <c r="F124">
        <f>E124*D124</f>
        <v>6</v>
      </c>
      <c r="G124">
        <f>F124*[4]Rate!$B$2</f>
        <v>180</v>
      </c>
      <c r="I124" t="s">
        <v>109</v>
      </c>
    </row>
    <row r="125" spans="1:9">
      <c r="A125" t="s">
        <v>106</v>
      </c>
      <c r="B125" t="s">
        <v>76</v>
      </c>
      <c r="C125" t="s">
        <v>7</v>
      </c>
      <c r="D125">
        <v>0</v>
      </c>
      <c r="E125">
        <f>'Efforts with Complexity'!$K$20</f>
        <v>6</v>
      </c>
      <c r="F125">
        <f t="shared" ref="F125:F127" si="25">E125*D125</f>
        <v>0</v>
      </c>
      <c r="G125">
        <f>F125*[4]Rate!$B$3</f>
        <v>0</v>
      </c>
    </row>
    <row r="126" spans="1:9">
      <c r="A126" t="s">
        <v>106</v>
      </c>
      <c r="B126" t="s">
        <v>76</v>
      </c>
      <c r="C126" t="s">
        <v>5</v>
      </c>
      <c r="D126">
        <v>0.5</v>
      </c>
      <c r="E126">
        <f>'Efforts with Complexity'!$K$20</f>
        <v>6</v>
      </c>
      <c r="F126">
        <f t="shared" si="25"/>
        <v>3</v>
      </c>
      <c r="G126">
        <f>F126*[4]Rate!$B$4</f>
        <v>75</v>
      </c>
    </row>
    <row r="127" spans="1:9">
      <c r="A127" t="s">
        <v>106</v>
      </c>
      <c r="B127" t="s">
        <v>76</v>
      </c>
      <c r="C127" t="s">
        <v>4</v>
      </c>
      <c r="D127">
        <v>0</v>
      </c>
      <c r="E127">
        <f>'Efforts with Complexity'!$K$20</f>
        <v>6</v>
      </c>
      <c r="F127">
        <f t="shared" si="25"/>
        <v>0</v>
      </c>
      <c r="G127">
        <f>F127*[4]Rate!$B$5</f>
        <v>0</v>
      </c>
    </row>
    <row r="128" spans="1:9">
      <c r="A128" t="s">
        <v>106</v>
      </c>
      <c r="B128" t="s">
        <v>76</v>
      </c>
      <c r="C128" t="s">
        <v>6</v>
      </c>
      <c r="D128">
        <f>SUM(D124:D127)</f>
        <v>1.5</v>
      </c>
      <c r="E128">
        <f>'Efforts with Complexity'!$K$20</f>
        <v>6</v>
      </c>
      <c r="F128">
        <f>SUM(F124:F127)</f>
        <v>9</v>
      </c>
      <c r="G128">
        <f>SUM(G124:G127)</f>
        <v>255</v>
      </c>
    </row>
    <row r="129" spans="1:9">
      <c r="A129" t="s">
        <v>106</v>
      </c>
    </row>
    <row r="130" spans="1:9">
      <c r="A130" t="s">
        <v>106</v>
      </c>
      <c r="B130" t="s">
        <v>77</v>
      </c>
      <c r="C130" t="s">
        <v>3</v>
      </c>
      <c r="D130">
        <v>1</v>
      </c>
      <c r="E130">
        <f>'Efforts with Complexity'!$K$20</f>
        <v>6</v>
      </c>
      <c r="F130">
        <f>E130*D130</f>
        <v>6</v>
      </c>
      <c r="G130">
        <f>F130*[4]Rate!$B$2</f>
        <v>180</v>
      </c>
      <c r="I130" t="s">
        <v>109</v>
      </c>
    </row>
    <row r="131" spans="1:9">
      <c r="A131" t="s">
        <v>106</v>
      </c>
      <c r="B131" t="s">
        <v>77</v>
      </c>
      <c r="C131" t="s">
        <v>7</v>
      </c>
      <c r="D131">
        <v>1</v>
      </c>
      <c r="E131">
        <f>'Efforts with Complexity'!$K$20</f>
        <v>6</v>
      </c>
      <c r="F131">
        <f t="shared" ref="F131:F133" si="26">E131*D131</f>
        <v>6</v>
      </c>
      <c r="G131">
        <f>F131*[4]Rate!$B$3</f>
        <v>240</v>
      </c>
      <c r="I131" t="s">
        <v>109</v>
      </c>
    </row>
    <row r="132" spans="1:9">
      <c r="A132" t="s">
        <v>106</v>
      </c>
      <c r="B132" t="s">
        <v>77</v>
      </c>
      <c r="C132" t="s">
        <v>5</v>
      </c>
      <c r="D132">
        <v>0</v>
      </c>
      <c r="E132">
        <f>'Efforts with Complexity'!$K$20</f>
        <v>6</v>
      </c>
      <c r="F132">
        <f t="shared" si="26"/>
        <v>0</v>
      </c>
      <c r="G132">
        <f>F132*[4]Rate!$B$4</f>
        <v>0</v>
      </c>
    </row>
    <row r="133" spans="1:9">
      <c r="A133" t="s">
        <v>106</v>
      </c>
      <c r="B133" t="s">
        <v>77</v>
      </c>
      <c r="C133" t="s">
        <v>4</v>
      </c>
      <c r="D133">
        <v>0.5</v>
      </c>
      <c r="E133">
        <f>'Efforts with Complexity'!$K$20</f>
        <v>6</v>
      </c>
      <c r="F133">
        <f t="shared" si="26"/>
        <v>3</v>
      </c>
      <c r="G133">
        <f>F133*[4]Rate!$B$5</f>
        <v>99</v>
      </c>
    </row>
    <row r="134" spans="1:9">
      <c r="A134" t="s">
        <v>106</v>
      </c>
      <c r="B134" t="s">
        <v>77</v>
      </c>
      <c r="C134" t="s">
        <v>6</v>
      </c>
      <c r="D134">
        <f>SUM(D130:D133)</f>
        <v>2.5</v>
      </c>
      <c r="E134">
        <f>'Efforts with Complexity'!$K$20</f>
        <v>6</v>
      </c>
      <c r="F134">
        <f>SUM(F130:F133)</f>
        <v>15</v>
      </c>
      <c r="G134">
        <f>SUM(G130:G133)</f>
        <v>519</v>
      </c>
    </row>
    <row r="136" spans="1:9">
      <c r="A136" t="s">
        <v>107</v>
      </c>
      <c r="B136" t="s">
        <v>76</v>
      </c>
      <c r="C136" t="s">
        <v>3</v>
      </c>
      <c r="D136">
        <v>1</v>
      </c>
      <c r="E136" s="76">
        <f>'Efforts with Complexity'!$K$21</f>
        <v>2</v>
      </c>
      <c r="F136">
        <f>E136*D136</f>
        <v>2</v>
      </c>
      <c r="G136">
        <f>F136*[4]Rate!$B$2</f>
        <v>60</v>
      </c>
    </row>
    <row r="137" spans="1:9">
      <c r="A137" t="s">
        <v>107</v>
      </c>
      <c r="B137" t="s">
        <v>76</v>
      </c>
      <c r="C137" t="s">
        <v>7</v>
      </c>
      <c r="D137">
        <v>0</v>
      </c>
      <c r="E137" s="76">
        <f>'Efforts with Complexity'!$K$21</f>
        <v>2</v>
      </c>
      <c r="F137">
        <f t="shared" ref="F137:F139" si="27">E137*D137</f>
        <v>0</v>
      </c>
      <c r="G137">
        <f>F137*[4]Rate!$B$3</f>
        <v>0</v>
      </c>
    </row>
    <row r="138" spans="1:9">
      <c r="A138" t="s">
        <v>107</v>
      </c>
      <c r="B138" t="s">
        <v>76</v>
      </c>
      <c r="C138" t="s">
        <v>5</v>
      </c>
      <c r="D138">
        <v>6</v>
      </c>
      <c r="E138" s="76">
        <f>'Efforts with Complexity'!$K$21</f>
        <v>2</v>
      </c>
      <c r="F138">
        <f t="shared" si="27"/>
        <v>12</v>
      </c>
      <c r="G138">
        <f>F138*[4]Rate!$B$4</f>
        <v>300</v>
      </c>
    </row>
    <row r="139" spans="1:9">
      <c r="A139" t="s">
        <v>107</v>
      </c>
      <c r="B139" t="s">
        <v>76</v>
      </c>
      <c r="C139" t="s">
        <v>4</v>
      </c>
      <c r="D139">
        <v>0</v>
      </c>
      <c r="E139" s="76">
        <f>'Efforts with Complexity'!$K$21</f>
        <v>2</v>
      </c>
      <c r="F139">
        <f t="shared" si="27"/>
        <v>0</v>
      </c>
      <c r="G139">
        <f>F139*[4]Rate!$B$5</f>
        <v>0</v>
      </c>
    </row>
    <row r="140" spans="1:9">
      <c r="A140" t="s">
        <v>107</v>
      </c>
      <c r="B140" t="s">
        <v>76</v>
      </c>
      <c r="C140" t="s">
        <v>6</v>
      </c>
      <c r="D140">
        <f>SUM(D136:D139)</f>
        <v>7</v>
      </c>
      <c r="E140" s="76">
        <f>'Efforts with Complexity'!$K$21</f>
        <v>2</v>
      </c>
      <c r="F140">
        <f>SUM(F136:F139)</f>
        <v>14</v>
      </c>
      <c r="G140">
        <f>SUM(G136:G139)</f>
        <v>360</v>
      </c>
    </row>
    <row r="141" spans="1:9">
      <c r="A141" t="s">
        <v>107</v>
      </c>
    </row>
    <row r="142" spans="1:9">
      <c r="A142" t="s">
        <v>107</v>
      </c>
      <c r="B142" t="s">
        <v>77</v>
      </c>
      <c r="C142" t="s">
        <v>3</v>
      </c>
      <c r="D142">
        <v>1</v>
      </c>
      <c r="E142" s="76">
        <f>'Efforts with Complexity'!$K$21</f>
        <v>2</v>
      </c>
      <c r="F142">
        <f>E142*D142</f>
        <v>2</v>
      </c>
      <c r="G142">
        <f>F142*[4]Rate!$B$2</f>
        <v>60</v>
      </c>
    </row>
    <row r="143" spans="1:9">
      <c r="A143" t="s">
        <v>107</v>
      </c>
      <c r="B143" t="s">
        <v>77</v>
      </c>
      <c r="C143" t="s">
        <v>7</v>
      </c>
      <c r="D143">
        <v>0.5</v>
      </c>
      <c r="E143" s="76">
        <f>'Efforts with Complexity'!$K$21</f>
        <v>2</v>
      </c>
      <c r="F143">
        <f t="shared" ref="F143:F145" si="28">E143*D143</f>
        <v>1</v>
      </c>
      <c r="G143">
        <f>F143*[4]Rate!$B$3</f>
        <v>40</v>
      </c>
    </row>
    <row r="144" spans="1:9">
      <c r="A144" t="s">
        <v>107</v>
      </c>
      <c r="B144" t="s">
        <v>77</v>
      </c>
      <c r="C144" t="s">
        <v>5</v>
      </c>
      <c r="D144">
        <v>0</v>
      </c>
      <c r="E144" s="76">
        <f>'Efforts with Complexity'!$K$21</f>
        <v>2</v>
      </c>
      <c r="F144">
        <f t="shared" si="28"/>
        <v>0</v>
      </c>
      <c r="G144">
        <f>F144*[4]Rate!$B$4</f>
        <v>0</v>
      </c>
    </row>
    <row r="145" spans="1:7">
      <c r="A145" t="s">
        <v>107</v>
      </c>
      <c r="B145" t="s">
        <v>77</v>
      </c>
      <c r="C145" t="s">
        <v>4</v>
      </c>
      <c r="D145">
        <v>1.5</v>
      </c>
      <c r="E145" s="76">
        <f>'Efforts with Complexity'!$K$21</f>
        <v>2</v>
      </c>
      <c r="F145">
        <f t="shared" si="28"/>
        <v>3</v>
      </c>
      <c r="G145">
        <f>F145*[4]Rate!$B$5</f>
        <v>99</v>
      </c>
    </row>
    <row r="146" spans="1:7">
      <c r="A146" t="s">
        <v>107</v>
      </c>
      <c r="B146" t="s">
        <v>77</v>
      </c>
      <c r="C146" t="s">
        <v>6</v>
      </c>
      <c r="D146">
        <f>SUM(D142:D145)</f>
        <v>3</v>
      </c>
      <c r="E146" s="76">
        <f>'Efforts with Complexity'!$K$21</f>
        <v>2</v>
      </c>
      <c r="F146">
        <f>SUM(F142:F145)</f>
        <v>6</v>
      </c>
      <c r="G146">
        <f>SUM(G142:G145)</f>
        <v>199</v>
      </c>
    </row>
    <row r="148" spans="1:7">
      <c r="A148" t="s">
        <v>84</v>
      </c>
      <c r="B148" t="s">
        <v>76</v>
      </c>
      <c r="C148" t="s">
        <v>3</v>
      </c>
      <c r="F148">
        <f t="shared" ref="F148:G152" si="29">F28+F40+F52+F64+F76+F88+F100</f>
        <v>81</v>
      </c>
      <c r="G148">
        <f t="shared" si="29"/>
        <v>2430</v>
      </c>
    </row>
    <row r="149" spans="1:7">
      <c r="A149" t="s">
        <v>84</v>
      </c>
      <c r="B149" t="s">
        <v>76</v>
      </c>
      <c r="C149" t="s">
        <v>7</v>
      </c>
      <c r="F149">
        <f t="shared" si="29"/>
        <v>0</v>
      </c>
      <c r="G149">
        <f t="shared" si="29"/>
        <v>0</v>
      </c>
    </row>
    <row r="150" spans="1:7">
      <c r="A150" t="s">
        <v>84</v>
      </c>
      <c r="B150" t="s">
        <v>76</v>
      </c>
      <c r="C150" t="s">
        <v>5</v>
      </c>
      <c r="F150">
        <f t="shared" si="29"/>
        <v>657.5</v>
      </c>
      <c r="G150">
        <f t="shared" si="29"/>
        <v>16437.5</v>
      </c>
    </row>
    <row r="151" spans="1:7">
      <c r="A151" t="s">
        <v>84</v>
      </c>
      <c r="B151" t="s">
        <v>76</v>
      </c>
      <c r="C151" t="s">
        <v>4</v>
      </c>
      <c r="F151">
        <f t="shared" si="29"/>
        <v>0</v>
      </c>
      <c r="G151">
        <f t="shared" si="29"/>
        <v>0</v>
      </c>
    </row>
    <row r="152" spans="1:7">
      <c r="A152" t="s">
        <v>84</v>
      </c>
      <c r="B152" t="s">
        <v>76</v>
      </c>
      <c r="C152" t="s">
        <v>6</v>
      </c>
      <c r="F152">
        <f t="shared" si="29"/>
        <v>738.5</v>
      </c>
      <c r="G152">
        <f t="shared" si="29"/>
        <v>18867.5</v>
      </c>
    </row>
    <row r="153" spans="1:7">
      <c r="A153" t="s">
        <v>84</v>
      </c>
      <c r="C153" t="s">
        <v>85</v>
      </c>
      <c r="F153">
        <f>SUM(F148:F151)</f>
        <v>738.5</v>
      </c>
      <c r="G153">
        <f>SUM(G148:G151)</f>
        <v>18867.5</v>
      </c>
    </row>
    <row r="154" spans="1:7">
      <c r="A154" t="s">
        <v>84</v>
      </c>
      <c r="B154" t="s">
        <v>77</v>
      </c>
      <c r="C154" t="s">
        <v>3</v>
      </c>
      <c r="F154">
        <f t="shared" ref="F154:G158" si="30">F34+F46+F58+F70+F82+F94+F106</f>
        <v>111</v>
      </c>
      <c r="G154">
        <f t="shared" si="30"/>
        <v>3330</v>
      </c>
    </row>
    <row r="155" spans="1:7">
      <c r="A155" t="s">
        <v>84</v>
      </c>
      <c r="B155" t="s">
        <v>77</v>
      </c>
      <c r="C155" t="s">
        <v>7</v>
      </c>
      <c r="F155">
        <f t="shared" si="30"/>
        <v>64</v>
      </c>
      <c r="G155">
        <f t="shared" si="30"/>
        <v>2560</v>
      </c>
    </row>
    <row r="156" spans="1:7">
      <c r="A156" t="s">
        <v>84</v>
      </c>
      <c r="B156" t="s">
        <v>77</v>
      </c>
      <c r="C156" t="s">
        <v>5</v>
      </c>
      <c r="F156">
        <f t="shared" si="30"/>
        <v>0</v>
      </c>
      <c r="G156">
        <f t="shared" si="30"/>
        <v>0</v>
      </c>
    </row>
    <row r="157" spans="1:7">
      <c r="A157" t="s">
        <v>84</v>
      </c>
      <c r="B157" t="s">
        <v>77</v>
      </c>
      <c r="C157" t="s">
        <v>4</v>
      </c>
      <c r="F157">
        <f t="shared" si="30"/>
        <v>464.5</v>
      </c>
      <c r="G157">
        <f t="shared" si="30"/>
        <v>15328.5</v>
      </c>
    </row>
    <row r="158" spans="1:7">
      <c r="A158" t="s">
        <v>84</v>
      </c>
      <c r="B158" t="s">
        <v>77</v>
      </c>
      <c r="C158" t="s">
        <v>6</v>
      </c>
      <c r="F158">
        <f t="shared" si="30"/>
        <v>639.5</v>
      </c>
      <c r="G158">
        <f t="shared" si="30"/>
        <v>21218.5</v>
      </c>
    </row>
    <row r="159" spans="1:7">
      <c r="A159" t="s">
        <v>84</v>
      </c>
      <c r="C159" t="s">
        <v>85</v>
      </c>
      <c r="F159">
        <f>SUM(F154:F157)</f>
        <v>639.5</v>
      </c>
      <c r="G159">
        <f>SUM(G154:G157)</f>
        <v>21218.5</v>
      </c>
    </row>
    <row r="161" spans="1:10">
      <c r="A161" t="s">
        <v>86</v>
      </c>
      <c r="B161" t="s">
        <v>10</v>
      </c>
      <c r="C161" t="s">
        <v>3</v>
      </c>
      <c r="F161">
        <f t="shared" ref="F161:G165" si="31">F28+F34+F40+F46+F52+F58+F64+F70+F76+F82+F88+F94+F100+F106</f>
        <v>192</v>
      </c>
      <c r="G161">
        <f t="shared" si="31"/>
        <v>5760</v>
      </c>
      <c r="H161">
        <f>F161*1.5</f>
        <v>288</v>
      </c>
      <c r="J161">
        <f>F161*0.5</f>
        <v>96</v>
      </c>
    </row>
    <row r="162" spans="1:10">
      <c r="A162" t="s">
        <v>86</v>
      </c>
      <c r="B162" t="s">
        <v>10</v>
      </c>
      <c r="C162" t="s">
        <v>7</v>
      </c>
      <c r="F162">
        <f t="shared" si="31"/>
        <v>64</v>
      </c>
      <c r="G162">
        <f t="shared" si="31"/>
        <v>2560</v>
      </c>
      <c r="H162">
        <f t="shared" ref="H162:H166" si="32">F162*1.5</f>
        <v>96</v>
      </c>
      <c r="J162">
        <f t="shared" ref="J162:J166" si="33">F162*0.5</f>
        <v>32</v>
      </c>
    </row>
    <row r="163" spans="1:10">
      <c r="A163" t="s">
        <v>86</v>
      </c>
      <c r="B163" t="s">
        <v>10</v>
      </c>
      <c r="C163" t="s">
        <v>5</v>
      </c>
      <c r="F163">
        <f t="shared" si="31"/>
        <v>657.5</v>
      </c>
      <c r="G163">
        <f t="shared" si="31"/>
        <v>16437.5</v>
      </c>
      <c r="H163">
        <f t="shared" si="32"/>
        <v>986.25</v>
      </c>
      <c r="J163">
        <f t="shared" si="33"/>
        <v>328.75</v>
      </c>
    </row>
    <row r="164" spans="1:10">
      <c r="A164" t="s">
        <v>86</v>
      </c>
      <c r="B164" t="s">
        <v>10</v>
      </c>
      <c r="C164" t="s">
        <v>4</v>
      </c>
      <c r="F164">
        <f t="shared" si="31"/>
        <v>464.5</v>
      </c>
      <c r="G164">
        <f t="shared" si="31"/>
        <v>15328.5</v>
      </c>
      <c r="H164">
        <f t="shared" si="32"/>
        <v>696.75</v>
      </c>
      <c r="J164">
        <f t="shared" si="33"/>
        <v>232.25</v>
      </c>
    </row>
    <row r="165" spans="1:10">
      <c r="A165" t="s">
        <v>86</v>
      </c>
      <c r="B165" t="s">
        <v>10</v>
      </c>
      <c r="C165" t="s">
        <v>6</v>
      </c>
      <c r="F165">
        <f t="shared" si="31"/>
        <v>1378</v>
      </c>
      <c r="G165">
        <f t="shared" si="31"/>
        <v>40086</v>
      </c>
      <c r="H165">
        <f t="shared" si="32"/>
        <v>2067</v>
      </c>
      <c r="J165">
        <f t="shared" si="33"/>
        <v>689</v>
      </c>
    </row>
    <row r="166" spans="1:10">
      <c r="A166" t="s">
        <v>86</v>
      </c>
      <c r="B166" t="s">
        <v>10</v>
      </c>
      <c r="C166" t="s">
        <v>85</v>
      </c>
      <c r="F166">
        <f>SUM(F161:F164)</f>
        <v>1378</v>
      </c>
      <c r="G166">
        <f>SUM(G161:G164)</f>
        <v>40086</v>
      </c>
      <c r="H166">
        <f t="shared" si="32"/>
        <v>2067</v>
      </c>
      <c r="J166">
        <f t="shared" si="33"/>
        <v>689</v>
      </c>
    </row>
    <row r="168" spans="1:10">
      <c r="F168" t="s">
        <v>95</v>
      </c>
      <c r="H168" t="s">
        <v>75</v>
      </c>
    </row>
    <row r="169" spans="1:10">
      <c r="C169" t="s">
        <v>3</v>
      </c>
      <c r="F169">
        <f>F40+F46+F52+F58+F64+F70+F76+F82+F88+F94+F100+F106</f>
        <v>142</v>
      </c>
      <c r="H169">
        <f>F161-F169</f>
        <v>50</v>
      </c>
    </row>
    <row r="170" spans="1:10">
      <c r="C170" t="s">
        <v>7</v>
      </c>
      <c r="F170">
        <f>F41+F47+F53+F59+F65+F71+F77+F83+F89+F95+F101+F107</f>
        <v>39</v>
      </c>
      <c r="H170">
        <f>F162-F170</f>
        <v>25</v>
      </c>
    </row>
    <row r="171" spans="1:10">
      <c r="C171" t="s">
        <v>5</v>
      </c>
      <c r="F171">
        <f>F42+F48+F54+F60+F66+F72+F78+F84+F90+F96+F102+F108</f>
        <v>457.5</v>
      </c>
      <c r="H171">
        <f t="shared" ref="H171:H172" si="34">F163-F171</f>
        <v>200</v>
      </c>
    </row>
    <row r="172" spans="1:10">
      <c r="C172" t="s">
        <v>4</v>
      </c>
      <c r="F172">
        <f>F43+F49+F55+F61+F67+F73+F79+F85+F91+F97+F103+F109</f>
        <v>164.5</v>
      </c>
      <c r="H172">
        <f t="shared" si="34"/>
        <v>300</v>
      </c>
    </row>
    <row r="173" spans="1:10">
      <c r="C17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73"/>
  <sheetViews>
    <sheetView workbookViewId="0">
      <selection activeCell="G10" sqref="G10"/>
    </sheetView>
  </sheetViews>
  <sheetFormatPr defaultRowHeight="15"/>
  <cols>
    <col min="1" max="1" width="20.7109375" customWidth="1"/>
    <col min="2" max="2" width="11.42578125" bestFit="1" customWidth="1"/>
    <col min="3" max="3" width="16.85546875" customWidth="1"/>
    <col min="4" max="4" width="11.5703125" bestFit="1" customWidth="1"/>
    <col min="5" max="5" width="11.42578125" bestFit="1" customWidth="1"/>
  </cols>
  <sheetData>
    <row r="1" spans="1:8">
      <c r="E1" t="s">
        <v>116</v>
      </c>
      <c r="H1">
        <f>SUM('Efforts with Complexity'!N17:N21)/SUM('Efforts with Complexity'!B17:B21)</f>
        <v>1.8148148148148149</v>
      </c>
    </row>
    <row r="3" spans="1:8">
      <c r="A3" s="86" t="s">
        <v>0</v>
      </c>
      <c r="B3" s="86" t="s">
        <v>2</v>
      </c>
      <c r="C3" s="86" t="s">
        <v>1</v>
      </c>
      <c r="D3" s="86" t="s">
        <v>72</v>
      </c>
      <c r="E3" s="86" t="s">
        <v>73</v>
      </c>
      <c r="F3" s="86" t="s">
        <v>74</v>
      </c>
      <c r="G3" s="86" t="s">
        <v>9</v>
      </c>
    </row>
    <row r="4" spans="1:8">
      <c r="A4" t="s">
        <v>92</v>
      </c>
      <c r="B4" t="s">
        <v>76</v>
      </c>
      <c r="C4" t="s">
        <v>3</v>
      </c>
      <c r="D4">
        <v>64</v>
      </c>
      <c r="E4">
        <f>'Efforts with Complexity'!$E$10</f>
        <v>1</v>
      </c>
      <c r="F4">
        <f>ROUND(E4*D4*$H$1,0)</f>
        <v>116</v>
      </c>
      <c r="G4">
        <f>F4*[4]Rate!$B$2</f>
        <v>3480</v>
      </c>
    </row>
    <row r="5" spans="1:8">
      <c r="A5" t="s">
        <v>92</v>
      </c>
      <c r="B5" t="s">
        <v>76</v>
      </c>
      <c r="C5" t="s">
        <v>7</v>
      </c>
      <c r="D5">
        <v>0</v>
      </c>
      <c r="E5">
        <f>'Efforts with Complexity'!$E$10</f>
        <v>1</v>
      </c>
      <c r="F5">
        <f t="shared" ref="F5:F7" si="0">ROUND(E5*D5*$H$1,0)</f>
        <v>0</v>
      </c>
      <c r="G5">
        <f>F5*[4]Rate!$B$3</f>
        <v>0</v>
      </c>
    </row>
    <row r="6" spans="1:8">
      <c r="A6" t="s">
        <v>92</v>
      </c>
      <c r="B6" t="s">
        <v>76</v>
      </c>
      <c r="C6" t="s">
        <v>5</v>
      </c>
      <c r="D6">
        <v>0</v>
      </c>
      <c r="E6">
        <f>'Efforts with Complexity'!$E$10</f>
        <v>1</v>
      </c>
      <c r="F6">
        <f t="shared" si="0"/>
        <v>0</v>
      </c>
      <c r="G6">
        <f>F6*[4]Rate!$B$4</f>
        <v>0</v>
      </c>
    </row>
    <row r="7" spans="1:8">
      <c r="A7" t="s">
        <v>92</v>
      </c>
      <c r="B7" t="s">
        <v>76</v>
      </c>
      <c r="C7" t="s">
        <v>4</v>
      </c>
      <c r="D7">
        <v>0</v>
      </c>
      <c r="E7">
        <f>'Efforts with Complexity'!$E$10</f>
        <v>1</v>
      </c>
      <c r="F7">
        <f t="shared" si="0"/>
        <v>0</v>
      </c>
      <c r="G7">
        <f>F7*[4]Rate!$B$5</f>
        <v>0</v>
      </c>
    </row>
    <row r="8" spans="1:8">
      <c r="A8" t="s">
        <v>92</v>
      </c>
      <c r="B8" t="s">
        <v>76</v>
      </c>
      <c r="C8" t="s">
        <v>6</v>
      </c>
      <c r="D8">
        <f>SUM(D4:D7)</f>
        <v>64</v>
      </c>
      <c r="E8">
        <f>'Efforts with Complexity'!$E$10</f>
        <v>1</v>
      </c>
      <c r="F8">
        <f>SUM(F4:F7)</f>
        <v>116</v>
      </c>
      <c r="G8">
        <f>SUM(G4:G7)</f>
        <v>3480</v>
      </c>
    </row>
    <row r="9" spans="1:8">
      <c r="A9" t="s">
        <v>92</v>
      </c>
    </row>
    <row r="10" spans="1:8">
      <c r="A10" t="s">
        <v>92</v>
      </c>
      <c r="B10" t="s">
        <v>93</v>
      </c>
      <c r="C10" t="s">
        <v>3</v>
      </c>
      <c r="D10">
        <v>1</v>
      </c>
      <c r="E10">
        <f>'Efforts with Complexity'!$E$10</f>
        <v>1</v>
      </c>
      <c r="F10">
        <f t="shared" ref="F10:F13" si="1">ROUND(E10*D10*$H$1,0)</f>
        <v>2</v>
      </c>
      <c r="G10">
        <f>F10*[4]Rate!$B$2</f>
        <v>60</v>
      </c>
    </row>
    <row r="11" spans="1:8">
      <c r="A11" t="s">
        <v>92</v>
      </c>
      <c r="B11" t="s">
        <v>93</v>
      </c>
      <c r="C11" t="s">
        <v>7</v>
      </c>
      <c r="D11">
        <v>12</v>
      </c>
      <c r="E11">
        <f>'Efforts with Complexity'!$E$10</f>
        <v>1</v>
      </c>
      <c r="F11">
        <f t="shared" si="1"/>
        <v>22</v>
      </c>
      <c r="G11">
        <f>F11*[4]Rate!$B$3</f>
        <v>880</v>
      </c>
    </row>
    <row r="12" spans="1:8">
      <c r="A12" t="s">
        <v>92</v>
      </c>
      <c r="B12" t="s">
        <v>93</v>
      </c>
      <c r="C12" t="s">
        <v>5</v>
      </c>
      <c r="D12">
        <v>25</v>
      </c>
      <c r="E12">
        <f>'Efforts with Complexity'!$E$10</f>
        <v>1</v>
      </c>
      <c r="F12">
        <f t="shared" si="1"/>
        <v>45</v>
      </c>
      <c r="G12">
        <f>F12*[4]Rate!$B$4</f>
        <v>1125</v>
      </c>
    </row>
    <row r="13" spans="1:8">
      <c r="A13" t="s">
        <v>92</v>
      </c>
      <c r="B13" t="s">
        <v>93</v>
      </c>
      <c r="C13" t="s">
        <v>4</v>
      </c>
      <c r="D13">
        <v>14</v>
      </c>
      <c r="E13">
        <f>'Efforts with Complexity'!$E$10</f>
        <v>1</v>
      </c>
      <c r="F13">
        <f t="shared" si="1"/>
        <v>25</v>
      </c>
      <c r="G13">
        <f>F13*[4]Rate!$B$5</f>
        <v>825</v>
      </c>
    </row>
    <row r="14" spans="1:8">
      <c r="A14" t="s">
        <v>92</v>
      </c>
      <c r="B14" t="s">
        <v>93</v>
      </c>
      <c r="C14" t="s">
        <v>6</v>
      </c>
      <c r="D14">
        <f>SUM(D10:D13)</f>
        <v>52</v>
      </c>
      <c r="E14">
        <f>'Efforts with Complexity'!$E$10</f>
        <v>1</v>
      </c>
      <c r="F14">
        <f>SUM(F10:F13)</f>
        <v>94</v>
      </c>
      <c r="G14">
        <f>SUM(G10:G13)</f>
        <v>2890</v>
      </c>
    </row>
    <row r="16" spans="1:8">
      <c r="A16" t="s">
        <v>94</v>
      </c>
      <c r="B16" t="s">
        <v>76</v>
      </c>
      <c r="C16" t="s">
        <v>3</v>
      </c>
      <c r="D16">
        <v>0</v>
      </c>
      <c r="E16">
        <f>'Efforts with Complexity'!$N$17</f>
        <v>40</v>
      </c>
      <c r="F16">
        <f>E16*D16</f>
        <v>0</v>
      </c>
      <c r="G16">
        <f>F16*[4]Rate!$B$2</f>
        <v>0</v>
      </c>
    </row>
    <row r="17" spans="1:7">
      <c r="A17" t="s">
        <v>94</v>
      </c>
      <c r="B17" t="s">
        <v>76</v>
      </c>
      <c r="C17" t="s">
        <v>7</v>
      </c>
      <c r="D17">
        <v>0</v>
      </c>
      <c r="E17">
        <f>'Efforts with Complexity'!$N$17</f>
        <v>40</v>
      </c>
      <c r="F17">
        <f t="shared" ref="F17:F19" si="2">E17*D17</f>
        <v>0</v>
      </c>
      <c r="G17">
        <f>F17*[4]Rate!$B$3</f>
        <v>0</v>
      </c>
    </row>
    <row r="18" spans="1:7">
      <c r="A18" t="s">
        <v>94</v>
      </c>
      <c r="B18" t="s">
        <v>76</v>
      </c>
      <c r="C18" t="s">
        <v>5</v>
      </c>
      <c r="D18">
        <v>6</v>
      </c>
      <c r="E18">
        <f>'Efforts with Complexity'!$N$17</f>
        <v>40</v>
      </c>
      <c r="F18">
        <f t="shared" si="2"/>
        <v>240</v>
      </c>
      <c r="G18">
        <f>F18*[4]Rate!$B$4</f>
        <v>6000</v>
      </c>
    </row>
    <row r="19" spans="1:7">
      <c r="A19" t="s">
        <v>94</v>
      </c>
      <c r="B19" t="s">
        <v>76</v>
      </c>
      <c r="C19" t="s">
        <v>4</v>
      </c>
      <c r="D19">
        <v>0</v>
      </c>
      <c r="E19">
        <f>'Efforts with Complexity'!$N$17</f>
        <v>40</v>
      </c>
      <c r="F19">
        <f t="shared" si="2"/>
        <v>0</v>
      </c>
      <c r="G19">
        <f>F19*[4]Rate!$B$5</f>
        <v>0</v>
      </c>
    </row>
    <row r="20" spans="1:7">
      <c r="A20" t="s">
        <v>94</v>
      </c>
      <c r="B20" t="s">
        <v>76</v>
      </c>
      <c r="C20" t="s">
        <v>6</v>
      </c>
      <c r="D20">
        <f>SUM(D16:D19)</f>
        <v>6</v>
      </c>
      <c r="E20">
        <f>'Efforts with Complexity'!$N$17</f>
        <v>40</v>
      </c>
      <c r="F20">
        <f>SUM(F16:F19)</f>
        <v>240</v>
      </c>
      <c r="G20">
        <f>SUM(G16:G19)</f>
        <v>6000</v>
      </c>
    </row>
    <row r="21" spans="1:7">
      <c r="A21" t="s">
        <v>94</v>
      </c>
    </row>
    <row r="22" spans="1:7">
      <c r="A22" t="s">
        <v>94</v>
      </c>
      <c r="B22" t="s">
        <v>77</v>
      </c>
      <c r="C22" t="s">
        <v>3</v>
      </c>
      <c r="D22">
        <v>3.2</v>
      </c>
      <c r="E22">
        <f>'Efforts with Complexity'!$N$17</f>
        <v>40</v>
      </c>
      <c r="F22">
        <f>E22*D22</f>
        <v>128</v>
      </c>
      <c r="G22">
        <f>F22*[4]Rate!$B$2</f>
        <v>3840</v>
      </c>
    </row>
    <row r="23" spans="1:7">
      <c r="A23" t="s">
        <v>94</v>
      </c>
      <c r="B23" t="s">
        <v>77</v>
      </c>
      <c r="C23" t="s">
        <v>7</v>
      </c>
      <c r="D23">
        <v>1.2</v>
      </c>
      <c r="E23">
        <f>'Efforts with Complexity'!$N$17</f>
        <v>40</v>
      </c>
      <c r="F23">
        <f t="shared" ref="F23:F25" si="3">E23*D23</f>
        <v>48</v>
      </c>
      <c r="G23">
        <f>F23*[4]Rate!$B$3</f>
        <v>1920</v>
      </c>
    </row>
    <row r="24" spans="1:7">
      <c r="A24" t="s">
        <v>94</v>
      </c>
      <c r="B24" t="s">
        <v>77</v>
      </c>
      <c r="C24" t="s">
        <v>5</v>
      </c>
      <c r="D24">
        <v>0</v>
      </c>
      <c r="E24">
        <f>'Efforts with Complexity'!$N$17</f>
        <v>40</v>
      </c>
      <c r="F24">
        <f t="shared" si="3"/>
        <v>0</v>
      </c>
      <c r="G24">
        <f>F24*[4]Rate!$B$4</f>
        <v>0</v>
      </c>
    </row>
    <row r="25" spans="1:7">
      <c r="A25" t="s">
        <v>94</v>
      </c>
      <c r="B25" t="s">
        <v>77</v>
      </c>
      <c r="C25" t="s">
        <v>4</v>
      </c>
      <c r="D25">
        <v>4</v>
      </c>
      <c r="E25">
        <f>'Efforts with Complexity'!$N$17</f>
        <v>40</v>
      </c>
      <c r="F25">
        <f t="shared" si="3"/>
        <v>160</v>
      </c>
      <c r="G25">
        <f>F25*[4]Rate!$B$5</f>
        <v>5280</v>
      </c>
    </row>
    <row r="26" spans="1:7">
      <c r="A26" t="s">
        <v>94</v>
      </c>
      <c r="B26" t="s">
        <v>77</v>
      </c>
      <c r="C26" t="s">
        <v>6</v>
      </c>
      <c r="D26">
        <f>SUM(D22:D25)</f>
        <v>8.4</v>
      </c>
      <c r="E26">
        <f>'Efforts with Complexity'!$N$17</f>
        <v>40</v>
      </c>
      <c r="F26">
        <f>SUM(F22:F25)</f>
        <v>336</v>
      </c>
      <c r="G26">
        <f>SUM(G22:G25)</f>
        <v>11040</v>
      </c>
    </row>
    <row r="28" spans="1:7">
      <c r="A28" t="s">
        <v>75</v>
      </c>
      <c r="B28" t="s">
        <v>76</v>
      </c>
      <c r="C28" t="s">
        <v>3</v>
      </c>
      <c r="D28">
        <v>1</v>
      </c>
      <c r="E28">
        <f>'Efforts with Complexity'!$N$18</f>
        <v>30</v>
      </c>
      <c r="F28">
        <f>E28*D28</f>
        <v>30</v>
      </c>
      <c r="G28">
        <f>F28*[4]Rate!$B$2</f>
        <v>900</v>
      </c>
    </row>
    <row r="29" spans="1:7">
      <c r="A29" t="s">
        <v>75</v>
      </c>
      <c r="B29" t="s">
        <v>76</v>
      </c>
      <c r="C29" t="s">
        <v>7</v>
      </c>
      <c r="D29">
        <v>0</v>
      </c>
      <c r="E29">
        <f>'Efforts with Complexity'!$N$18</f>
        <v>30</v>
      </c>
      <c r="F29">
        <f t="shared" ref="F29:F31" si="4">E29*D29</f>
        <v>0</v>
      </c>
      <c r="G29">
        <f>F29*[4]Rate!$B$3</f>
        <v>0</v>
      </c>
    </row>
    <row r="30" spans="1:7">
      <c r="A30" t="s">
        <v>75</v>
      </c>
      <c r="B30" t="s">
        <v>76</v>
      </c>
      <c r="C30" t="s">
        <v>5</v>
      </c>
      <c r="D30">
        <v>8</v>
      </c>
      <c r="E30">
        <f>'Efforts with Complexity'!$N$18</f>
        <v>30</v>
      </c>
      <c r="F30">
        <f t="shared" si="4"/>
        <v>240</v>
      </c>
      <c r="G30">
        <f>F30*[4]Rate!$B$4</f>
        <v>6000</v>
      </c>
    </row>
    <row r="31" spans="1:7">
      <c r="A31" t="s">
        <v>75</v>
      </c>
      <c r="B31" t="s">
        <v>76</v>
      </c>
      <c r="C31" t="s">
        <v>4</v>
      </c>
      <c r="D31">
        <v>0</v>
      </c>
      <c r="E31">
        <f>'Efforts with Complexity'!$N$18</f>
        <v>30</v>
      </c>
      <c r="F31">
        <f t="shared" si="4"/>
        <v>0</v>
      </c>
      <c r="G31">
        <f>F31*[4]Rate!$B$5</f>
        <v>0</v>
      </c>
    </row>
    <row r="32" spans="1:7">
      <c r="A32" t="s">
        <v>75</v>
      </c>
      <c r="B32" t="s">
        <v>76</v>
      </c>
      <c r="C32" t="s">
        <v>6</v>
      </c>
      <c r="D32">
        <f>SUM(D28:D31)</f>
        <v>9</v>
      </c>
      <c r="E32">
        <f>'Efforts with Complexity'!$N$18</f>
        <v>30</v>
      </c>
      <c r="F32">
        <f>SUM(F28:F31)</f>
        <v>270</v>
      </c>
      <c r="G32">
        <f>SUM(G28:G31)</f>
        <v>6900</v>
      </c>
    </row>
    <row r="33" spans="1:7">
      <c r="A33" t="s">
        <v>75</v>
      </c>
    </row>
    <row r="34" spans="1:7">
      <c r="A34" t="s">
        <v>75</v>
      </c>
      <c r="B34" t="s">
        <v>77</v>
      </c>
      <c r="C34" t="s">
        <v>3</v>
      </c>
      <c r="D34">
        <v>1</v>
      </c>
      <c r="E34">
        <f>'Efforts with Complexity'!$N$18</f>
        <v>30</v>
      </c>
      <c r="F34">
        <f>E34*D34</f>
        <v>30</v>
      </c>
      <c r="G34">
        <f>F34*[4]Rate!$B$2</f>
        <v>900</v>
      </c>
    </row>
    <row r="35" spans="1:7">
      <c r="A35" t="s">
        <v>75</v>
      </c>
      <c r="B35" t="s">
        <v>77</v>
      </c>
      <c r="C35" t="s">
        <v>7</v>
      </c>
      <c r="D35">
        <v>1</v>
      </c>
      <c r="E35">
        <f>'Efforts with Complexity'!$N$18</f>
        <v>30</v>
      </c>
      <c r="F35">
        <f t="shared" ref="F35:F37" si="5">E35*D35</f>
        <v>30</v>
      </c>
      <c r="G35">
        <f>F35*[4]Rate!$B$3</f>
        <v>1200</v>
      </c>
    </row>
    <row r="36" spans="1:7">
      <c r="A36" t="s">
        <v>75</v>
      </c>
      <c r="B36" t="s">
        <v>77</v>
      </c>
      <c r="C36" t="s">
        <v>5</v>
      </c>
      <c r="D36">
        <v>0</v>
      </c>
      <c r="E36">
        <f>'Efforts with Complexity'!$N$18</f>
        <v>30</v>
      </c>
      <c r="F36">
        <f t="shared" si="5"/>
        <v>0</v>
      </c>
      <c r="G36">
        <f>F36*[4]Rate!$B$4</f>
        <v>0</v>
      </c>
    </row>
    <row r="37" spans="1:7">
      <c r="A37" t="s">
        <v>75</v>
      </c>
      <c r="B37" t="s">
        <v>77</v>
      </c>
      <c r="C37" t="s">
        <v>4</v>
      </c>
      <c r="D37">
        <v>12</v>
      </c>
      <c r="E37">
        <f>'Efforts with Complexity'!$N$18</f>
        <v>30</v>
      </c>
      <c r="F37">
        <f t="shared" si="5"/>
        <v>360</v>
      </c>
      <c r="G37">
        <f>F37*[4]Rate!$B$5</f>
        <v>11880</v>
      </c>
    </row>
    <row r="38" spans="1:7">
      <c r="A38" t="s">
        <v>75</v>
      </c>
      <c r="B38" t="s">
        <v>77</v>
      </c>
      <c r="C38" t="s">
        <v>6</v>
      </c>
      <c r="D38">
        <f>SUM(D34:D37)</f>
        <v>14</v>
      </c>
      <c r="E38">
        <f>'Efforts with Complexity'!$N$18</f>
        <v>30</v>
      </c>
      <c r="F38">
        <f>SUM(F34:F37)</f>
        <v>420</v>
      </c>
      <c r="G38">
        <f>SUM(G34:G37)</f>
        <v>13980</v>
      </c>
    </row>
    <row r="40" spans="1:7">
      <c r="A40" t="s">
        <v>78</v>
      </c>
      <c r="B40" t="s">
        <v>76</v>
      </c>
      <c r="C40" t="s">
        <v>3</v>
      </c>
      <c r="D40">
        <v>0.5</v>
      </c>
      <c r="E40">
        <f>'Efforts with Complexity'!O19</f>
        <v>89</v>
      </c>
      <c r="F40">
        <f>E40*D40</f>
        <v>44.5</v>
      </c>
      <c r="G40">
        <f>F40*[4]Rate!$B$2</f>
        <v>1335</v>
      </c>
    </row>
    <row r="41" spans="1:7">
      <c r="A41" t="s">
        <v>78</v>
      </c>
      <c r="B41" t="s">
        <v>76</v>
      </c>
      <c r="C41" t="s">
        <v>7</v>
      </c>
      <c r="D41">
        <v>0</v>
      </c>
      <c r="E41">
        <f t="shared" ref="E41:E44" si="6">$E$40</f>
        <v>89</v>
      </c>
      <c r="F41">
        <f t="shared" ref="F41:F43" si="7">E41*D41</f>
        <v>0</v>
      </c>
      <c r="G41">
        <f>F41*[4]Rate!$B$3</f>
        <v>0</v>
      </c>
    </row>
    <row r="42" spans="1:7">
      <c r="A42" t="s">
        <v>78</v>
      </c>
      <c r="B42" t="s">
        <v>76</v>
      </c>
      <c r="C42" t="s">
        <v>5</v>
      </c>
      <c r="D42">
        <v>4</v>
      </c>
      <c r="E42">
        <f t="shared" si="6"/>
        <v>89</v>
      </c>
      <c r="F42">
        <f t="shared" si="7"/>
        <v>356</v>
      </c>
      <c r="G42">
        <f>F42*[4]Rate!$B$4</f>
        <v>8900</v>
      </c>
    </row>
    <row r="43" spans="1:7">
      <c r="A43" t="s">
        <v>78</v>
      </c>
      <c r="B43" t="s">
        <v>76</v>
      </c>
      <c r="C43" t="s">
        <v>4</v>
      </c>
      <c r="D43">
        <v>0</v>
      </c>
      <c r="E43">
        <f t="shared" si="6"/>
        <v>89</v>
      </c>
      <c r="F43">
        <f t="shared" si="7"/>
        <v>0</v>
      </c>
      <c r="G43">
        <f>F43*[4]Rate!$B$5</f>
        <v>0</v>
      </c>
    </row>
    <row r="44" spans="1:7">
      <c r="A44" t="s">
        <v>78</v>
      </c>
      <c r="B44" t="s">
        <v>76</v>
      </c>
      <c r="C44" t="s">
        <v>6</v>
      </c>
      <c r="D44">
        <f>SUM(D40:D43)</f>
        <v>4.5</v>
      </c>
      <c r="E44">
        <f t="shared" si="6"/>
        <v>89</v>
      </c>
      <c r="F44">
        <f>SUM(F40:F43)</f>
        <v>400.5</v>
      </c>
      <c r="G44">
        <f>SUM(G40:G43)</f>
        <v>10235</v>
      </c>
    </row>
    <row r="45" spans="1:7">
      <c r="A45" t="s">
        <v>78</v>
      </c>
    </row>
    <row r="46" spans="1:7">
      <c r="A46" t="s">
        <v>78</v>
      </c>
      <c r="B46" t="s">
        <v>77</v>
      </c>
      <c r="C46" t="s">
        <v>3</v>
      </c>
      <c r="D46">
        <v>0.5</v>
      </c>
      <c r="E46">
        <f t="shared" ref="E46:E50" si="8">$E$40</f>
        <v>89</v>
      </c>
      <c r="F46">
        <f>E46*D46</f>
        <v>44.5</v>
      </c>
      <c r="G46">
        <f>F46*[4]Rate!$B$2</f>
        <v>1335</v>
      </c>
    </row>
    <row r="47" spans="1:7">
      <c r="A47" t="s">
        <v>78</v>
      </c>
      <c r="B47" t="s">
        <v>77</v>
      </c>
      <c r="C47" t="s">
        <v>7</v>
      </c>
      <c r="D47">
        <v>0.5</v>
      </c>
      <c r="E47">
        <f t="shared" si="8"/>
        <v>89</v>
      </c>
      <c r="F47">
        <f t="shared" ref="F47:F49" si="9">E47*D47</f>
        <v>44.5</v>
      </c>
      <c r="G47">
        <f>F47*[4]Rate!$B$3</f>
        <v>1780</v>
      </c>
    </row>
    <row r="48" spans="1:7">
      <c r="A48" t="s">
        <v>78</v>
      </c>
      <c r="B48" t="s">
        <v>77</v>
      </c>
      <c r="C48" t="s">
        <v>5</v>
      </c>
      <c r="D48">
        <v>0</v>
      </c>
      <c r="E48">
        <f t="shared" si="8"/>
        <v>89</v>
      </c>
      <c r="F48">
        <f t="shared" si="9"/>
        <v>0</v>
      </c>
      <c r="G48">
        <f>F48*[4]Rate!$B$4</f>
        <v>0</v>
      </c>
    </row>
    <row r="49" spans="1:7">
      <c r="A49" t="s">
        <v>78</v>
      </c>
      <c r="B49" t="s">
        <v>77</v>
      </c>
      <c r="C49" t="s">
        <v>4</v>
      </c>
      <c r="D49">
        <v>1.5</v>
      </c>
      <c r="E49">
        <f t="shared" si="8"/>
        <v>89</v>
      </c>
      <c r="F49">
        <f t="shared" si="9"/>
        <v>133.5</v>
      </c>
      <c r="G49">
        <f>F49*[4]Rate!$B$5</f>
        <v>4405.5</v>
      </c>
    </row>
    <row r="50" spans="1:7">
      <c r="A50" t="s">
        <v>78</v>
      </c>
      <c r="B50" t="s">
        <v>77</v>
      </c>
      <c r="C50" t="s">
        <v>6</v>
      </c>
      <c r="D50">
        <f>SUM(D46:D49)</f>
        <v>2.5</v>
      </c>
      <c r="E50">
        <f t="shared" si="8"/>
        <v>89</v>
      </c>
      <c r="F50">
        <f>SUM(F46:F49)</f>
        <v>222.5</v>
      </c>
      <c r="G50">
        <f>SUM(G46:G49)</f>
        <v>7520.5</v>
      </c>
    </row>
    <row r="52" spans="1:7">
      <c r="A52" t="s">
        <v>79</v>
      </c>
      <c r="B52" t="s">
        <v>76</v>
      </c>
      <c r="C52" t="s">
        <v>3</v>
      </c>
      <c r="D52">
        <v>0.5</v>
      </c>
      <c r="E52" s="76">
        <f>'Efforts with Complexity'!P19</f>
        <v>16</v>
      </c>
      <c r="F52">
        <f>E52*D52</f>
        <v>8</v>
      </c>
      <c r="G52">
        <f>F52*[4]Rate!$B$2</f>
        <v>240</v>
      </c>
    </row>
    <row r="53" spans="1:7">
      <c r="A53" t="s">
        <v>79</v>
      </c>
      <c r="B53" t="s">
        <v>76</v>
      </c>
      <c r="C53" t="s">
        <v>7</v>
      </c>
      <c r="D53">
        <v>0</v>
      </c>
      <c r="E53">
        <f>$E$52</f>
        <v>16</v>
      </c>
      <c r="F53">
        <f>E53*D53</f>
        <v>0</v>
      </c>
      <c r="G53">
        <f>F53*[4]Rate!$B$3</f>
        <v>0</v>
      </c>
    </row>
    <row r="54" spans="1:7">
      <c r="A54" t="s">
        <v>79</v>
      </c>
      <c r="B54" t="s">
        <v>76</v>
      </c>
      <c r="C54" t="s">
        <v>5</v>
      </c>
      <c r="D54">
        <v>2</v>
      </c>
      <c r="E54">
        <f t="shared" ref="E54:E62" si="10">$E$52</f>
        <v>16</v>
      </c>
      <c r="F54">
        <f>E54*D54</f>
        <v>32</v>
      </c>
      <c r="G54">
        <f>F54*[4]Rate!$B$4</f>
        <v>800</v>
      </c>
    </row>
    <row r="55" spans="1:7">
      <c r="A55" t="s">
        <v>79</v>
      </c>
      <c r="B55" t="s">
        <v>76</v>
      </c>
      <c r="C55" t="s">
        <v>4</v>
      </c>
      <c r="D55">
        <v>0</v>
      </c>
      <c r="E55">
        <f t="shared" si="10"/>
        <v>16</v>
      </c>
      <c r="F55">
        <f>E55*D55</f>
        <v>0</v>
      </c>
      <c r="G55">
        <f>F55*[4]Rate!$B$5</f>
        <v>0</v>
      </c>
    </row>
    <row r="56" spans="1:7">
      <c r="A56" t="s">
        <v>79</v>
      </c>
      <c r="B56" t="s">
        <v>76</v>
      </c>
      <c r="C56" t="s">
        <v>6</v>
      </c>
      <c r="D56">
        <f>SUM(D52:D55)</f>
        <v>2.5</v>
      </c>
      <c r="E56">
        <f t="shared" si="10"/>
        <v>16</v>
      </c>
      <c r="F56">
        <f>SUM(F52:F55)</f>
        <v>40</v>
      </c>
      <c r="G56">
        <f>SUM(G52:G55)</f>
        <v>1040</v>
      </c>
    </row>
    <row r="57" spans="1:7">
      <c r="A57" t="s">
        <v>79</v>
      </c>
    </row>
    <row r="58" spans="1:7">
      <c r="A58" t="s">
        <v>79</v>
      </c>
      <c r="B58" t="s">
        <v>77</v>
      </c>
      <c r="C58" t="s">
        <v>3</v>
      </c>
      <c r="D58">
        <v>0.5</v>
      </c>
      <c r="E58">
        <f t="shared" si="10"/>
        <v>16</v>
      </c>
      <c r="F58">
        <f>E58*D58</f>
        <v>8</v>
      </c>
      <c r="G58">
        <f>F58*[4]Rate!$B$2</f>
        <v>240</v>
      </c>
    </row>
    <row r="59" spans="1:7">
      <c r="A59" t="s">
        <v>79</v>
      </c>
      <c r="B59" t="s">
        <v>77</v>
      </c>
      <c r="C59" t="s">
        <v>7</v>
      </c>
      <c r="D59">
        <v>0</v>
      </c>
      <c r="E59">
        <f t="shared" si="10"/>
        <v>16</v>
      </c>
      <c r="F59">
        <f>E59*D59</f>
        <v>0</v>
      </c>
      <c r="G59">
        <f>F59*[4]Rate!$B$3</f>
        <v>0</v>
      </c>
    </row>
    <row r="60" spans="1:7">
      <c r="A60" t="s">
        <v>79</v>
      </c>
      <c r="B60" t="s">
        <v>77</v>
      </c>
      <c r="C60" t="s">
        <v>5</v>
      </c>
      <c r="D60">
        <v>0</v>
      </c>
      <c r="E60">
        <f t="shared" si="10"/>
        <v>16</v>
      </c>
      <c r="F60">
        <f>E60*D60</f>
        <v>0</v>
      </c>
      <c r="G60">
        <f>F60*[4]Rate!$B$4</f>
        <v>0</v>
      </c>
    </row>
    <row r="61" spans="1:7">
      <c r="A61" t="s">
        <v>79</v>
      </c>
      <c r="B61" t="s">
        <v>77</v>
      </c>
      <c r="C61" t="s">
        <v>4</v>
      </c>
      <c r="D61">
        <v>1</v>
      </c>
      <c r="E61">
        <f t="shared" si="10"/>
        <v>16</v>
      </c>
      <c r="F61">
        <f>E61*D61</f>
        <v>16</v>
      </c>
      <c r="G61">
        <f>F61*[4]Rate!$B$5</f>
        <v>528</v>
      </c>
    </row>
    <row r="62" spans="1:7">
      <c r="A62" t="s">
        <v>79</v>
      </c>
      <c r="B62" t="s">
        <v>77</v>
      </c>
      <c r="C62" t="s">
        <v>6</v>
      </c>
      <c r="D62">
        <f>SUM(D58:D61)</f>
        <v>1.5</v>
      </c>
      <c r="E62">
        <f t="shared" si="10"/>
        <v>16</v>
      </c>
      <c r="F62">
        <f>SUM(F58:F61)</f>
        <v>24</v>
      </c>
      <c r="G62">
        <f>SUM(G58:G61)</f>
        <v>768</v>
      </c>
    </row>
    <row r="64" spans="1:7">
      <c r="A64" t="s">
        <v>80</v>
      </c>
      <c r="B64" t="s">
        <v>76</v>
      </c>
      <c r="C64" t="s">
        <v>3</v>
      </c>
      <c r="D64">
        <v>0</v>
      </c>
      <c r="E64">
        <f>'Efforts with Complexity'!O20</f>
        <v>44.5</v>
      </c>
      <c r="F64">
        <f>E64*D64</f>
        <v>0</v>
      </c>
      <c r="G64">
        <f>F64*[4]Rate!$B$2</f>
        <v>0</v>
      </c>
    </row>
    <row r="65" spans="1:7">
      <c r="A65" t="s">
        <v>80</v>
      </c>
      <c r="B65" t="s">
        <v>76</v>
      </c>
      <c r="C65" t="s">
        <v>7</v>
      </c>
      <c r="D65">
        <v>0</v>
      </c>
      <c r="E65">
        <f>$E$64</f>
        <v>44.5</v>
      </c>
      <c r="F65">
        <f>E65*D65</f>
        <v>0</v>
      </c>
      <c r="G65">
        <f>F65*[4]Rate!$B$3</f>
        <v>0</v>
      </c>
    </row>
    <row r="66" spans="1:7">
      <c r="A66" t="s">
        <v>80</v>
      </c>
      <c r="B66" t="s">
        <v>76</v>
      </c>
      <c r="C66" t="s">
        <v>5</v>
      </c>
      <c r="D66">
        <v>2</v>
      </c>
      <c r="E66">
        <f t="shared" ref="E66:E68" si="11">$E$64</f>
        <v>44.5</v>
      </c>
      <c r="F66">
        <f>E66*D66</f>
        <v>89</v>
      </c>
      <c r="G66">
        <f>F66*[4]Rate!$B$4</f>
        <v>2225</v>
      </c>
    </row>
    <row r="67" spans="1:7">
      <c r="A67" t="s">
        <v>80</v>
      </c>
      <c r="B67" t="s">
        <v>76</v>
      </c>
      <c r="C67" t="s">
        <v>4</v>
      </c>
      <c r="D67">
        <v>0</v>
      </c>
      <c r="E67">
        <f t="shared" si="11"/>
        <v>44.5</v>
      </c>
      <c r="F67">
        <f>E67*D67</f>
        <v>0</v>
      </c>
      <c r="G67">
        <f>F67*[4]Rate!$B$5</f>
        <v>0</v>
      </c>
    </row>
    <row r="68" spans="1:7">
      <c r="A68" t="s">
        <v>80</v>
      </c>
      <c r="B68" t="s">
        <v>76</v>
      </c>
      <c r="C68" t="s">
        <v>6</v>
      </c>
      <c r="D68">
        <f>SUM(D64:D67)</f>
        <v>2</v>
      </c>
      <c r="E68">
        <f t="shared" si="11"/>
        <v>44.5</v>
      </c>
      <c r="F68">
        <f>SUM(F64:F67)</f>
        <v>89</v>
      </c>
      <c r="G68">
        <f>SUM(G64:G67)</f>
        <v>2225</v>
      </c>
    </row>
    <row r="69" spans="1:7">
      <c r="A69" t="s">
        <v>80</v>
      </c>
    </row>
    <row r="70" spans="1:7">
      <c r="A70" t="s">
        <v>80</v>
      </c>
      <c r="B70" t="s">
        <v>77</v>
      </c>
      <c r="C70" t="s">
        <v>3</v>
      </c>
      <c r="D70">
        <v>0.5</v>
      </c>
      <c r="E70">
        <f t="shared" ref="E70:E74" si="12">$E$64</f>
        <v>44.5</v>
      </c>
      <c r="F70">
        <f>E70*D70</f>
        <v>22.25</v>
      </c>
      <c r="G70">
        <f>F70*[4]Rate!$B$2</f>
        <v>667.5</v>
      </c>
    </row>
    <row r="71" spans="1:7">
      <c r="A71" t="s">
        <v>80</v>
      </c>
      <c r="B71" t="s">
        <v>77</v>
      </c>
      <c r="C71" t="s">
        <v>7</v>
      </c>
      <c r="D71">
        <v>0</v>
      </c>
      <c r="E71">
        <f t="shared" si="12"/>
        <v>44.5</v>
      </c>
      <c r="F71">
        <f>E71*D71</f>
        <v>0</v>
      </c>
      <c r="G71">
        <f>F71*[4]Rate!$B$3</f>
        <v>0</v>
      </c>
    </row>
    <row r="72" spans="1:7">
      <c r="A72" t="s">
        <v>80</v>
      </c>
      <c r="B72" t="s">
        <v>77</v>
      </c>
      <c r="C72" t="s">
        <v>5</v>
      </c>
      <c r="D72">
        <v>0</v>
      </c>
      <c r="E72">
        <f t="shared" si="12"/>
        <v>44.5</v>
      </c>
      <c r="F72">
        <f>E72*D72</f>
        <v>0</v>
      </c>
      <c r="G72">
        <f>F72*[4]Rate!$B$4</f>
        <v>0</v>
      </c>
    </row>
    <row r="73" spans="1:7">
      <c r="A73" t="s">
        <v>80</v>
      </c>
      <c r="B73" t="s">
        <v>77</v>
      </c>
      <c r="C73" t="s">
        <v>4</v>
      </c>
      <c r="D73">
        <v>0.5</v>
      </c>
      <c r="E73">
        <f t="shared" si="12"/>
        <v>44.5</v>
      </c>
      <c r="F73">
        <f>E73*D73</f>
        <v>22.25</v>
      </c>
      <c r="G73">
        <f>F73*[4]Rate!$B$5</f>
        <v>734.25</v>
      </c>
    </row>
    <row r="74" spans="1:7">
      <c r="A74" t="s">
        <v>80</v>
      </c>
      <c r="B74" t="s">
        <v>77</v>
      </c>
      <c r="C74" t="s">
        <v>6</v>
      </c>
      <c r="D74">
        <f>SUM(D70:D73)</f>
        <v>1</v>
      </c>
      <c r="E74">
        <f t="shared" si="12"/>
        <v>44.5</v>
      </c>
      <c r="F74">
        <f>SUM(F70:F73)</f>
        <v>44.5</v>
      </c>
      <c r="G74">
        <f>SUM(G70:G73)</f>
        <v>1401.75</v>
      </c>
    </row>
    <row r="76" spans="1:7">
      <c r="A76" t="s">
        <v>81</v>
      </c>
      <c r="B76" t="s">
        <v>76</v>
      </c>
      <c r="C76" t="s">
        <v>3</v>
      </c>
      <c r="D76">
        <v>0</v>
      </c>
      <c r="E76">
        <f>'Efforts with Complexity'!P20</f>
        <v>8</v>
      </c>
      <c r="F76">
        <f>E76*D76</f>
        <v>0</v>
      </c>
      <c r="G76">
        <f>F76*[4]Rate!$B$2</f>
        <v>0</v>
      </c>
    </row>
    <row r="77" spans="1:7">
      <c r="A77" t="s">
        <v>81</v>
      </c>
      <c r="B77" t="s">
        <v>76</v>
      </c>
      <c r="C77" t="s">
        <v>7</v>
      </c>
      <c r="D77">
        <v>0</v>
      </c>
      <c r="E77">
        <f>$E$76</f>
        <v>8</v>
      </c>
      <c r="F77">
        <f t="shared" ref="F77:F79" si="13">E77*D77</f>
        <v>0</v>
      </c>
      <c r="G77">
        <f>F77*[4]Rate!$B$3</f>
        <v>0</v>
      </c>
    </row>
    <row r="78" spans="1:7">
      <c r="A78" t="s">
        <v>81</v>
      </c>
      <c r="B78" t="s">
        <v>76</v>
      </c>
      <c r="C78" t="s">
        <v>5</v>
      </c>
      <c r="D78">
        <v>0.5</v>
      </c>
      <c r="E78">
        <f t="shared" ref="E78:E80" si="14">$E$76</f>
        <v>8</v>
      </c>
      <c r="F78">
        <f t="shared" si="13"/>
        <v>4</v>
      </c>
      <c r="G78">
        <f>F78*[4]Rate!$B$4</f>
        <v>100</v>
      </c>
    </row>
    <row r="79" spans="1:7">
      <c r="A79" t="s">
        <v>81</v>
      </c>
      <c r="B79" t="s">
        <v>76</v>
      </c>
      <c r="C79" t="s">
        <v>4</v>
      </c>
      <c r="D79">
        <v>0</v>
      </c>
      <c r="E79">
        <f t="shared" si="14"/>
        <v>8</v>
      </c>
      <c r="F79">
        <f t="shared" si="13"/>
        <v>0</v>
      </c>
      <c r="G79">
        <f>F79*[4]Rate!$B$5</f>
        <v>0</v>
      </c>
    </row>
    <row r="80" spans="1:7">
      <c r="A80" t="s">
        <v>81</v>
      </c>
      <c r="B80" t="s">
        <v>76</v>
      </c>
      <c r="C80" t="s">
        <v>6</v>
      </c>
      <c r="D80">
        <f>SUM(D76:D79)</f>
        <v>0.5</v>
      </c>
      <c r="E80">
        <f t="shared" si="14"/>
        <v>8</v>
      </c>
      <c r="F80">
        <f>SUM(F76:F79)</f>
        <v>4</v>
      </c>
      <c r="G80">
        <f>SUM(G76:G79)</f>
        <v>100</v>
      </c>
    </row>
    <row r="81" spans="1:7">
      <c r="A81" t="s">
        <v>81</v>
      </c>
    </row>
    <row r="82" spans="1:7">
      <c r="A82" t="s">
        <v>81</v>
      </c>
      <c r="B82" t="s">
        <v>77</v>
      </c>
      <c r="C82" t="s">
        <v>3</v>
      </c>
      <c r="D82">
        <v>1</v>
      </c>
      <c r="E82">
        <f t="shared" ref="E82:E86" si="15">$E$76</f>
        <v>8</v>
      </c>
      <c r="F82">
        <f>E82*D82</f>
        <v>8</v>
      </c>
      <c r="G82">
        <f>F82*[4]Rate!$B$2</f>
        <v>240</v>
      </c>
    </row>
    <row r="83" spans="1:7">
      <c r="A83" t="s">
        <v>81</v>
      </c>
      <c r="B83" t="s">
        <v>77</v>
      </c>
      <c r="C83" t="s">
        <v>7</v>
      </c>
      <c r="D83">
        <v>0</v>
      </c>
      <c r="E83">
        <f t="shared" si="15"/>
        <v>8</v>
      </c>
      <c r="F83">
        <f t="shared" ref="F83:F85" si="16">E83*D83</f>
        <v>0</v>
      </c>
      <c r="G83">
        <f>F83*[4]Rate!$B$3</f>
        <v>0</v>
      </c>
    </row>
    <row r="84" spans="1:7">
      <c r="A84" t="s">
        <v>81</v>
      </c>
      <c r="B84" t="s">
        <v>77</v>
      </c>
      <c r="C84" t="s">
        <v>5</v>
      </c>
      <c r="D84">
        <v>0</v>
      </c>
      <c r="E84">
        <f t="shared" si="15"/>
        <v>8</v>
      </c>
      <c r="F84">
        <f t="shared" si="16"/>
        <v>0</v>
      </c>
      <c r="G84">
        <f>F84*[4]Rate!$B$4</f>
        <v>0</v>
      </c>
    </row>
    <row r="85" spans="1:7">
      <c r="A85" t="s">
        <v>81</v>
      </c>
      <c r="B85" t="s">
        <v>77</v>
      </c>
      <c r="C85" t="s">
        <v>4</v>
      </c>
      <c r="D85">
        <v>0.5</v>
      </c>
      <c r="E85">
        <f t="shared" si="15"/>
        <v>8</v>
      </c>
      <c r="F85">
        <f t="shared" si="16"/>
        <v>4</v>
      </c>
      <c r="G85">
        <f>F85*[4]Rate!$B$5</f>
        <v>132</v>
      </c>
    </row>
    <row r="86" spans="1:7">
      <c r="A86" t="s">
        <v>81</v>
      </c>
      <c r="B86" t="s">
        <v>77</v>
      </c>
      <c r="C86" t="s">
        <v>6</v>
      </c>
      <c r="D86">
        <f>SUM(D82:D85)</f>
        <v>1.5</v>
      </c>
      <c r="E86">
        <f t="shared" si="15"/>
        <v>8</v>
      </c>
      <c r="F86">
        <f>SUM(F82:F85)</f>
        <v>12</v>
      </c>
      <c r="G86">
        <f>SUM(G82:G85)</f>
        <v>372</v>
      </c>
    </row>
    <row r="88" spans="1:7">
      <c r="A88" t="s">
        <v>82</v>
      </c>
      <c r="B88" t="s">
        <v>76</v>
      </c>
      <c r="C88" t="s">
        <v>3</v>
      </c>
      <c r="D88">
        <v>1</v>
      </c>
      <c r="E88">
        <f>'Efforts with Complexity'!O21</f>
        <v>14.5</v>
      </c>
      <c r="F88">
        <f>E88*D88</f>
        <v>14.5</v>
      </c>
      <c r="G88">
        <f>F88*[4]Rate!$B$2</f>
        <v>435</v>
      </c>
    </row>
    <row r="89" spans="1:7">
      <c r="A89" t="s">
        <v>82</v>
      </c>
      <c r="B89" t="s">
        <v>76</v>
      </c>
      <c r="C89" t="s">
        <v>7</v>
      </c>
      <c r="D89">
        <v>0</v>
      </c>
      <c r="E89">
        <f>$E$88</f>
        <v>14.5</v>
      </c>
      <c r="F89">
        <f t="shared" ref="F89:F91" si="17">E89*D89</f>
        <v>0</v>
      </c>
      <c r="G89">
        <f>F89*[4]Rate!$B$3</f>
        <v>0</v>
      </c>
    </row>
    <row r="90" spans="1:7">
      <c r="A90" t="s">
        <v>82</v>
      </c>
      <c r="B90" t="s">
        <v>76</v>
      </c>
      <c r="C90" t="s">
        <v>5</v>
      </c>
      <c r="D90">
        <v>6</v>
      </c>
      <c r="E90">
        <f t="shared" ref="E90:E92" si="18">$E$88</f>
        <v>14.5</v>
      </c>
      <c r="F90">
        <f t="shared" si="17"/>
        <v>87</v>
      </c>
      <c r="G90">
        <f>F90*[4]Rate!$B$4</f>
        <v>2175</v>
      </c>
    </row>
    <row r="91" spans="1:7">
      <c r="A91" t="s">
        <v>82</v>
      </c>
      <c r="B91" t="s">
        <v>76</v>
      </c>
      <c r="C91" t="s">
        <v>4</v>
      </c>
      <c r="D91">
        <v>0</v>
      </c>
      <c r="E91">
        <f t="shared" si="18"/>
        <v>14.5</v>
      </c>
      <c r="F91">
        <f t="shared" si="17"/>
        <v>0</v>
      </c>
      <c r="G91">
        <f>F91*[4]Rate!$B$5</f>
        <v>0</v>
      </c>
    </row>
    <row r="92" spans="1:7">
      <c r="A92" t="s">
        <v>82</v>
      </c>
      <c r="B92" t="s">
        <v>76</v>
      </c>
      <c r="C92" t="s">
        <v>6</v>
      </c>
      <c r="D92">
        <f>SUM(D88:D91)</f>
        <v>7</v>
      </c>
      <c r="E92">
        <f t="shared" si="18"/>
        <v>14.5</v>
      </c>
      <c r="F92">
        <f>SUM(F88:F91)</f>
        <v>101.5</v>
      </c>
      <c r="G92">
        <f>SUM(G88:G91)</f>
        <v>2610</v>
      </c>
    </row>
    <row r="93" spans="1:7">
      <c r="A93" t="s">
        <v>82</v>
      </c>
    </row>
    <row r="94" spans="1:7">
      <c r="A94" t="s">
        <v>82</v>
      </c>
      <c r="B94" t="s">
        <v>77</v>
      </c>
      <c r="C94" t="s">
        <v>3</v>
      </c>
      <c r="D94">
        <v>1</v>
      </c>
      <c r="E94">
        <f t="shared" ref="E94:E98" si="19">$E$88</f>
        <v>14.5</v>
      </c>
      <c r="F94">
        <f>E94*D94</f>
        <v>14.5</v>
      </c>
      <c r="G94">
        <f>F94*[4]Rate!$B$2</f>
        <v>435</v>
      </c>
    </row>
    <row r="95" spans="1:7">
      <c r="A95" t="s">
        <v>82</v>
      </c>
      <c r="B95" t="s">
        <v>77</v>
      </c>
      <c r="C95" t="s">
        <v>7</v>
      </c>
      <c r="D95">
        <v>0.5</v>
      </c>
      <c r="E95">
        <f t="shared" si="19"/>
        <v>14.5</v>
      </c>
      <c r="F95">
        <f t="shared" ref="F95:F97" si="20">E95*D95</f>
        <v>7.25</v>
      </c>
      <c r="G95">
        <f>F95*[4]Rate!$B$3</f>
        <v>290</v>
      </c>
    </row>
    <row r="96" spans="1:7">
      <c r="A96" t="s">
        <v>82</v>
      </c>
      <c r="B96" t="s">
        <v>77</v>
      </c>
      <c r="C96" t="s">
        <v>5</v>
      </c>
      <c r="D96">
        <v>0</v>
      </c>
      <c r="E96">
        <f t="shared" si="19"/>
        <v>14.5</v>
      </c>
      <c r="F96">
        <f t="shared" si="20"/>
        <v>0</v>
      </c>
      <c r="G96">
        <f>F96*[4]Rate!$B$4</f>
        <v>0</v>
      </c>
    </row>
    <row r="97" spans="1:7">
      <c r="A97" t="s">
        <v>82</v>
      </c>
      <c r="B97" t="s">
        <v>77</v>
      </c>
      <c r="C97" t="s">
        <v>4</v>
      </c>
      <c r="D97">
        <v>1.5</v>
      </c>
      <c r="E97">
        <f t="shared" si="19"/>
        <v>14.5</v>
      </c>
      <c r="F97">
        <f t="shared" si="20"/>
        <v>21.75</v>
      </c>
      <c r="G97">
        <f>F97*[4]Rate!$B$5</f>
        <v>717.75</v>
      </c>
    </row>
    <row r="98" spans="1:7">
      <c r="A98" t="s">
        <v>82</v>
      </c>
      <c r="B98" t="s">
        <v>77</v>
      </c>
      <c r="C98" t="s">
        <v>6</v>
      </c>
      <c r="D98">
        <f>SUM(D94:D97)</f>
        <v>3</v>
      </c>
      <c r="E98">
        <f t="shared" si="19"/>
        <v>14.5</v>
      </c>
      <c r="F98">
        <f>SUM(F94:F97)</f>
        <v>43.5</v>
      </c>
      <c r="G98">
        <f>SUM(G94:G97)</f>
        <v>1442.75</v>
      </c>
    </row>
    <row r="100" spans="1:7">
      <c r="A100" t="s">
        <v>83</v>
      </c>
      <c r="B100" t="s">
        <v>76</v>
      </c>
      <c r="C100" t="s">
        <v>3</v>
      </c>
      <c r="D100">
        <v>0</v>
      </c>
      <c r="E100" s="76">
        <f>'Efforts with Complexity'!P21</f>
        <v>3</v>
      </c>
      <c r="F100">
        <f>E100*D100</f>
        <v>0</v>
      </c>
      <c r="G100">
        <f>F100*[4]Rate!$B$2</f>
        <v>0</v>
      </c>
    </row>
    <row r="101" spans="1:7">
      <c r="A101" t="s">
        <v>83</v>
      </c>
      <c r="B101" t="s">
        <v>76</v>
      </c>
      <c r="C101" t="s">
        <v>7</v>
      </c>
      <c r="D101">
        <v>0</v>
      </c>
      <c r="E101">
        <f>$E$100</f>
        <v>3</v>
      </c>
      <c r="F101">
        <f t="shared" ref="F101:F103" si="21">E101*D101</f>
        <v>0</v>
      </c>
      <c r="G101">
        <f>F101*[4]Rate!$B$3</f>
        <v>0</v>
      </c>
    </row>
    <row r="102" spans="1:7">
      <c r="A102" t="s">
        <v>83</v>
      </c>
      <c r="B102" t="s">
        <v>76</v>
      </c>
      <c r="C102" t="s">
        <v>5</v>
      </c>
      <c r="D102">
        <v>1</v>
      </c>
      <c r="E102">
        <f t="shared" ref="E102:E104" si="22">$E$100</f>
        <v>3</v>
      </c>
      <c r="F102">
        <f t="shared" si="21"/>
        <v>3</v>
      </c>
      <c r="G102">
        <f>F102*[4]Rate!$B$4</f>
        <v>75</v>
      </c>
    </row>
    <row r="103" spans="1:7">
      <c r="A103" t="s">
        <v>83</v>
      </c>
      <c r="B103" t="s">
        <v>76</v>
      </c>
      <c r="C103" t="s">
        <v>4</v>
      </c>
      <c r="D103">
        <v>0</v>
      </c>
      <c r="E103">
        <f t="shared" si="22"/>
        <v>3</v>
      </c>
      <c r="F103">
        <f t="shared" si="21"/>
        <v>0</v>
      </c>
      <c r="G103">
        <f>F103*[4]Rate!$B$5</f>
        <v>0</v>
      </c>
    </row>
    <row r="104" spans="1:7">
      <c r="A104" t="s">
        <v>83</v>
      </c>
      <c r="B104" t="s">
        <v>76</v>
      </c>
      <c r="C104" t="s">
        <v>6</v>
      </c>
      <c r="D104">
        <f>SUM(D100:D103)</f>
        <v>1</v>
      </c>
      <c r="E104">
        <f t="shared" si="22"/>
        <v>3</v>
      </c>
      <c r="F104">
        <f>SUM(F100:F103)</f>
        <v>3</v>
      </c>
      <c r="G104">
        <f>SUM(G100:G103)</f>
        <v>75</v>
      </c>
    </row>
    <row r="105" spans="1:7">
      <c r="A105" t="s">
        <v>83</v>
      </c>
    </row>
    <row r="106" spans="1:7">
      <c r="A106" t="s">
        <v>83</v>
      </c>
      <c r="B106" t="s">
        <v>77</v>
      </c>
      <c r="C106" t="s">
        <v>3</v>
      </c>
      <c r="D106">
        <v>0.5</v>
      </c>
      <c r="E106">
        <f t="shared" ref="E106:E110" si="23">$E$100</f>
        <v>3</v>
      </c>
      <c r="F106">
        <f>E106*D106</f>
        <v>1.5</v>
      </c>
      <c r="G106">
        <f>F106*[4]Rate!$B$2</f>
        <v>45</v>
      </c>
    </row>
    <row r="107" spans="1:7">
      <c r="A107" t="s">
        <v>83</v>
      </c>
      <c r="B107" t="s">
        <v>77</v>
      </c>
      <c r="C107" t="s">
        <v>7</v>
      </c>
      <c r="D107">
        <v>0</v>
      </c>
      <c r="E107">
        <f t="shared" si="23"/>
        <v>3</v>
      </c>
      <c r="F107">
        <f t="shared" ref="F107:F109" si="24">E107*D107</f>
        <v>0</v>
      </c>
      <c r="G107">
        <f>F107*[4]Rate!$B$3</f>
        <v>0</v>
      </c>
    </row>
    <row r="108" spans="1:7">
      <c r="A108" t="s">
        <v>83</v>
      </c>
      <c r="B108" t="s">
        <v>77</v>
      </c>
      <c r="C108" t="s">
        <v>5</v>
      </c>
      <c r="D108">
        <v>0</v>
      </c>
      <c r="E108">
        <f t="shared" si="23"/>
        <v>3</v>
      </c>
      <c r="F108">
        <f t="shared" si="24"/>
        <v>0</v>
      </c>
      <c r="G108">
        <f>F108*[4]Rate!$B$4</f>
        <v>0</v>
      </c>
    </row>
    <row r="109" spans="1:7">
      <c r="A109" t="s">
        <v>83</v>
      </c>
      <c r="B109" t="s">
        <v>77</v>
      </c>
      <c r="C109" t="s">
        <v>4</v>
      </c>
      <c r="D109">
        <v>0.5</v>
      </c>
      <c r="E109">
        <f t="shared" si="23"/>
        <v>3</v>
      </c>
      <c r="F109">
        <f t="shared" si="24"/>
        <v>1.5</v>
      </c>
      <c r="G109">
        <f>F109*[4]Rate!$B$5</f>
        <v>49.5</v>
      </c>
    </row>
    <row r="110" spans="1:7">
      <c r="A110" t="s">
        <v>83</v>
      </c>
      <c r="B110" t="s">
        <v>77</v>
      </c>
      <c r="C110" t="s">
        <v>6</v>
      </c>
      <c r="D110">
        <f>SUM(D106:D109)</f>
        <v>1</v>
      </c>
      <c r="E110">
        <f t="shared" si="23"/>
        <v>3</v>
      </c>
      <c r="F110">
        <f>SUM(F106:F109)</f>
        <v>3</v>
      </c>
      <c r="G110">
        <f>SUM(G106:G109)</f>
        <v>94.5</v>
      </c>
    </row>
    <row r="112" spans="1:7">
      <c r="A112" t="s">
        <v>105</v>
      </c>
      <c r="B112" t="s">
        <v>76</v>
      </c>
      <c r="C112" t="s">
        <v>3</v>
      </c>
      <c r="D112">
        <v>0.5</v>
      </c>
      <c r="E112" s="76">
        <f>'Efforts with Complexity'!$Q$19</f>
        <v>18</v>
      </c>
      <c r="F112">
        <f>E112*D112</f>
        <v>9</v>
      </c>
      <c r="G112">
        <f>F112*[4]Rate!$B$2</f>
        <v>270</v>
      </c>
    </row>
    <row r="113" spans="1:9">
      <c r="A113" t="s">
        <v>105</v>
      </c>
      <c r="B113" t="s">
        <v>76</v>
      </c>
      <c r="C113" t="s">
        <v>7</v>
      </c>
      <c r="D113">
        <v>0</v>
      </c>
      <c r="E113" s="76">
        <f>'Efforts with Complexity'!$Q$19</f>
        <v>18</v>
      </c>
      <c r="F113">
        <f>E113*D113</f>
        <v>0</v>
      </c>
      <c r="G113">
        <f>F113*[4]Rate!$B$3</f>
        <v>0</v>
      </c>
    </row>
    <row r="114" spans="1:9">
      <c r="A114" t="s">
        <v>105</v>
      </c>
      <c r="B114" t="s">
        <v>76</v>
      </c>
      <c r="C114" t="s">
        <v>5</v>
      </c>
      <c r="D114">
        <v>4</v>
      </c>
      <c r="E114" s="76">
        <f>'Efforts with Complexity'!$Q$19</f>
        <v>18</v>
      </c>
      <c r="F114">
        <f>E114*D114</f>
        <v>72</v>
      </c>
      <c r="G114">
        <f>F114*[4]Rate!$B$4</f>
        <v>1800</v>
      </c>
    </row>
    <row r="115" spans="1:9">
      <c r="A115" t="s">
        <v>105</v>
      </c>
      <c r="B115" t="s">
        <v>76</v>
      </c>
      <c r="C115" t="s">
        <v>4</v>
      </c>
      <c r="D115">
        <v>0</v>
      </c>
      <c r="E115" s="76">
        <f>'Efforts with Complexity'!$Q$19</f>
        <v>18</v>
      </c>
      <c r="F115">
        <f>E115*D115</f>
        <v>0</v>
      </c>
      <c r="G115">
        <f>F115*[4]Rate!$B$5</f>
        <v>0</v>
      </c>
    </row>
    <row r="116" spans="1:9">
      <c r="A116" t="s">
        <v>105</v>
      </c>
      <c r="B116" t="s">
        <v>76</v>
      </c>
      <c r="C116" t="s">
        <v>6</v>
      </c>
      <c r="D116">
        <f>SUM(D112:D115)</f>
        <v>4.5</v>
      </c>
      <c r="E116" s="76">
        <f>'Efforts with Complexity'!$Q$19</f>
        <v>18</v>
      </c>
      <c r="F116">
        <f>SUM(F112:F115)</f>
        <v>81</v>
      </c>
      <c r="G116">
        <f>SUM(G112:G115)</f>
        <v>2070</v>
      </c>
    </row>
    <row r="117" spans="1:9">
      <c r="A117" t="s">
        <v>105</v>
      </c>
    </row>
    <row r="118" spans="1:9">
      <c r="A118" t="s">
        <v>105</v>
      </c>
      <c r="B118" t="s">
        <v>77</v>
      </c>
      <c r="C118" t="s">
        <v>3</v>
      </c>
      <c r="D118">
        <v>0.5</v>
      </c>
      <c r="E118" s="76">
        <f>'Efforts with Complexity'!$Q$19</f>
        <v>18</v>
      </c>
      <c r="F118">
        <f>E118*D118</f>
        <v>9</v>
      </c>
      <c r="G118">
        <f>F118*[4]Rate!$B$2</f>
        <v>270</v>
      </c>
    </row>
    <row r="119" spans="1:9">
      <c r="A119" t="s">
        <v>105</v>
      </c>
      <c r="B119" t="s">
        <v>77</v>
      </c>
      <c r="C119" t="s">
        <v>7</v>
      </c>
      <c r="D119">
        <v>0.5</v>
      </c>
      <c r="E119" s="76">
        <f>'Efforts with Complexity'!$Q$19</f>
        <v>18</v>
      </c>
      <c r="F119">
        <f>E119*D119</f>
        <v>9</v>
      </c>
      <c r="G119">
        <f>F119*[4]Rate!$B$3</f>
        <v>360</v>
      </c>
    </row>
    <row r="120" spans="1:9">
      <c r="A120" t="s">
        <v>105</v>
      </c>
      <c r="B120" t="s">
        <v>77</v>
      </c>
      <c r="C120" t="s">
        <v>5</v>
      </c>
      <c r="D120">
        <v>0</v>
      </c>
      <c r="E120" s="76">
        <f>'Efforts with Complexity'!$Q$19</f>
        <v>18</v>
      </c>
      <c r="F120">
        <f>E120*D120</f>
        <v>0</v>
      </c>
      <c r="G120">
        <f>F120*[4]Rate!$B$4</f>
        <v>0</v>
      </c>
    </row>
    <row r="121" spans="1:9">
      <c r="A121" t="s">
        <v>105</v>
      </c>
      <c r="B121" t="s">
        <v>77</v>
      </c>
      <c r="C121" t="s">
        <v>4</v>
      </c>
      <c r="D121">
        <v>1.5</v>
      </c>
      <c r="E121" s="76">
        <f>'Efforts with Complexity'!$Q$19</f>
        <v>18</v>
      </c>
      <c r="F121">
        <f>E121*D121</f>
        <v>27</v>
      </c>
      <c r="G121">
        <f>F121*[4]Rate!$B$5</f>
        <v>891</v>
      </c>
    </row>
    <row r="122" spans="1:9">
      <c r="A122" t="s">
        <v>105</v>
      </c>
      <c r="B122" t="s">
        <v>77</v>
      </c>
      <c r="C122" t="s">
        <v>6</v>
      </c>
      <c r="D122">
        <f>SUM(D118:D121)</f>
        <v>2.5</v>
      </c>
      <c r="E122" s="76">
        <f>'Efforts with Complexity'!$Q$19</f>
        <v>18</v>
      </c>
      <c r="F122">
        <f>SUM(F118:F121)</f>
        <v>45</v>
      </c>
      <c r="G122">
        <f>SUM(G118:G121)</f>
        <v>1521</v>
      </c>
    </row>
    <row r="124" spans="1:9">
      <c r="A124" t="s">
        <v>106</v>
      </c>
      <c r="B124" t="s">
        <v>76</v>
      </c>
      <c r="C124" t="s">
        <v>3</v>
      </c>
      <c r="D124">
        <v>1</v>
      </c>
      <c r="E124">
        <f>'Efforts with Complexity'!$Q$20</f>
        <v>9</v>
      </c>
      <c r="F124">
        <f>E124*D124</f>
        <v>9</v>
      </c>
      <c r="G124">
        <f>F124*[4]Rate!$B$2</f>
        <v>270</v>
      </c>
      <c r="I124" t="s">
        <v>109</v>
      </c>
    </row>
    <row r="125" spans="1:9">
      <c r="A125" t="s">
        <v>106</v>
      </c>
      <c r="B125" t="s">
        <v>76</v>
      </c>
      <c r="C125" t="s">
        <v>7</v>
      </c>
      <c r="D125">
        <v>0</v>
      </c>
      <c r="E125">
        <f>'Efforts with Complexity'!$Q$20</f>
        <v>9</v>
      </c>
      <c r="F125">
        <f t="shared" ref="F125:F127" si="25">E125*D125</f>
        <v>0</v>
      </c>
      <c r="G125">
        <f>F125*[4]Rate!$B$3</f>
        <v>0</v>
      </c>
    </row>
    <row r="126" spans="1:9">
      <c r="A126" t="s">
        <v>106</v>
      </c>
      <c r="B126" t="s">
        <v>76</v>
      </c>
      <c r="C126" t="s">
        <v>5</v>
      </c>
      <c r="D126">
        <v>0.5</v>
      </c>
      <c r="E126">
        <f>'Efforts with Complexity'!$Q$20</f>
        <v>9</v>
      </c>
      <c r="F126">
        <f t="shared" si="25"/>
        <v>4.5</v>
      </c>
      <c r="G126">
        <f>F126*[4]Rate!$B$4</f>
        <v>112.5</v>
      </c>
    </row>
    <row r="127" spans="1:9">
      <c r="A127" t="s">
        <v>106</v>
      </c>
      <c r="B127" t="s">
        <v>76</v>
      </c>
      <c r="C127" t="s">
        <v>4</v>
      </c>
      <c r="D127">
        <v>0</v>
      </c>
      <c r="E127">
        <f>'Efforts with Complexity'!$Q$20</f>
        <v>9</v>
      </c>
      <c r="F127">
        <f t="shared" si="25"/>
        <v>0</v>
      </c>
      <c r="G127">
        <f>F127*[4]Rate!$B$5</f>
        <v>0</v>
      </c>
    </row>
    <row r="128" spans="1:9">
      <c r="A128" t="s">
        <v>106</v>
      </c>
      <c r="B128" t="s">
        <v>76</v>
      </c>
      <c r="C128" t="s">
        <v>6</v>
      </c>
      <c r="D128">
        <f>SUM(D124:D127)</f>
        <v>1.5</v>
      </c>
      <c r="E128">
        <f>'Efforts with Complexity'!$Q$20</f>
        <v>9</v>
      </c>
      <c r="F128">
        <f>SUM(F124:F127)</f>
        <v>13.5</v>
      </c>
      <c r="G128">
        <f>SUM(G124:G127)</f>
        <v>382.5</v>
      </c>
    </row>
    <row r="129" spans="1:9">
      <c r="A129" t="s">
        <v>106</v>
      </c>
    </row>
    <row r="130" spans="1:9">
      <c r="A130" t="s">
        <v>106</v>
      </c>
      <c r="B130" t="s">
        <v>77</v>
      </c>
      <c r="C130" t="s">
        <v>3</v>
      </c>
      <c r="D130">
        <v>1</v>
      </c>
      <c r="E130">
        <f>'Efforts with Complexity'!$Q$20</f>
        <v>9</v>
      </c>
      <c r="F130">
        <f>E130*D130</f>
        <v>9</v>
      </c>
      <c r="G130">
        <f>F130*[4]Rate!$B$2</f>
        <v>270</v>
      </c>
      <c r="I130" t="s">
        <v>109</v>
      </c>
    </row>
    <row r="131" spans="1:9">
      <c r="A131" t="s">
        <v>106</v>
      </c>
      <c r="B131" t="s">
        <v>77</v>
      </c>
      <c r="C131" t="s">
        <v>7</v>
      </c>
      <c r="D131">
        <v>1</v>
      </c>
      <c r="E131">
        <f>'Efforts with Complexity'!$Q$20</f>
        <v>9</v>
      </c>
      <c r="F131">
        <f t="shared" ref="F131:F133" si="26">E131*D131</f>
        <v>9</v>
      </c>
      <c r="G131">
        <f>F131*[4]Rate!$B$3</f>
        <v>360</v>
      </c>
      <c r="I131" t="s">
        <v>109</v>
      </c>
    </row>
    <row r="132" spans="1:9">
      <c r="A132" t="s">
        <v>106</v>
      </c>
      <c r="B132" t="s">
        <v>77</v>
      </c>
      <c r="C132" t="s">
        <v>5</v>
      </c>
      <c r="D132">
        <v>0</v>
      </c>
      <c r="E132">
        <f>'Efforts with Complexity'!$Q$20</f>
        <v>9</v>
      </c>
      <c r="F132">
        <f t="shared" si="26"/>
        <v>0</v>
      </c>
      <c r="G132">
        <f>F132*[4]Rate!$B$4</f>
        <v>0</v>
      </c>
    </row>
    <row r="133" spans="1:9">
      <c r="A133" t="s">
        <v>106</v>
      </c>
      <c r="B133" t="s">
        <v>77</v>
      </c>
      <c r="C133" t="s">
        <v>4</v>
      </c>
      <c r="D133">
        <v>0.5</v>
      </c>
      <c r="E133">
        <f>'Efforts with Complexity'!$Q$20</f>
        <v>9</v>
      </c>
      <c r="F133">
        <f t="shared" si="26"/>
        <v>4.5</v>
      </c>
      <c r="G133">
        <f>F133*[4]Rate!$B$5</f>
        <v>148.5</v>
      </c>
    </row>
    <row r="134" spans="1:9">
      <c r="A134" t="s">
        <v>106</v>
      </c>
      <c r="B134" t="s">
        <v>77</v>
      </c>
      <c r="C134" t="s">
        <v>6</v>
      </c>
      <c r="D134">
        <f>SUM(D130:D133)</f>
        <v>2.5</v>
      </c>
      <c r="E134">
        <f>'Efforts with Complexity'!$Q$20</f>
        <v>9</v>
      </c>
      <c r="F134">
        <f>SUM(F130:F133)</f>
        <v>22.5</v>
      </c>
      <c r="G134">
        <f>SUM(G130:G133)</f>
        <v>778.5</v>
      </c>
    </row>
    <row r="136" spans="1:9">
      <c r="A136" t="s">
        <v>107</v>
      </c>
      <c r="B136" t="s">
        <v>76</v>
      </c>
      <c r="C136" t="s">
        <v>3</v>
      </c>
      <c r="D136">
        <v>1</v>
      </c>
      <c r="E136" s="76">
        <f>'Efforts with Complexity'!$Q$21</f>
        <v>3</v>
      </c>
      <c r="F136">
        <f>E136*D136</f>
        <v>3</v>
      </c>
      <c r="G136">
        <f>F136*[4]Rate!$B$2</f>
        <v>90</v>
      </c>
    </row>
    <row r="137" spans="1:9">
      <c r="A137" t="s">
        <v>107</v>
      </c>
      <c r="B137" t="s">
        <v>76</v>
      </c>
      <c r="C137" t="s">
        <v>7</v>
      </c>
      <c r="D137">
        <v>0</v>
      </c>
      <c r="E137" s="76">
        <f>'Efforts with Complexity'!$Q$21</f>
        <v>3</v>
      </c>
      <c r="F137">
        <f t="shared" ref="F137:F139" si="27">E137*D137</f>
        <v>0</v>
      </c>
      <c r="G137">
        <f>F137*[4]Rate!$B$3</f>
        <v>0</v>
      </c>
    </row>
    <row r="138" spans="1:9">
      <c r="A138" t="s">
        <v>107</v>
      </c>
      <c r="B138" t="s">
        <v>76</v>
      </c>
      <c r="C138" t="s">
        <v>5</v>
      </c>
      <c r="D138">
        <v>6</v>
      </c>
      <c r="E138" s="76">
        <f>'Efforts with Complexity'!$Q$21</f>
        <v>3</v>
      </c>
      <c r="F138">
        <f t="shared" si="27"/>
        <v>18</v>
      </c>
      <c r="G138">
        <f>F138*[4]Rate!$B$4</f>
        <v>450</v>
      </c>
    </row>
    <row r="139" spans="1:9">
      <c r="A139" t="s">
        <v>107</v>
      </c>
      <c r="B139" t="s">
        <v>76</v>
      </c>
      <c r="C139" t="s">
        <v>4</v>
      </c>
      <c r="D139">
        <v>0</v>
      </c>
      <c r="E139" s="76">
        <f>'Efforts with Complexity'!$Q$21</f>
        <v>3</v>
      </c>
      <c r="F139">
        <f t="shared" si="27"/>
        <v>0</v>
      </c>
      <c r="G139">
        <f>F139*[4]Rate!$B$5</f>
        <v>0</v>
      </c>
    </row>
    <row r="140" spans="1:9">
      <c r="A140" t="s">
        <v>107</v>
      </c>
      <c r="B140" t="s">
        <v>76</v>
      </c>
      <c r="C140" t="s">
        <v>6</v>
      </c>
      <c r="D140">
        <f>SUM(D136:D139)</f>
        <v>7</v>
      </c>
      <c r="E140" s="76">
        <f>'Efforts with Complexity'!$Q$21</f>
        <v>3</v>
      </c>
      <c r="F140">
        <f>SUM(F136:F139)</f>
        <v>21</v>
      </c>
      <c r="G140">
        <f>SUM(G136:G139)</f>
        <v>540</v>
      </c>
    </row>
    <row r="141" spans="1:9">
      <c r="A141" t="s">
        <v>107</v>
      </c>
    </row>
    <row r="142" spans="1:9">
      <c r="A142" t="s">
        <v>107</v>
      </c>
      <c r="B142" t="s">
        <v>77</v>
      </c>
      <c r="C142" t="s">
        <v>3</v>
      </c>
      <c r="D142">
        <v>1</v>
      </c>
      <c r="E142" s="76">
        <f>'Efforts with Complexity'!$Q$21</f>
        <v>3</v>
      </c>
      <c r="F142">
        <f>E142*D142</f>
        <v>3</v>
      </c>
      <c r="G142">
        <f>F142*[4]Rate!$B$2</f>
        <v>90</v>
      </c>
    </row>
    <row r="143" spans="1:9">
      <c r="A143" t="s">
        <v>107</v>
      </c>
      <c r="B143" t="s">
        <v>77</v>
      </c>
      <c r="C143" t="s">
        <v>7</v>
      </c>
      <c r="D143">
        <v>0.5</v>
      </c>
      <c r="E143" s="76">
        <f>'Efforts with Complexity'!$Q$21</f>
        <v>3</v>
      </c>
      <c r="F143">
        <f t="shared" ref="F143:F145" si="28">E143*D143</f>
        <v>1.5</v>
      </c>
      <c r="G143">
        <f>F143*[4]Rate!$B$3</f>
        <v>60</v>
      </c>
    </row>
    <row r="144" spans="1:9">
      <c r="A144" t="s">
        <v>107</v>
      </c>
      <c r="B144" t="s">
        <v>77</v>
      </c>
      <c r="C144" t="s">
        <v>5</v>
      </c>
      <c r="D144">
        <v>0</v>
      </c>
      <c r="E144" s="76">
        <f>'Efforts with Complexity'!$Q$21</f>
        <v>3</v>
      </c>
      <c r="F144">
        <f t="shared" si="28"/>
        <v>0</v>
      </c>
      <c r="G144">
        <f>F144*[4]Rate!$B$4</f>
        <v>0</v>
      </c>
    </row>
    <row r="145" spans="1:7">
      <c r="A145" t="s">
        <v>107</v>
      </c>
      <c r="B145" t="s">
        <v>77</v>
      </c>
      <c r="C145" t="s">
        <v>4</v>
      </c>
      <c r="D145">
        <v>1.5</v>
      </c>
      <c r="E145" s="76">
        <f>'Efforts with Complexity'!$Q$21</f>
        <v>3</v>
      </c>
      <c r="F145">
        <f t="shared" si="28"/>
        <v>4.5</v>
      </c>
      <c r="G145">
        <f>F145*[4]Rate!$B$5</f>
        <v>148.5</v>
      </c>
    </row>
    <row r="146" spans="1:7">
      <c r="A146" t="s">
        <v>107</v>
      </c>
      <c r="B146" t="s">
        <v>77</v>
      </c>
      <c r="C146" t="s">
        <v>6</v>
      </c>
      <c r="D146">
        <f>SUM(D142:D145)</f>
        <v>3</v>
      </c>
      <c r="E146" s="76">
        <f>'Efforts with Complexity'!$Q$21</f>
        <v>3</v>
      </c>
      <c r="F146">
        <f>SUM(F142:F145)</f>
        <v>9</v>
      </c>
      <c r="G146">
        <f>SUM(G142:G145)</f>
        <v>298.5</v>
      </c>
    </row>
    <row r="148" spans="1:7">
      <c r="A148" t="s">
        <v>84</v>
      </c>
      <c r="B148" t="s">
        <v>76</v>
      </c>
      <c r="C148" t="s">
        <v>3</v>
      </c>
      <c r="F148">
        <f t="shared" ref="F148:G152" si="29">F28+F40+F52+F64+F76+F88+F100</f>
        <v>97</v>
      </c>
      <c r="G148">
        <f t="shared" si="29"/>
        <v>2910</v>
      </c>
    </row>
    <row r="149" spans="1:7">
      <c r="A149" t="s">
        <v>84</v>
      </c>
      <c r="B149" t="s">
        <v>76</v>
      </c>
      <c r="C149" t="s">
        <v>7</v>
      </c>
      <c r="F149">
        <f t="shared" si="29"/>
        <v>0</v>
      </c>
      <c r="G149">
        <f t="shared" si="29"/>
        <v>0</v>
      </c>
    </row>
    <row r="150" spans="1:7">
      <c r="A150" t="s">
        <v>84</v>
      </c>
      <c r="B150" t="s">
        <v>76</v>
      </c>
      <c r="C150" t="s">
        <v>5</v>
      </c>
      <c r="F150">
        <f t="shared" si="29"/>
        <v>811</v>
      </c>
      <c r="G150">
        <f t="shared" si="29"/>
        <v>20275</v>
      </c>
    </row>
    <row r="151" spans="1:7">
      <c r="A151" t="s">
        <v>84</v>
      </c>
      <c r="B151" t="s">
        <v>76</v>
      </c>
      <c r="C151" t="s">
        <v>4</v>
      </c>
      <c r="F151">
        <f t="shared" si="29"/>
        <v>0</v>
      </c>
      <c r="G151">
        <f t="shared" si="29"/>
        <v>0</v>
      </c>
    </row>
    <row r="152" spans="1:7">
      <c r="A152" t="s">
        <v>84</v>
      </c>
      <c r="B152" t="s">
        <v>76</v>
      </c>
      <c r="C152" t="s">
        <v>6</v>
      </c>
      <c r="F152">
        <f t="shared" si="29"/>
        <v>908</v>
      </c>
      <c r="G152">
        <f t="shared" si="29"/>
        <v>23185</v>
      </c>
    </row>
    <row r="153" spans="1:7">
      <c r="A153" t="s">
        <v>84</v>
      </c>
      <c r="C153" t="s">
        <v>85</v>
      </c>
      <c r="F153">
        <f>SUM(F148:F151)</f>
        <v>908</v>
      </c>
      <c r="G153">
        <f>SUM(G148:G151)</f>
        <v>23185</v>
      </c>
    </row>
    <row r="154" spans="1:7">
      <c r="A154" t="s">
        <v>84</v>
      </c>
      <c r="B154" t="s">
        <v>77</v>
      </c>
      <c r="C154" t="s">
        <v>3</v>
      </c>
      <c r="F154">
        <f t="shared" ref="F154:G158" si="30">F34+F46+F58+F70+F82+F94+F106</f>
        <v>128.75</v>
      </c>
      <c r="G154">
        <f t="shared" si="30"/>
        <v>3862.5</v>
      </c>
    </row>
    <row r="155" spans="1:7">
      <c r="A155" t="s">
        <v>84</v>
      </c>
      <c r="B155" t="s">
        <v>77</v>
      </c>
      <c r="C155" t="s">
        <v>7</v>
      </c>
      <c r="F155">
        <f t="shared" si="30"/>
        <v>81.75</v>
      </c>
      <c r="G155">
        <f t="shared" si="30"/>
        <v>3270</v>
      </c>
    </row>
    <row r="156" spans="1:7">
      <c r="A156" t="s">
        <v>84</v>
      </c>
      <c r="B156" t="s">
        <v>77</v>
      </c>
      <c r="C156" t="s">
        <v>5</v>
      </c>
      <c r="F156">
        <f t="shared" si="30"/>
        <v>0</v>
      </c>
      <c r="G156">
        <f t="shared" si="30"/>
        <v>0</v>
      </c>
    </row>
    <row r="157" spans="1:7">
      <c r="A157" t="s">
        <v>84</v>
      </c>
      <c r="B157" t="s">
        <v>77</v>
      </c>
      <c r="C157" t="s">
        <v>4</v>
      </c>
      <c r="F157">
        <f t="shared" si="30"/>
        <v>559</v>
      </c>
      <c r="G157">
        <f t="shared" si="30"/>
        <v>18447</v>
      </c>
    </row>
    <row r="158" spans="1:7">
      <c r="A158" t="s">
        <v>84</v>
      </c>
      <c r="B158" t="s">
        <v>77</v>
      </c>
      <c r="C158" t="s">
        <v>6</v>
      </c>
      <c r="F158">
        <f t="shared" si="30"/>
        <v>769.5</v>
      </c>
      <c r="G158">
        <f t="shared" si="30"/>
        <v>25579.5</v>
      </c>
    </row>
    <row r="159" spans="1:7">
      <c r="A159" t="s">
        <v>84</v>
      </c>
      <c r="C159" t="s">
        <v>85</v>
      </c>
      <c r="F159">
        <f>SUM(F154:F157)</f>
        <v>769.5</v>
      </c>
      <c r="G159">
        <f>SUM(G154:G157)</f>
        <v>25579.5</v>
      </c>
    </row>
    <row r="161" spans="1:10">
      <c r="A161" t="s">
        <v>86</v>
      </c>
      <c r="B161" t="s">
        <v>10</v>
      </c>
      <c r="C161" t="s">
        <v>3</v>
      </c>
      <c r="F161">
        <f t="shared" ref="F161:G165" si="31">F28+F34+F40+F46+F52+F58+F64+F70+F76+F82+F88+F94+F100+F106</f>
        <v>225.75</v>
      </c>
      <c r="G161">
        <f t="shared" si="31"/>
        <v>6772.5</v>
      </c>
      <c r="H161">
        <f>F161*1.5</f>
        <v>338.625</v>
      </c>
      <c r="J161">
        <f>F161*0.5</f>
        <v>112.875</v>
      </c>
    </row>
    <row r="162" spans="1:10">
      <c r="A162" t="s">
        <v>86</v>
      </c>
      <c r="B162" t="s">
        <v>10</v>
      </c>
      <c r="C162" t="s">
        <v>7</v>
      </c>
      <c r="F162">
        <f t="shared" si="31"/>
        <v>81.75</v>
      </c>
      <c r="G162">
        <f t="shared" si="31"/>
        <v>3270</v>
      </c>
      <c r="H162">
        <f t="shared" ref="H162:H166" si="32">F162*1.5</f>
        <v>122.625</v>
      </c>
      <c r="J162">
        <f t="shared" ref="J162:J166" si="33">F162*0.5</f>
        <v>40.875</v>
      </c>
    </row>
    <row r="163" spans="1:10">
      <c r="A163" t="s">
        <v>86</v>
      </c>
      <c r="B163" t="s">
        <v>10</v>
      </c>
      <c r="C163" t="s">
        <v>5</v>
      </c>
      <c r="F163">
        <f t="shared" si="31"/>
        <v>811</v>
      </c>
      <c r="G163">
        <f t="shared" si="31"/>
        <v>20275</v>
      </c>
      <c r="H163">
        <f t="shared" si="32"/>
        <v>1216.5</v>
      </c>
      <c r="J163">
        <f t="shared" si="33"/>
        <v>405.5</v>
      </c>
    </row>
    <row r="164" spans="1:10">
      <c r="A164" t="s">
        <v>86</v>
      </c>
      <c r="B164" t="s">
        <v>10</v>
      </c>
      <c r="C164" t="s">
        <v>4</v>
      </c>
      <c r="F164">
        <f t="shared" si="31"/>
        <v>559</v>
      </c>
      <c r="G164">
        <f t="shared" si="31"/>
        <v>18447</v>
      </c>
      <c r="H164">
        <f t="shared" si="32"/>
        <v>838.5</v>
      </c>
      <c r="J164">
        <f t="shared" si="33"/>
        <v>279.5</v>
      </c>
    </row>
    <row r="165" spans="1:10">
      <c r="A165" t="s">
        <v>86</v>
      </c>
      <c r="B165" t="s">
        <v>10</v>
      </c>
      <c r="C165" t="s">
        <v>6</v>
      </c>
      <c r="F165">
        <f t="shared" si="31"/>
        <v>1677.5</v>
      </c>
      <c r="G165">
        <f t="shared" si="31"/>
        <v>48764.5</v>
      </c>
      <c r="H165">
        <f t="shared" si="32"/>
        <v>2516.25</v>
      </c>
      <c r="J165">
        <f t="shared" si="33"/>
        <v>838.75</v>
      </c>
    </row>
    <row r="166" spans="1:10">
      <c r="A166" t="s">
        <v>86</v>
      </c>
      <c r="B166" t="s">
        <v>10</v>
      </c>
      <c r="C166" t="s">
        <v>85</v>
      </c>
      <c r="F166">
        <f>SUM(F161:F164)</f>
        <v>1677.5</v>
      </c>
      <c r="G166">
        <f>SUM(G161:G164)</f>
        <v>48764.5</v>
      </c>
      <c r="H166">
        <f t="shared" si="32"/>
        <v>2516.25</v>
      </c>
      <c r="J166">
        <f t="shared" si="33"/>
        <v>838.75</v>
      </c>
    </row>
    <row r="168" spans="1:10">
      <c r="F168" t="s">
        <v>95</v>
      </c>
      <c r="H168" t="s">
        <v>75</v>
      </c>
    </row>
    <row r="169" spans="1:10">
      <c r="C169" t="s">
        <v>3</v>
      </c>
      <c r="F169">
        <f>F40+F46+F52+F58+F64+F70+F76+F82+F88+F94+F100+F106</f>
        <v>165.75</v>
      </c>
      <c r="H169">
        <f>F161-F169</f>
        <v>60</v>
      </c>
    </row>
    <row r="170" spans="1:10">
      <c r="C170" t="s">
        <v>7</v>
      </c>
      <c r="F170">
        <f>F41+F47+F53+F59+F65+F71+F77+F83+F89+F95+F101+F107</f>
        <v>51.75</v>
      </c>
      <c r="H170">
        <f>F162-F170</f>
        <v>30</v>
      </c>
    </row>
    <row r="171" spans="1:10">
      <c r="C171" t="s">
        <v>5</v>
      </c>
      <c r="F171">
        <f>F42+F48+F54+F60+F66+F72+F78+F84+F90+F96+F102+F108</f>
        <v>571</v>
      </c>
      <c r="H171">
        <f t="shared" ref="H171:H172" si="34">F163-F171</f>
        <v>240</v>
      </c>
    </row>
    <row r="172" spans="1:10">
      <c r="C172" t="s">
        <v>4</v>
      </c>
      <c r="F172">
        <f>F43+F49+F55+F61+F67+F73+F79+F85+F91+F97+F103+F109</f>
        <v>199</v>
      </c>
      <c r="H172">
        <f t="shared" si="34"/>
        <v>360</v>
      </c>
    </row>
    <row r="173" spans="1:10">
      <c r="C17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Rate</vt:lpstr>
      <vt:lpstr>Total efforts</vt:lpstr>
      <vt:lpstr>For presentation</vt:lpstr>
      <vt:lpstr>Efforts with Complexity</vt:lpstr>
      <vt:lpstr>Responsibility of TP</vt:lpstr>
      <vt:lpstr>outputs</vt:lpstr>
      <vt:lpstr>low</vt:lpstr>
      <vt:lpstr>Medium</vt:lpstr>
      <vt:lpstr>High</vt:lpstr>
      <vt:lpstr>e-sub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2019-01-12T14:05:16Z</dcterms:modified>
</cp:coreProperties>
</file>