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4.cc.ic.ac.uk\fc4217\Desktop\"/>
    </mc:Choice>
  </mc:AlternateContent>
  <xr:revisionPtr revIDLastSave="0" documentId="13_ncr:1_{123A0CF7-4AF3-4728-95CF-58850CBF3482}" xr6:coauthVersionLast="36" xr6:coauthVersionMax="36" xr10:uidLastSave="{00000000-0000-0000-0000-000000000000}"/>
  <bookViews>
    <workbookView xWindow="0" yWindow="0" windowWidth="8580" windowHeight="10335" xr2:uid="{78D3840D-E138-4107-8529-F0BC76605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88" i="1" l="1"/>
  <c r="B89" i="1"/>
  <c r="B79" i="1"/>
  <c r="B97" i="1"/>
  <c r="B96" i="1"/>
  <c r="B71" i="1"/>
  <c r="B68" i="1"/>
  <c r="B64" i="1"/>
  <c r="B62" i="1"/>
  <c r="B63" i="1"/>
  <c r="B59" i="1"/>
  <c r="B61" i="1" s="1"/>
  <c r="B56" i="1"/>
  <c r="B49" i="1"/>
  <c r="B45" i="1"/>
  <c r="B46" i="1" s="1"/>
  <c r="B34" i="1"/>
  <c r="B33" i="1"/>
  <c r="B32" i="1"/>
  <c r="B31" i="1"/>
  <c r="B30" i="1"/>
  <c r="B29" i="1"/>
  <c r="B28" i="1"/>
  <c r="B27" i="1"/>
  <c r="B26" i="1"/>
  <c r="B10" i="1"/>
  <c r="B25" i="1" s="1"/>
  <c r="B90" i="1" l="1"/>
  <c r="B92" i="1"/>
  <c r="B91" i="1"/>
  <c r="B83" i="1"/>
  <c r="B35" i="1"/>
  <c r="B39" i="1"/>
  <c r="B82" i="1"/>
  <c r="B86" i="1" s="1"/>
  <c r="B80" i="1"/>
  <c r="B65" i="1"/>
  <c r="B38" i="1"/>
  <c r="B81" i="1"/>
  <c r="B55" i="1"/>
  <c r="B50" i="1"/>
  <c r="B67" i="1" s="1"/>
  <c r="B69" i="1" s="1"/>
  <c r="B70" i="1" s="1"/>
  <c r="B76" i="1" s="1"/>
  <c r="B6" i="1"/>
  <c r="B5" i="1"/>
  <c r="B4" i="1"/>
  <c r="B3" i="1"/>
  <c r="B2" i="1"/>
  <c r="B77" i="1" l="1"/>
  <c r="B78" i="1" s="1"/>
  <c r="B84" i="1"/>
  <c r="B85" i="1" s="1"/>
  <c r="B87" i="1" s="1"/>
  <c r="B53" i="1"/>
  <c r="B54" i="1" s="1"/>
  <c r="B43" i="1"/>
  <c r="B40" i="1"/>
  <c r="B42" i="1"/>
  <c r="B41" i="1"/>
  <c r="B16" i="1"/>
  <c r="B15" i="1"/>
</calcChain>
</file>

<file path=xl/sharedStrings.xml><?xml version="1.0" encoding="utf-8"?>
<sst xmlns="http://schemas.openxmlformats.org/spreadsheetml/2006/main" count="172" uniqueCount="172">
  <si>
    <t>rMars</t>
  </si>
  <si>
    <t>omegaMars</t>
  </si>
  <si>
    <t>muMars</t>
  </si>
  <si>
    <t>kMars</t>
  </si>
  <si>
    <t>J2Mars</t>
  </si>
  <si>
    <t>Cmars</t>
  </si>
  <si>
    <t>aMars</t>
  </si>
  <si>
    <t>bMars</t>
  </si>
  <si>
    <t>FPAideg</t>
  </si>
  <si>
    <t>azideg</t>
  </si>
  <si>
    <t>latdeg</t>
  </si>
  <si>
    <t>longdeg</t>
  </si>
  <si>
    <t>h</t>
  </si>
  <si>
    <t>Vorb</t>
  </si>
  <si>
    <t>Torb</t>
  </si>
  <si>
    <t>alphadeg</t>
  </si>
  <si>
    <t>betadeg</t>
  </si>
  <si>
    <t>bankdeg</t>
  </si>
  <si>
    <t>omegaXdeg</t>
  </si>
  <si>
    <t>omegaYdeg</t>
  </si>
  <si>
    <t>omegaZdeg</t>
  </si>
  <si>
    <t>Qload</t>
  </si>
  <si>
    <t>Tw</t>
  </si>
  <si>
    <t>Vinf</t>
  </si>
  <si>
    <t>FPA</t>
  </si>
  <si>
    <t>azi</t>
  </si>
  <si>
    <t>lat</t>
  </si>
  <si>
    <t>long</t>
  </si>
  <si>
    <t>bank</t>
  </si>
  <si>
    <t>omegaX</t>
  </si>
  <si>
    <t>omegaY</t>
  </si>
  <si>
    <t>omegaZ</t>
  </si>
  <si>
    <t>Diameter</t>
  </si>
  <si>
    <t>RNose</t>
  </si>
  <si>
    <t>RShoulder</t>
  </si>
  <si>
    <t>SphereConeAngle</t>
  </si>
  <si>
    <t>mass</t>
  </si>
  <si>
    <t>RNoseCone</t>
  </si>
  <si>
    <t>RRib</t>
  </si>
  <si>
    <t>NRibs</t>
  </si>
  <si>
    <t>RibAngle</t>
  </si>
  <si>
    <t>Rbody</t>
  </si>
  <si>
    <t>RefArea</t>
  </si>
  <si>
    <t>RPayload</t>
  </si>
  <si>
    <t>HeightPayload</t>
  </si>
  <si>
    <t>RibWidth</t>
  </si>
  <si>
    <t>RibDepth</t>
  </si>
  <si>
    <t>RibWallThickness</t>
  </si>
  <si>
    <t>RootArea</t>
  </si>
  <si>
    <t>EndRibDepth</t>
  </si>
  <si>
    <t>EndRibWidth</t>
  </si>
  <si>
    <t>EndRibWallThickness</t>
  </si>
  <si>
    <t>EndArea</t>
  </si>
  <si>
    <t>RSupportStrutLoc</t>
  </si>
  <si>
    <t>RCantRib</t>
  </si>
  <si>
    <t>SupportStrutLoc</t>
  </si>
  <si>
    <t>CantRibLength</t>
  </si>
  <si>
    <t>RibLength</t>
  </si>
  <si>
    <t>E</t>
  </si>
  <si>
    <t>nu</t>
  </si>
  <si>
    <t>RibDensity</t>
  </si>
  <si>
    <t>HSdensity</t>
  </si>
  <si>
    <t>TPSspecificmass</t>
  </si>
  <si>
    <t>RootRibMass</t>
  </si>
  <si>
    <t>EndRibMass</t>
  </si>
  <si>
    <t>RibMass</t>
  </si>
  <si>
    <t>nop</t>
  </si>
  <si>
    <t>nopNose</t>
  </si>
  <si>
    <t>nopFrustum</t>
  </si>
  <si>
    <t>nopRibLength</t>
  </si>
  <si>
    <t>nopRibWidth</t>
  </si>
  <si>
    <t>r</t>
  </si>
  <si>
    <t>u</t>
  </si>
  <si>
    <t>v</t>
  </si>
  <si>
    <t>w</t>
  </si>
  <si>
    <t>yaw</t>
  </si>
  <si>
    <t>pitch</t>
  </si>
  <si>
    <t>roll</t>
  </si>
  <si>
    <t>alpha_total</t>
  </si>
  <si>
    <t>phi_a</t>
  </si>
  <si>
    <t>e0</t>
  </si>
  <si>
    <t>e1</t>
  </si>
  <si>
    <t>e2</t>
  </si>
  <si>
    <t>e3</t>
  </si>
  <si>
    <t>nopShoulder</t>
  </si>
  <si>
    <t>SphereConeAngleRad</t>
  </si>
  <si>
    <t>NoseHeight</t>
  </si>
  <si>
    <t>NoseLength</t>
  </si>
  <si>
    <t>ShoulderHeight</t>
  </si>
  <si>
    <t>ShoulderLength</t>
  </si>
  <si>
    <t>FrustumLength</t>
  </si>
  <si>
    <t>FrustumHeight</t>
  </si>
  <si>
    <t>ConeHeight</t>
  </si>
  <si>
    <t>ConeVertex</t>
  </si>
  <si>
    <t>RibAngleRad</t>
  </si>
  <si>
    <t>HSthickness</t>
  </si>
  <si>
    <t>Mars equatorial radius [m]</t>
  </si>
  <si>
    <t>Mars rotation rate [rad/s]</t>
  </si>
  <si>
    <t>Mars gravitational constant [m^3/s^2]</t>
  </si>
  <si>
    <t>Mars Sutton &amp; Graves coefficient [kg^0.5/m]</t>
  </si>
  <si>
    <t>Mars J2 coefficient</t>
  </si>
  <si>
    <t>Mars Tauber &amp; Sutton coefficient C</t>
  </si>
  <si>
    <t>Mars Tauber &amp; Sutton coefficient a</t>
  </si>
  <si>
    <t>Mars Tauber &amp; Sutton coefficient b</t>
  </si>
  <si>
    <t>Entry vehicle diameter [m]</t>
  </si>
  <si>
    <t>Nose radius [m]</t>
  </si>
  <si>
    <t>Shoulder radius [m]</t>
  </si>
  <si>
    <t>Sphere-cone angle of frontshield [deg]</t>
  </si>
  <si>
    <t>Entry mass [kg]</t>
  </si>
  <si>
    <t>Radius of fixed nose cone [m]</t>
  </si>
  <si>
    <t>Radius of deployed rib (from nosecone) [m]</t>
  </si>
  <si>
    <t>Number of deployable ribs</t>
  </si>
  <si>
    <t>Angle of deployed ribs [deg]</t>
  </si>
  <si>
    <t>Overall radius of entire entry vehicle body [m]</t>
  </si>
  <si>
    <t>Reference/effective surface area [m^2]</t>
  </si>
  <si>
    <t>Payload container radius [m]</t>
  </si>
  <si>
    <t>Payload container height [m]</t>
  </si>
  <si>
    <t>Thickness of heatshield [m]</t>
  </si>
  <si>
    <t>Specific mass of flexible TPS [kg/m2]</t>
  </si>
  <si>
    <t>Width of rib [m]</t>
  </si>
  <si>
    <t>Depth of rib [m]</t>
  </si>
  <si>
    <t>Thickness of rib cross-section [m]</t>
  </si>
  <si>
    <t>Width of rib at end [m]</t>
  </si>
  <si>
    <t>Depth of rib at end [m]</t>
  </si>
  <si>
    <t>Thickness of rib cross-section at end [m]</t>
  </si>
  <si>
    <t>Location of support strut to rib from edge of fixed nosecone in radial direction [m]</t>
  </si>
  <si>
    <t>Radius of cantilevered rib from support strut [m]</t>
  </si>
  <si>
    <t>Length of deployed rib to support strut location [m]</t>
  </si>
  <si>
    <t>Length of cantilevered rib from support strut [m]</t>
  </si>
  <si>
    <t>Flight path angle at entry [rad]</t>
  </si>
  <si>
    <t>Local azimuth/heading angle at entry [degrees from N]</t>
  </si>
  <si>
    <t>Local azimuth/heading angle at entry [rad]</t>
  </si>
  <si>
    <t>Latitude at entry [degrees N]</t>
  </si>
  <si>
    <t>Latitude at entry [rad]</t>
  </si>
  <si>
    <t>Longitude at entry [degrees E]</t>
  </si>
  <si>
    <t>Longitude at entry [rad]</t>
  </si>
  <si>
    <t>Altitude at entry [m]</t>
  </si>
  <si>
    <t>Orbital velocity for initial altitude</t>
  </si>
  <si>
    <t>Orbital period for circular orbit</t>
  </si>
  <si>
    <t>Angle of attack [degrees]</t>
  </si>
  <si>
    <t>Angle of attack [rad]</t>
  </si>
  <si>
    <t>alpha</t>
  </si>
  <si>
    <t>Angle of sideslip [degrees]</t>
  </si>
  <si>
    <t>Angle of sideslip [rad]</t>
  </si>
  <si>
    <t>beta</t>
  </si>
  <si>
    <t>Bank angle [degrees]</t>
  </si>
  <si>
    <t>Bank angle [rad]</t>
  </si>
  <si>
    <t>Roll rate p [deg/s]</t>
  </si>
  <si>
    <t>Initial roll rate p [rad/s]</t>
  </si>
  <si>
    <t>Pitch rate q [deg/s]</t>
  </si>
  <si>
    <t>Initial pitch rate q [rad/s]</t>
  </si>
  <si>
    <t>Yaw rate r [deg/s]</t>
  </si>
  <si>
    <t>Initial yaw rate r [rad/s]</t>
  </si>
  <si>
    <t>Heat load at EIP</t>
  </si>
  <si>
    <t>Wall temperature of heatshield at EIP [K]</t>
  </si>
  <si>
    <t>Relative entry velocity [m/s] also known as Vinf</t>
  </si>
  <si>
    <t>Total angle of attack [rad] - used in Airbus reference frame</t>
  </si>
  <si>
    <t>Aerodynamic roll angle [rad] - used in Airbus reference frame</t>
  </si>
  <si>
    <t>Roll angle [rad] (Wagner, 1965)</t>
  </si>
  <si>
    <t>Pitch angle [rad] - FPA down is positive, opposite to Schoenenberger (2006)</t>
  </si>
  <si>
    <t>Yaw angle [rad]</t>
  </si>
  <si>
    <t>Number of mesh points</t>
  </si>
  <si>
    <t>Number of mesh points along nose length</t>
  </si>
  <si>
    <t>Number of mesh points along frustum length</t>
  </si>
  <si>
    <t>Number of mesh points along rib length</t>
  </si>
  <si>
    <t xml:space="preserve"> Number of mesh points across ribs</t>
  </si>
  <si>
    <t>Define attitude (ZYX rotation)</t>
  </si>
  <si>
    <t>Young's modulus of Ti-6-4</t>
  </si>
  <si>
    <t>Poisson Ration of Ti-6-4</t>
  </si>
  <si>
    <t>Relative entry velocity [m/s]</t>
  </si>
  <si>
    <t>atan2(tan(beta),sin(alpha))</t>
  </si>
  <si>
    <t>atan2(sin(bank),cos(alpha)*(cos(bank)-tan(-FPA)*tan(alpha)))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</si>
</sst>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2" fillId="8" borderId="1" xfId="0" applyFont="1" applyFill="1" applyBorder="1"/>
    <xf numFmtId="0" fontId="0" fillId="9" borderId="1" xfId="0" applyFill="1" applyBorder="1"/>
    <xf numFmtId="0" fontId="0" fillId="13" borderId="1" xfId="0" applyFill="1" applyBorder="1"/>
    <xf numFmtId="0" fontId="1" fillId="11" borderId="1" xfId="0" applyFont="1" applyFill="1" applyBorder="1"/>
    <xf numFmtId="0" fontId="0" fillId="6" borderId="1" xfId="0" applyFill="1" applyBorder="1"/>
    <xf numFmtId="164" fontId="0" fillId="5" borderId="1" xfId="0" applyNumberFormat="1" applyFill="1" applyBorder="1"/>
    <xf numFmtId="164" fontId="0" fillId="2" borderId="1" xfId="0" applyNumberFormat="1" applyFill="1" applyBorder="1"/>
    <xf numFmtId="164" fontId="0" fillId="11" borderId="1" xfId="0" applyNumberFormat="1" applyFill="1" applyBorder="1"/>
    <xf numFmtId="164" fontId="0" fillId="14" borderId="1" xfId="0" applyNumberFormat="1" applyFill="1" applyBorder="1"/>
    <xf numFmtId="164" fontId="0" fillId="7" borderId="1" xfId="0" applyNumberFormat="1" applyFill="1" applyBorder="1"/>
    <xf numFmtId="164" fontId="0" fillId="12" borderId="1" xfId="0" applyNumberFormat="1" applyFill="1" applyBorder="1"/>
    <xf numFmtId="164" fontId="0" fillId="10" borderId="1" xfId="0" applyNumberFormat="1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9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DEA4-2C6D-4850-9DFF-D871C8E80CD2}">
  <dimension ref="A1:D98"/>
  <sheetViews>
    <sheetView tabSelected="1" topLeftCell="A67" workbookViewId="0">
      <selection activeCell="C100" sqref="C100"/>
    </sheetView>
  </sheetViews>
  <sheetFormatPr defaultRowHeight="15" x14ac:dyDescent="0.25"/>
  <cols>
    <col min="1" max="1" width="23.42578125" customWidth="1"/>
    <col min="2" max="2" width="61.140625" customWidth="1"/>
    <col min="3" max="3" width="74.85546875" customWidth="1"/>
    <col min="4" max="4" width="62.28515625" customWidth="1"/>
  </cols>
  <sheetData>
    <row r="1" spans="1:3" x14ac:dyDescent="0.25">
      <c r="A1" s="1" t="s">
        <v>0</v>
      </c>
      <c r="B1" s="9">
        <v>3396190</v>
      </c>
      <c r="C1" s="15" t="s">
        <v>96</v>
      </c>
    </row>
    <row r="2" spans="1:3" x14ac:dyDescent="0.25">
      <c r="A2" s="1" t="s">
        <v>1</v>
      </c>
      <c r="B2" s="9">
        <f>7.08824*10^(-5)</f>
        <v>7.0882400000000004E-5</v>
      </c>
      <c r="C2" s="15" t="s">
        <v>97</v>
      </c>
    </row>
    <row r="3" spans="1:3" x14ac:dyDescent="0.25">
      <c r="A3" s="1" t="s">
        <v>2</v>
      </c>
      <c r="B3" s="9">
        <f>4.282837*10^(13)</f>
        <v>42828370000000</v>
      </c>
      <c r="C3" s="15" t="s">
        <v>98</v>
      </c>
    </row>
    <row r="4" spans="1:3" x14ac:dyDescent="0.25">
      <c r="A4" s="1" t="s">
        <v>3</v>
      </c>
      <c r="B4" s="9">
        <f>1.898*10^(-4)</f>
        <v>1.8980000000000001E-4</v>
      </c>
      <c r="C4" s="15" t="s">
        <v>99</v>
      </c>
    </row>
    <row r="5" spans="1:3" x14ac:dyDescent="0.25">
      <c r="A5" s="1" t="s">
        <v>4</v>
      </c>
      <c r="B5" s="9">
        <f>1.960454*10^(-3)</f>
        <v>1.9604539999999999E-3</v>
      </c>
      <c r="C5" s="15" t="s">
        <v>100</v>
      </c>
    </row>
    <row r="6" spans="1:3" x14ac:dyDescent="0.25">
      <c r="A6" s="1" t="s">
        <v>5</v>
      </c>
      <c r="B6" s="9">
        <f>2.35*10^4</f>
        <v>23500</v>
      </c>
      <c r="C6" s="15" t="s">
        <v>101</v>
      </c>
    </row>
    <row r="7" spans="1:3" x14ac:dyDescent="0.25">
      <c r="A7" s="1" t="s">
        <v>6</v>
      </c>
      <c r="B7" s="9">
        <v>0.52600000000000002</v>
      </c>
      <c r="C7" s="15" t="s">
        <v>102</v>
      </c>
    </row>
    <row r="8" spans="1:3" x14ac:dyDescent="0.25">
      <c r="A8" s="1" t="s">
        <v>7</v>
      </c>
      <c r="B8" s="9">
        <v>1.19</v>
      </c>
      <c r="C8" s="15" t="s">
        <v>103</v>
      </c>
    </row>
    <row r="9" spans="1:3" x14ac:dyDescent="0.25">
      <c r="A9" s="2" t="s">
        <v>23</v>
      </c>
      <c r="B9" s="8">
        <v>6000</v>
      </c>
      <c r="C9" s="15" t="s">
        <v>169</v>
      </c>
    </row>
    <row r="10" spans="1:3" x14ac:dyDescent="0.25">
      <c r="A10" s="2" t="s">
        <v>8</v>
      </c>
      <c r="B10" s="8">
        <f>12.401</f>
        <v>12.401</v>
      </c>
      <c r="C10" s="15" t="s">
        <v>155</v>
      </c>
    </row>
    <row r="11" spans="1:3" x14ac:dyDescent="0.25">
      <c r="A11" s="2" t="s">
        <v>9</v>
      </c>
      <c r="B11" s="8">
        <v>124.42</v>
      </c>
      <c r="C11" s="15" t="s">
        <v>130</v>
      </c>
    </row>
    <row r="12" spans="1:3" x14ac:dyDescent="0.25">
      <c r="A12" s="2" t="s">
        <v>10</v>
      </c>
      <c r="B12" s="8">
        <v>4.6825999999999999</v>
      </c>
      <c r="C12" s="15" t="s">
        <v>132</v>
      </c>
    </row>
    <row r="13" spans="1:3" x14ac:dyDescent="0.25">
      <c r="A13" s="2" t="s">
        <v>11</v>
      </c>
      <c r="B13" s="8">
        <v>-15.535</v>
      </c>
      <c r="C13" s="15" t="s">
        <v>134</v>
      </c>
    </row>
    <row r="14" spans="1:3" x14ac:dyDescent="0.25">
      <c r="A14" s="2" t="s">
        <v>12</v>
      </c>
      <c r="B14" s="8">
        <v>120700</v>
      </c>
      <c r="C14" s="15" t="s">
        <v>136</v>
      </c>
    </row>
    <row r="15" spans="1:3" x14ac:dyDescent="0.25">
      <c r="A15" s="2" t="s">
        <v>13</v>
      </c>
      <c r="B15" s="8">
        <f>(B3/(B1+B14))^0.5</f>
        <v>3489.6862363918403</v>
      </c>
      <c r="C15" s="15" t="s">
        <v>137</v>
      </c>
    </row>
    <row r="16" spans="1:3" x14ac:dyDescent="0.25">
      <c r="A16" s="2" t="s">
        <v>14</v>
      </c>
      <c r="B16" s="8">
        <f>2*PI()*(B1+B14)/((B3/(B1+B14))^0.5)</f>
        <v>6332.1657243931131</v>
      </c>
      <c r="C16" s="15" t="s">
        <v>138</v>
      </c>
    </row>
    <row r="17" spans="1:3" x14ac:dyDescent="0.25">
      <c r="A17" s="2" t="s">
        <v>15</v>
      </c>
      <c r="B17" s="8">
        <v>0</v>
      </c>
      <c r="C17" s="15" t="s">
        <v>139</v>
      </c>
    </row>
    <row r="18" spans="1:3" x14ac:dyDescent="0.25">
      <c r="A18" s="2" t="s">
        <v>16</v>
      </c>
      <c r="B18" s="8">
        <v>0.26611000000000001</v>
      </c>
      <c r="C18" s="15" t="s">
        <v>142</v>
      </c>
    </row>
    <row r="19" spans="1:3" x14ac:dyDescent="0.25">
      <c r="A19" s="2" t="s">
        <v>17</v>
      </c>
      <c r="B19" s="8">
        <v>-26.335999999999999</v>
      </c>
      <c r="C19" s="15" t="s">
        <v>145</v>
      </c>
    </row>
    <row r="20" spans="1:3" x14ac:dyDescent="0.25">
      <c r="A20" s="2" t="s">
        <v>18</v>
      </c>
      <c r="B20" s="8">
        <v>0</v>
      </c>
      <c r="C20" s="15" t="s">
        <v>147</v>
      </c>
    </row>
    <row r="21" spans="1:3" x14ac:dyDescent="0.25">
      <c r="A21" s="2" t="s">
        <v>19</v>
      </c>
      <c r="B21" s="8">
        <v>1.0160000000000001E-2</v>
      </c>
      <c r="C21" s="15" t="s">
        <v>149</v>
      </c>
    </row>
    <row r="22" spans="1:3" x14ac:dyDescent="0.25">
      <c r="A22" s="2" t="s">
        <v>20</v>
      </c>
      <c r="B22" s="8">
        <v>2.693893E-2</v>
      </c>
      <c r="C22" s="15" t="s">
        <v>151</v>
      </c>
    </row>
    <row r="23" spans="1:3" x14ac:dyDescent="0.25">
      <c r="A23" s="2" t="s">
        <v>21</v>
      </c>
      <c r="B23" s="8">
        <v>0</v>
      </c>
      <c r="C23" s="15" t="s">
        <v>153</v>
      </c>
    </row>
    <row r="24" spans="1:3" x14ac:dyDescent="0.25">
      <c r="A24" s="2" t="s">
        <v>22</v>
      </c>
      <c r="B24" s="8">
        <v>255</v>
      </c>
      <c r="C24" s="15" t="s">
        <v>154</v>
      </c>
    </row>
    <row r="25" spans="1:3" x14ac:dyDescent="0.25">
      <c r="A25" s="2" t="s">
        <v>24</v>
      </c>
      <c r="B25" s="8">
        <f>B10*PI()/180</f>
        <v>0.21643828053981681</v>
      </c>
      <c r="C25" s="15" t="s">
        <v>129</v>
      </c>
    </row>
    <row r="26" spans="1:3" x14ac:dyDescent="0.25">
      <c r="A26" s="2" t="s">
        <v>25</v>
      </c>
      <c r="B26" s="8">
        <f>B11*PI()/180</f>
        <v>2.1715386553313447</v>
      </c>
      <c r="C26" s="15" t="s">
        <v>131</v>
      </c>
    </row>
    <row r="27" spans="1:3" x14ac:dyDescent="0.25">
      <c r="A27" s="2" t="s">
        <v>26</v>
      </c>
      <c r="B27" s="8">
        <f>B12*PI()/180</f>
        <v>8.1726787553886474E-2</v>
      </c>
      <c r="C27" s="15" t="s">
        <v>133</v>
      </c>
    </row>
    <row r="28" spans="1:3" x14ac:dyDescent="0.25">
      <c r="A28" s="2" t="s">
        <v>27</v>
      </c>
      <c r="B28" s="8">
        <f>B13*PI()/180</f>
        <v>-0.2711368992973191</v>
      </c>
      <c r="C28" s="15" t="s">
        <v>135</v>
      </c>
    </row>
    <row r="29" spans="1:3" x14ac:dyDescent="0.25">
      <c r="A29" s="2" t="s">
        <v>141</v>
      </c>
      <c r="B29" s="8">
        <f t="shared" ref="B29:B34" si="0">B17*PI()/180</f>
        <v>0</v>
      </c>
      <c r="C29" s="15" t="s">
        <v>140</v>
      </c>
    </row>
    <row r="30" spans="1:3" x14ac:dyDescent="0.25">
      <c r="A30" s="2" t="s">
        <v>144</v>
      </c>
      <c r="B30" s="8">
        <f t="shared" si="0"/>
        <v>4.6444956724821101E-3</v>
      </c>
      <c r="C30" s="15" t="s">
        <v>143</v>
      </c>
    </row>
    <row r="31" spans="1:3" x14ac:dyDescent="0.25">
      <c r="A31" s="2" t="s">
        <v>28</v>
      </c>
      <c r="B31" s="8">
        <f t="shared" si="0"/>
        <v>-0.45964991180522663</v>
      </c>
      <c r="C31" s="15" t="s">
        <v>146</v>
      </c>
    </row>
    <row r="32" spans="1:3" x14ac:dyDescent="0.25">
      <c r="A32" s="2" t="s">
        <v>29</v>
      </c>
      <c r="B32" s="8">
        <f t="shared" si="0"/>
        <v>0</v>
      </c>
      <c r="C32" s="15" t="s">
        <v>148</v>
      </c>
    </row>
    <row r="33" spans="1:4" x14ac:dyDescent="0.25">
      <c r="A33" s="2" t="s">
        <v>30</v>
      </c>
      <c r="B33" s="8">
        <f t="shared" si="0"/>
        <v>1.7732545200262387E-4</v>
      </c>
      <c r="C33" s="15" t="s">
        <v>150</v>
      </c>
    </row>
    <row r="34" spans="1:4" x14ac:dyDescent="0.25">
      <c r="A34" s="2" t="s">
        <v>31</v>
      </c>
      <c r="B34" s="8">
        <f t="shared" si="0"/>
        <v>4.7017302546427603E-4</v>
      </c>
      <c r="C34" s="15" t="s">
        <v>152</v>
      </c>
    </row>
    <row r="35" spans="1:4" x14ac:dyDescent="0.25">
      <c r="A35" s="2" t="s">
        <v>78</v>
      </c>
      <c r="B35" s="8">
        <f>ACOS(COS(B29)*COS(B30))</f>
        <v>4.6444956724756015E-3</v>
      </c>
      <c r="C35" s="15" t="s">
        <v>156</v>
      </c>
    </row>
    <row r="36" spans="1:4" x14ac:dyDescent="0.25">
      <c r="A36" s="6" t="s">
        <v>79</v>
      </c>
      <c r="B36" s="10">
        <v>1.5708</v>
      </c>
      <c r="C36" s="15" t="s">
        <v>157</v>
      </c>
      <c r="D36" t="s">
        <v>170</v>
      </c>
    </row>
    <row r="37" spans="1:4" x14ac:dyDescent="0.25">
      <c r="A37" s="6" t="s">
        <v>77</v>
      </c>
      <c r="B37" s="10">
        <v>-0.45960000000000001</v>
      </c>
      <c r="C37" s="15" t="s">
        <v>158</v>
      </c>
      <c r="D37" t="s">
        <v>171</v>
      </c>
    </row>
    <row r="38" spans="1:4" x14ac:dyDescent="0.25">
      <c r="A38" s="2" t="s">
        <v>76</v>
      </c>
      <c r="B38" s="8">
        <f>B29-B25</f>
        <v>-0.21643828053981681</v>
      </c>
      <c r="C38" s="15" t="s">
        <v>159</v>
      </c>
    </row>
    <row r="39" spans="1:4" x14ac:dyDescent="0.25">
      <c r="A39" s="2" t="s">
        <v>75</v>
      </c>
      <c r="B39" s="8">
        <f>B26-B30</f>
        <v>2.1668941596588627</v>
      </c>
      <c r="C39" s="15" t="s">
        <v>160</v>
      </c>
    </row>
    <row r="40" spans="1:4" x14ac:dyDescent="0.25">
      <c r="A40" s="7" t="s">
        <v>80</v>
      </c>
      <c r="B40" s="11">
        <f>COS(B37/2)*COS(B38/2)*COS(B39/2)+SIN(B37/2)*SIN(B38/2)*SIN(B39/2)</f>
        <v>0.47504574171352276</v>
      </c>
      <c r="C40" s="15" t="s">
        <v>166</v>
      </c>
    </row>
    <row r="41" spans="1:4" x14ac:dyDescent="0.25">
      <c r="A41" s="7" t="s">
        <v>81</v>
      </c>
      <c r="B41" s="11">
        <f>SIN(B37/2)*COS(B38/2)*COS(B39/2)-COS(B37/2)*SIN(B38/2)*SIN(B39/2)</f>
        <v>-1.3118664748761097E-2</v>
      </c>
      <c r="C41" s="15"/>
    </row>
    <row r="42" spans="1:4" x14ac:dyDescent="0.25">
      <c r="A42" s="7" t="s">
        <v>82</v>
      </c>
      <c r="B42" s="11">
        <f>COS(B37/2)*SIN(B38/2)*COS(B39/2)+SIN(B37/2)*COS(B38/2)*SIN(B39/2)</f>
        <v>-0.24933527563976945</v>
      </c>
      <c r="C42" s="15"/>
    </row>
    <row r="43" spans="1:4" x14ac:dyDescent="0.25">
      <c r="A43" s="7" t="s">
        <v>83</v>
      </c>
      <c r="B43" s="11">
        <f>COS(B37/2)*COS(B38/2)*SIN(B39/2)-SIN(B37/2)*SIN(B38/2)*COS(B39/2)</f>
        <v>0.84379580719312575</v>
      </c>
      <c r="C43" s="15"/>
    </row>
    <row r="44" spans="1:4" x14ac:dyDescent="0.25">
      <c r="A44" s="3" t="s">
        <v>32</v>
      </c>
      <c r="B44" s="12">
        <v>16</v>
      </c>
      <c r="C44" s="15" t="s">
        <v>104</v>
      </c>
    </row>
    <row r="45" spans="1:4" x14ac:dyDescent="0.25">
      <c r="A45" s="3" t="s">
        <v>33</v>
      </c>
      <c r="B45" s="12">
        <f>B44/6</f>
        <v>2.6666666666666665</v>
      </c>
      <c r="C45" s="15" t="s">
        <v>105</v>
      </c>
    </row>
    <row r="46" spans="1:4" x14ac:dyDescent="0.25">
      <c r="A46" s="3" t="s">
        <v>34</v>
      </c>
      <c r="B46" s="12">
        <f>B45/10</f>
        <v>0.26666666666666666</v>
      </c>
      <c r="C46" s="15" t="s">
        <v>106</v>
      </c>
    </row>
    <row r="47" spans="1:4" x14ac:dyDescent="0.25">
      <c r="A47" s="3" t="s">
        <v>35</v>
      </c>
      <c r="B47" s="12">
        <v>70</v>
      </c>
      <c r="C47" s="15" t="s">
        <v>107</v>
      </c>
    </row>
    <row r="48" spans="1:4" x14ac:dyDescent="0.25">
      <c r="A48" s="3" t="s">
        <v>36</v>
      </c>
      <c r="B48" s="12">
        <v>50000</v>
      </c>
      <c r="C48" s="15" t="s">
        <v>108</v>
      </c>
    </row>
    <row r="49" spans="1:3" x14ac:dyDescent="0.25">
      <c r="A49" s="3" t="s">
        <v>37</v>
      </c>
      <c r="B49" s="12">
        <f>4.5/2</f>
        <v>2.25</v>
      </c>
      <c r="C49" s="15" t="s">
        <v>109</v>
      </c>
    </row>
    <row r="50" spans="1:3" x14ac:dyDescent="0.25">
      <c r="A50" s="3" t="s">
        <v>38</v>
      </c>
      <c r="B50" s="12">
        <f>B44/2-B49</f>
        <v>5.75</v>
      </c>
      <c r="C50" s="15" t="s">
        <v>110</v>
      </c>
    </row>
    <row r="51" spans="1:3" x14ac:dyDescent="0.25">
      <c r="A51" s="3" t="s">
        <v>39</v>
      </c>
      <c r="B51" s="12">
        <v>6</v>
      </c>
      <c r="C51" s="15" t="s">
        <v>111</v>
      </c>
    </row>
    <row r="52" spans="1:3" x14ac:dyDescent="0.25">
      <c r="A52" s="3" t="s">
        <v>40</v>
      </c>
      <c r="B52" s="12">
        <v>70</v>
      </c>
      <c r="C52" s="15" t="s">
        <v>112</v>
      </c>
    </row>
    <row r="53" spans="1:3" x14ac:dyDescent="0.25">
      <c r="A53" s="3" t="s">
        <v>41</v>
      </c>
      <c r="B53" s="12">
        <f>B49+B50</f>
        <v>8</v>
      </c>
      <c r="C53" s="15" t="s">
        <v>113</v>
      </c>
    </row>
    <row r="54" spans="1:3" x14ac:dyDescent="0.25">
      <c r="A54" s="3" t="s">
        <v>42</v>
      </c>
      <c r="B54" s="12">
        <f>PI()*B53^2</f>
        <v>201.06192982974676</v>
      </c>
      <c r="C54" s="15" t="s">
        <v>114</v>
      </c>
    </row>
    <row r="55" spans="1:3" x14ac:dyDescent="0.25">
      <c r="A55" s="3" t="s">
        <v>43</v>
      </c>
      <c r="B55" s="12">
        <f>B49</f>
        <v>2.25</v>
      </c>
      <c r="C55" s="15" t="s">
        <v>115</v>
      </c>
    </row>
    <row r="56" spans="1:3" x14ac:dyDescent="0.25">
      <c r="A56" s="3" t="s">
        <v>44</v>
      </c>
      <c r="B56" s="12">
        <f>0.4*B44</f>
        <v>6.4</v>
      </c>
      <c r="C56" s="15" t="s">
        <v>116</v>
      </c>
    </row>
    <row r="57" spans="1:3" x14ac:dyDescent="0.25">
      <c r="A57" s="3" t="s">
        <v>95</v>
      </c>
      <c r="B57" s="12">
        <v>0.02</v>
      </c>
      <c r="C57" s="15" t="s">
        <v>117</v>
      </c>
    </row>
    <row r="58" spans="1:3" x14ac:dyDescent="0.25">
      <c r="A58" s="3" t="s">
        <v>45</v>
      </c>
      <c r="B58" s="12">
        <v>0.5</v>
      </c>
      <c r="C58" s="15" t="s">
        <v>119</v>
      </c>
    </row>
    <row r="59" spans="1:3" x14ac:dyDescent="0.25">
      <c r="A59" s="3" t="s">
        <v>46</v>
      </c>
      <c r="B59" s="12">
        <f>56/100</f>
        <v>0.56000000000000005</v>
      </c>
      <c r="C59" s="15" t="s">
        <v>120</v>
      </c>
    </row>
    <row r="60" spans="1:3" x14ac:dyDescent="0.25">
      <c r="A60" s="3" t="s">
        <v>47</v>
      </c>
      <c r="B60" s="12">
        <v>0.02</v>
      </c>
      <c r="C60" s="15" t="s">
        <v>121</v>
      </c>
    </row>
    <row r="61" spans="1:3" x14ac:dyDescent="0.25">
      <c r="A61" s="3" t="s">
        <v>48</v>
      </c>
      <c r="B61" s="12">
        <f>B58*B60*2+(B59-B60-B60)*B60</f>
        <v>3.0400000000000003E-2</v>
      </c>
      <c r="C61" s="15"/>
    </row>
    <row r="62" spans="1:3" x14ac:dyDescent="0.25">
      <c r="A62" s="3" t="s">
        <v>50</v>
      </c>
      <c r="B62" s="12">
        <f>50/100</f>
        <v>0.5</v>
      </c>
      <c r="C62" s="15" t="s">
        <v>122</v>
      </c>
    </row>
    <row r="63" spans="1:3" x14ac:dyDescent="0.25">
      <c r="A63" s="3" t="s">
        <v>49</v>
      </c>
      <c r="B63" s="12">
        <f>56/100</f>
        <v>0.56000000000000005</v>
      </c>
      <c r="C63" s="15" t="s">
        <v>123</v>
      </c>
    </row>
    <row r="64" spans="1:3" x14ac:dyDescent="0.25">
      <c r="A64" s="3" t="s">
        <v>51</v>
      </c>
      <c r="B64" s="12">
        <f>2/100</f>
        <v>0.02</v>
      </c>
      <c r="C64" s="15" t="s">
        <v>124</v>
      </c>
    </row>
    <row r="65" spans="1:3" x14ac:dyDescent="0.25">
      <c r="A65" s="3" t="s">
        <v>52</v>
      </c>
      <c r="B65" s="12">
        <f>B62*B64*2+(B63-B64-B64)*B64</f>
        <v>3.0400000000000003E-2</v>
      </c>
      <c r="C65" s="15"/>
    </row>
    <row r="66" spans="1:3" x14ac:dyDescent="0.25">
      <c r="A66" s="3" t="s">
        <v>53</v>
      </c>
      <c r="B66" s="12">
        <v>1</v>
      </c>
      <c r="C66" s="15" t="s">
        <v>125</v>
      </c>
    </row>
    <row r="67" spans="1:3" x14ac:dyDescent="0.25">
      <c r="A67" s="3" t="s">
        <v>54</v>
      </c>
      <c r="B67" s="12">
        <f>B50-B66</f>
        <v>4.75</v>
      </c>
      <c r="C67" s="15" t="s">
        <v>126</v>
      </c>
    </row>
    <row r="68" spans="1:3" x14ac:dyDescent="0.25">
      <c r="A68" s="3" t="s">
        <v>55</v>
      </c>
      <c r="B68" s="12">
        <f>B66/SIN(B52*PI()/180)</f>
        <v>1.0641777724759123</v>
      </c>
      <c r="C68" s="15" t="s">
        <v>127</v>
      </c>
    </row>
    <row r="69" spans="1:3" x14ac:dyDescent="0.25">
      <c r="A69" s="3" t="s">
        <v>56</v>
      </c>
      <c r="B69" s="12">
        <f>B67/SIN(B52*PI()/180)</f>
        <v>5.0548444192605828</v>
      </c>
      <c r="C69" s="15" t="s">
        <v>128</v>
      </c>
    </row>
    <row r="70" spans="1:3" x14ac:dyDescent="0.25">
      <c r="A70" s="3" t="s">
        <v>57</v>
      </c>
      <c r="B70" s="12">
        <f>B69+B68</f>
        <v>6.1190221917364953</v>
      </c>
      <c r="C70" s="15"/>
    </row>
    <row r="71" spans="1:3" x14ac:dyDescent="0.25">
      <c r="A71" s="3" t="s">
        <v>58</v>
      </c>
      <c r="B71" s="12">
        <f>113800000000</f>
        <v>113800000000</v>
      </c>
      <c r="C71" s="15" t="s">
        <v>167</v>
      </c>
    </row>
    <row r="72" spans="1:3" x14ac:dyDescent="0.25">
      <c r="A72" s="3" t="s">
        <v>59</v>
      </c>
      <c r="B72" s="12">
        <v>0.34200000000000003</v>
      </c>
      <c r="C72" s="15" t="s">
        <v>168</v>
      </c>
    </row>
    <row r="73" spans="1:3" x14ac:dyDescent="0.25">
      <c r="A73" s="3" t="s">
        <v>60</v>
      </c>
      <c r="B73" s="12">
        <v>4430</v>
      </c>
      <c r="C73" s="15"/>
    </row>
    <row r="74" spans="1:3" x14ac:dyDescent="0.25">
      <c r="A74" s="3" t="s">
        <v>61</v>
      </c>
      <c r="B74" s="12">
        <v>729</v>
      </c>
      <c r="C74" s="15"/>
    </row>
    <row r="75" spans="1:3" x14ac:dyDescent="0.25">
      <c r="A75" s="3" t="s">
        <v>62</v>
      </c>
      <c r="B75" s="12">
        <v>4</v>
      </c>
      <c r="C75" s="15" t="s">
        <v>118</v>
      </c>
    </row>
    <row r="76" spans="1:3" x14ac:dyDescent="0.25">
      <c r="A76" s="3" t="s">
        <v>63</v>
      </c>
      <c r="B76" s="12">
        <f>B61*B70*B73</f>
        <v>824.0609566055374</v>
      </c>
      <c r="C76" s="15"/>
    </row>
    <row r="77" spans="1:3" x14ac:dyDescent="0.25">
      <c r="A77" s="3" t="s">
        <v>64</v>
      </c>
      <c r="B77" s="12">
        <f>B65*B70*B73</f>
        <v>824.0609566055374</v>
      </c>
      <c r="C77" s="15"/>
    </row>
    <row r="78" spans="1:3" x14ac:dyDescent="0.25">
      <c r="A78" s="3" t="s">
        <v>65</v>
      </c>
      <c r="B78" s="12">
        <f>(B76+B77)/2</f>
        <v>824.0609566055374</v>
      </c>
      <c r="C78" s="15"/>
    </row>
    <row r="79" spans="1:3" x14ac:dyDescent="0.25">
      <c r="A79" s="3" t="s">
        <v>85</v>
      </c>
      <c r="B79" s="12">
        <f>B47*PI()/180</f>
        <v>1.2217304763960306</v>
      </c>
      <c r="C79" s="15"/>
    </row>
    <row r="80" spans="1:3" x14ac:dyDescent="0.25">
      <c r="A80" s="3" t="s">
        <v>86</v>
      </c>
      <c r="B80" s="12">
        <f>B45*(1-SIN(B79))</f>
        <v>0.16081967790424448</v>
      </c>
      <c r="C80" s="15"/>
    </row>
    <row r="81" spans="1:3" x14ac:dyDescent="0.25">
      <c r="A81" s="3" t="s">
        <v>87</v>
      </c>
      <c r="B81" s="12">
        <f>B45*COS(B79)</f>
        <v>0.91205371553511683</v>
      </c>
      <c r="C81" s="15"/>
    </row>
    <row r="82" spans="1:3" x14ac:dyDescent="0.25">
      <c r="A82" s="3" t="s">
        <v>88</v>
      </c>
      <c r="B82" s="12">
        <f>B46*(1-COS(B79))</f>
        <v>0.17546129511315497</v>
      </c>
      <c r="C82" s="15"/>
    </row>
    <row r="83" spans="1:3" x14ac:dyDescent="0.25">
      <c r="A83" s="3" t="s">
        <v>89</v>
      </c>
      <c r="B83" s="12">
        <f>B46*SIN(B79)</f>
        <v>0.25058469887624224</v>
      </c>
      <c r="C83" s="15"/>
    </row>
    <row r="84" spans="1:3" x14ac:dyDescent="0.25">
      <c r="A84" s="3" t="s">
        <v>90</v>
      </c>
      <c r="B84" s="12">
        <f>B49-B81-B82</f>
        <v>1.1624849893517284</v>
      </c>
      <c r="C84" s="15"/>
    </row>
    <row r="85" spans="1:3" x14ac:dyDescent="0.25">
      <c r="A85" s="3" t="s">
        <v>91</v>
      </c>
      <c r="B85" s="12">
        <f>B84/TAN(B79)</f>
        <v>0.42310993390529245</v>
      </c>
      <c r="C85" s="15"/>
    </row>
    <row r="86" spans="1:3" x14ac:dyDescent="0.25">
      <c r="A86" s="3" t="s">
        <v>92</v>
      </c>
      <c r="B86" s="12">
        <f>(B49-B82)/TAN(B79)</f>
        <v>0.75507033841196913</v>
      </c>
      <c r="C86" s="15"/>
    </row>
    <row r="87" spans="1:3" x14ac:dyDescent="0.25">
      <c r="A87" s="3" t="s">
        <v>93</v>
      </c>
      <c r="B87" s="12">
        <f>-B86+B80+B85</f>
        <v>-0.17114072660243224</v>
      </c>
      <c r="C87" s="15"/>
    </row>
    <row r="88" spans="1:3" x14ac:dyDescent="0.25">
      <c r="A88" s="3" t="s">
        <v>94</v>
      </c>
      <c r="B88" s="12">
        <f>B52*PI()/180</f>
        <v>1.2217304763960306</v>
      </c>
      <c r="C88" s="15"/>
    </row>
    <row r="89" spans="1:3" x14ac:dyDescent="0.25">
      <c r="A89" s="5" t="s">
        <v>71</v>
      </c>
      <c r="B89" s="13">
        <f>B1+B14</f>
        <v>3516890</v>
      </c>
      <c r="C89" s="15"/>
    </row>
    <row r="90" spans="1:3" x14ac:dyDescent="0.25">
      <c r="A90" s="5" t="s">
        <v>72</v>
      </c>
      <c r="B90" s="13">
        <f>B9*COS(B25)*COS(B26)</f>
        <v>-3312.400550080898</v>
      </c>
      <c r="C90" s="15"/>
    </row>
    <row r="91" spans="1:3" x14ac:dyDescent="0.25">
      <c r="A91" s="5" t="s">
        <v>73</v>
      </c>
      <c r="B91" s="13">
        <f>B9*COS(B25)*SIN(B26)</f>
        <v>4834.0183750111182</v>
      </c>
      <c r="C91" s="15"/>
    </row>
    <row r="92" spans="1:3" x14ac:dyDescent="0.25">
      <c r="A92" s="5" t="s">
        <v>74</v>
      </c>
      <c r="B92" s="13">
        <f>B9*SIN(B25)</f>
        <v>1288.5142396879569</v>
      </c>
      <c r="C92" s="15"/>
    </row>
    <row r="93" spans="1:3" x14ac:dyDescent="0.25">
      <c r="A93" s="4" t="s">
        <v>66</v>
      </c>
      <c r="B93" s="14">
        <v>16</v>
      </c>
      <c r="C93" s="15" t="s">
        <v>161</v>
      </c>
    </row>
    <row r="94" spans="1:3" x14ac:dyDescent="0.25">
      <c r="A94" s="4" t="s">
        <v>67</v>
      </c>
      <c r="B94" s="14">
        <v>5</v>
      </c>
      <c r="C94" s="15" t="s">
        <v>162</v>
      </c>
    </row>
    <row r="95" spans="1:3" x14ac:dyDescent="0.25">
      <c r="A95" s="4" t="s">
        <v>68</v>
      </c>
      <c r="B95" s="14">
        <v>5</v>
      </c>
      <c r="C95" s="15" t="s">
        <v>163</v>
      </c>
    </row>
    <row r="96" spans="1:3" x14ac:dyDescent="0.25">
      <c r="A96" s="4" t="s">
        <v>69</v>
      </c>
      <c r="B96" s="14">
        <f>B93</f>
        <v>16</v>
      </c>
      <c r="C96" s="15" t="s">
        <v>164</v>
      </c>
    </row>
    <row r="97" spans="1:3" x14ac:dyDescent="0.25">
      <c r="A97" s="4" t="s">
        <v>70</v>
      </c>
      <c r="B97" s="14">
        <f>B93</f>
        <v>16</v>
      </c>
      <c r="C97" s="15" t="s">
        <v>165</v>
      </c>
    </row>
    <row r="98" spans="1:3" x14ac:dyDescent="0.25">
      <c r="A98" s="4" t="s">
        <v>84</v>
      </c>
      <c r="B98" s="14">
        <v>0</v>
      </c>
      <c r="C98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Covella, Francesca</dc:creator>
  <cp:lastModifiedBy>Covella, Francesca</cp:lastModifiedBy>
  <dcterms:created xsi:type="dcterms:W3CDTF">2019-07-04T11:02:54Z</dcterms:created>
  <dcterms:modified xsi:type="dcterms:W3CDTF">2019-07-15T14:07:49Z</dcterms:modified>
</cp:coreProperties>
</file>