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claudine.cyr\projects\meridian\retirement\"/>
    </mc:Choice>
  </mc:AlternateContent>
  <bookViews>
    <workbookView xWindow="0" yWindow="0" windowWidth="28800" windowHeight="12435" tabRatio="760"/>
  </bookViews>
  <sheets>
    <sheet name="Input" sheetId="1" r:id="rId1"/>
    <sheet name="Primary Details - Actual" sheetId="2" r:id="rId2"/>
    <sheet name="Primary Details - Hypothetical" sheetId="12" r:id="rId3"/>
    <sheet name="Spouse Details - Actual" sheetId="17" r:id="rId4"/>
    <sheet name="Spouse Details - Hypothetical" sheetId="18" r:id="rId5"/>
    <sheet name="Error messages" sheetId="5" r:id="rId6"/>
    <sheet name="Assumptions" sheetId="6" r:id="rId7"/>
    <sheet name="MISC" sheetId="14" r:id="rId8"/>
    <sheet name="Sheet1" sheetId="15" state="hidden" r:id="rId9"/>
    <sheet name="Sheet2" sheetId="16" state="hidden" r:id="rId10"/>
  </sheets>
  <calcPr calcId="152511"/>
</workbook>
</file>

<file path=xl/calcChain.xml><?xml version="1.0" encoding="utf-8"?>
<calcChain xmlns="http://schemas.openxmlformats.org/spreadsheetml/2006/main">
  <c r="E35" i="1" l="1"/>
  <c r="B72" i="1"/>
  <c r="B69" i="1"/>
  <c r="B7" i="15"/>
  <c r="C2" i="18"/>
  <c r="D2" i="18"/>
  <c r="A3" i="18"/>
  <c r="A4" i="18" s="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G2" i="17"/>
  <c r="C2" i="17"/>
  <c r="C27" i="1"/>
  <c r="C24" i="1"/>
  <c r="C21" i="1"/>
  <c r="A3" i="17"/>
  <c r="A4" i="17"/>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G2" i="2"/>
  <c r="B27" i="1"/>
  <c r="B24" i="1"/>
  <c r="B54" i="1"/>
  <c r="B32" i="1" s="1"/>
  <c r="B21" i="15" s="1"/>
  <c r="C2" i="2"/>
  <c r="B20" i="15"/>
  <c r="B16" i="15"/>
  <c r="B17" i="15"/>
  <c r="B18" i="15"/>
  <c r="B15" i="15"/>
  <c r="B13" i="15"/>
  <c r="B12" i="15"/>
  <c r="B11" i="15"/>
  <c r="B10" i="15"/>
  <c r="B9" i="15"/>
  <c r="B6" i="15"/>
  <c r="B5" i="15"/>
  <c r="B4" i="15"/>
  <c r="B3" i="15"/>
  <c r="B21" i="1"/>
  <c r="B84" i="1" s="1"/>
  <c r="B59" i="1"/>
  <c r="B60" i="1"/>
  <c r="B24" i="15"/>
  <c r="A3" i="12"/>
  <c r="A4" i="12" s="1"/>
  <c r="A5" i="12" s="1"/>
  <c r="A6" i="12" s="1"/>
  <c r="A7" i="12" s="1"/>
  <c r="A8" i="12" s="1"/>
  <c r="A9" i="12" s="1"/>
  <c r="A10" i="12"/>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C2" i="12"/>
  <c r="C3" i="12"/>
  <c r="B3" i="12"/>
  <c r="B2" i="12"/>
  <c r="D2" i="12"/>
  <c r="B56" i="1"/>
  <c r="B78" i="1"/>
  <c r="B79" i="1"/>
  <c r="B80" i="1"/>
  <c r="C2" i="5"/>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c r="A88" i="2" s="1"/>
  <c r="A89" i="2" s="1"/>
  <c r="A90" i="2" s="1"/>
  <c r="A91" i="2" s="1"/>
  <c r="A92" i="2" s="1"/>
  <c r="A93" i="2" s="1"/>
  <c r="A94" i="2" s="1"/>
  <c r="A95" i="2" s="1"/>
  <c r="A96" i="2" s="1"/>
  <c r="A97" i="2" s="1"/>
  <c r="A98" i="2" s="1"/>
  <c r="A99" i="2" s="1"/>
  <c r="A100" i="2" s="1"/>
  <c r="A101" i="2" s="1"/>
  <c r="A102" i="2" s="1"/>
  <c r="C3" i="2"/>
  <c r="H2" i="12"/>
  <c r="R2" i="2" s="1"/>
  <c r="S2" i="2" s="1"/>
  <c r="H2" i="18" l="1"/>
  <c r="F2" i="18"/>
  <c r="B2" i="17"/>
  <c r="C3" i="17"/>
  <c r="D2" i="17"/>
  <c r="F2" i="17"/>
  <c r="J2" i="17" s="1"/>
  <c r="E2" i="17"/>
  <c r="K2" i="17" s="1"/>
  <c r="B2" i="18"/>
  <c r="R2" i="17" s="1"/>
  <c r="S2" i="17" s="1"/>
  <c r="C3" i="18"/>
  <c r="F2" i="2"/>
  <c r="J2" i="2" s="1"/>
  <c r="E2" i="2"/>
  <c r="K2" i="2" s="1"/>
  <c r="B2" i="2"/>
  <c r="D2" i="2"/>
  <c r="B3" i="2"/>
  <c r="D3" i="2"/>
  <c r="C4" i="2"/>
  <c r="E3" i="2"/>
  <c r="K3" i="2" s="1"/>
  <c r="F2" i="12"/>
  <c r="D3" i="12"/>
  <c r="C4" i="12"/>
  <c r="C83" i="1"/>
  <c r="B47" i="1"/>
  <c r="B26" i="15" s="1"/>
  <c r="C78" i="1"/>
  <c r="C79" i="1" s="1"/>
  <c r="C80" i="1" s="1"/>
  <c r="C47" i="1"/>
  <c r="C84" i="1"/>
  <c r="B83" i="1"/>
  <c r="B85" i="1" s="1"/>
  <c r="B88" i="1" l="1"/>
  <c r="B90" i="1"/>
  <c r="E4" i="2"/>
  <c r="K4" i="2" s="1"/>
  <c r="D4" i="2"/>
  <c r="C5" i="2"/>
  <c r="B4" i="2"/>
  <c r="B3" i="18"/>
  <c r="D3" i="18"/>
  <c r="C4" i="18"/>
  <c r="O3" i="2"/>
  <c r="I3" i="2"/>
  <c r="G3" i="12" s="1"/>
  <c r="L3" i="2"/>
  <c r="H3" i="2"/>
  <c r="F3" i="2"/>
  <c r="J3" i="2" s="1"/>
  <c r="N3" i="2" s="1"/>
  <c r="P3" i="2"/>
  <c r="G4" i="2" s="1"/>
  <c r="C85" i="1"/>
  <c r="I2" i="2"/>
  <c r="G2" i="12" s="1"/>
  <c r="O2" i="2"/>
  <c r="H2" i="2"/>
  <c r="P2" i="2" s="1"/>
  <c r="G3" i="2" s="1"/>
  <c r="L2" i="2"/>
  <c r="N2" i="17"/>
  <c r="B86" i="1"/>
  <c r="B4" i="12"/>
  <c r="C5" i="12"/>
  <c r="D4" i="12"/>
  <c r="L2" i="17"/>
  <c r="O2" i="17"/>
  <c r="I2" i="17"/>
  <c r="G2" i="18" s="1"/>
  <c r="H2" i="17"/>
  <c r="P2" i="17" s="1"/>
  <c r="G3" i="17" s="1"/>
  <c r="F3" i="12"/>
  <c r="H3" i="12"/>
  <c r="R3" i="2" s="1"/>
  <c r="S3" i="2" s="1"/>
  <c r="D3" i="17"/>
  <c r="B3" i="17"/>
  <c r="E3" i="17"/>
  <c r="K3" i="17" s="1"/>
  <c r="C4" i="17"/>
  <c r="N2" i="2"/>
  <c r="B4" i="17" l="1"/>
  <c r="E4" i="17"/>
  <c r="K4" i="17" s="1"/>
  <c r="C5" i="17"/>
  <c r="D4" i="17"/>
  <c r="D5" i="2"/>
  <c r="C6" i="2"/>
  <c r="F5" i="2"/>
  <c r="J5" i="2" s="1"/>
  <c r="B5" i="2"/>
  <c r="E5" i="2"/>
  <c r="K5" i="2" s="1"/>
  <c r="I4" i="2"/>
  <c r="G4" i="12" s="1"/>
  <c r="H4" i="2"/>
  <c r="L4" i="2"/>
  <c r="O4" i="2"/>
  <c r="P4" i="2"/>
  <c r="G5" i="2" s="1"/>
  <c r="F4" i="2"/>
  <c r="J4" i="2" s="1"/>
  <c r="N4" i="2" s="1"/>
  <c r="P3" i="17"/>
  <c r="G4" i="17" s="1"/>
  <c r="O3" i="17"/>
  <c r="L3" i="17"/>
  <c r="H3" i="17"/>
  <c r="I3" i="17"/>
  <c r="G3" i="18" s="1"/>
  <c r="F3" i="17"/>
  <c r="J3" i="17" s="1"/>
  <c r="F4" i="12"/>
  <c r="H4" i="12"/>
  <c r="C5" i="18"/>
  <c r="B4" i="18"/>
  <c r="D4" i="18"/>
  <c r="B5" i="12"/>
  <c r="C6" i="12"/>
  <c r="D5" i="12"/>
  <c r="C88" i="1"/>
  <c r="C90" i="1"/>
  <c r="C86" i="1"/>
  <c r="F3" i="18"/>
  <c r="H3" i="18"/>
  <c r="R4" i="2"/>
  <c r="S4" i="2" s="1"/>
  <c r="R3" i="17"/>
  <c r="S3" i="17" s="1"/>
  <c r="F5" i="12" l="1"/>
  <c r="H5" i="12"/>
  <c r="C7" i="2"/>
  <c r="B6" i="2"/>
  <c r="D6" i="2"/>
  <c r="F6" i="2"/>
  <c r="J6" i="2" s="1"/>
  <c r="E6" i="2"/>
  <c r="K6" i="2" s="1"/>
  <c r="B6" i="12"/>
  <c r="C7" i="12"/>
  <c r="D6" i="12"/>
  <c r="N3" i="17"/>
  <c r="O5" i="2"/>
  <c r="H5" i="2"/>
  <c r="L5" i="2"/>
  <c r="N5" i="2" s="1"/>
  <c r="I5" i="2"/>
  <c r="G5" i="12" s="1"/>
  <c r="P5" i="2"/>
  <c r="G6" i="2" s="1"/>
  <c r="R5" i="2"/>
  <c r="S5" i="2" s="1"/>
  <c r="O4" i="17"/>
  <c r="H4" i="17"/>
  <c r="P4" i="17" s="1"/>
  <c r="G5" i="17" s="1"/>
  <c r="L4" i="17"/>
  <c r="I4" i="17"/>
  <c r="G4" i="18" s="1"/>
  <c r="H4" i="18"/>
  <c r="R4" i="17" s="1"/>
  <c r="S4" i="17" s="1"/>
  <c r="F4" i="18"/>
  <c r="F4" i="17"/>
  <c r="J4" i="17" s="1"/>
  <c r="B5" i="17"/>
  <c r="C6" i="17"/>
  <c r="F5" i="17"/>
  <c r="J5" i="17" s="1"/>
  <c r="D5" i="17"/>
  <c r="E5" i="17"/>
  <c r="K5" i="17" s="1"/>
  <c r="D5" i="18"/>
  <c r="C6" i="18"/>
  <c r="B5" i="18"/>
  <c r="B6" i="18" l="1"/>
  <c r="C7" i="18"/>
  <c r="D6" i="18"/>
  <c r="I6" i="2"/>
  <c r="G6" i="12" s="1"/>
  <c r="O6" i="2"/>
  <c r="L6" i="2"/>
  <c r="N6" i="2" s="1"/>
  <c r="H6" i="2"/>
  <c r="P6" i="2"/>
  <c r="G7" i="2" s="1"/>
  <c r="F5" i="18"/>
  <c r="H5" i="18"/>
  <c r="B7" i="2"/>
  <c r="C8" i="2"/>
  <c r="D7" i="2"/>
  <c r="E7" i="2"/>
  <c r="K7" i="2" s="1"/>
  <c r="N4" i="17"/>
  <c r="H6" i="12"/>
  <c r="F6" i="12"/>
  <c r="L5" i="17"/>
  <c r="I5" i="17"/>
  <c r="G5" i="18" s="1"/>
  <c r="O5" i="17"/>
  <c r="H5" i="17"/>
  <c r="P5" i="17" s="1"/>
  <c r="G6" i="17" s="1"/>
  <c r="B7" i="12"/>
  <c r="C8" i="12"/>
  <c r="D7" i="12"/>
  <c r="R6" i="2"/>
  <c r="S6" i="2" s="1"/>
  <c r="N5" i="17"/>
  <c r="E6" i="17"/>
  <c r="K6" i="17" s="1"/>
  <c r="C7" i="17"/>
  <c r="D6" i="17"/>
  <c r="F6" i="17" s="1"/>
  <c r="J6" i="17" s="1"/>
  <c r="B6" i="17"/>
  <c r="R5" i="17"/>
  <c r="S5" i="17" s="1"/>
  <c r="E7" i="17" l="1"/>
  <c r="K7" i="17" s="1"/>
  <c r="B7" i="17"/>
  <c r="D7" i="17"/>
  <c r="C8" i="17"/>
  <c r="F7" i="17"/>
  <c r="J7" i="17" s="1"/>
  <c r="O7" i="2"/>
  <c r="H7" i="2"/>
  <c r="P7" i="2" s="1"/>
  <c r="G8" i="2" s="1"/>
  <c r="L7" i="2"/>
  <c r="I7" i="2"/>
  <c r="G7" i="12" s="1"/>
  <c r="B8" i="2"/>
  <c r="E8" i="2"/>
  <c r="K8" i="2" s="1"/>
  <c r="D8" i="2"/>
  <c r="C9" i="2"/>
  <c r="F8" i="2"/>
  <c r="J8" i="2" s="1"/>
  <c r="F7" i="2"/>
  <c r="J7" i="2" s="1"/>
  <c r="N7" i="2" s="1"/>
  <c r="F7" i="12"/>
  <c r="H7" i="12"/>
  <c r="D8" i="12"/>
  <c r="B8" i="12"/>
  <c r="C9" i="12"/>
  <c r="F6" i="18"/>
  <c r="H6" i="18"/>
  <c r="R7" i="2"/>
  <c r="S7" i="2" s="1"/>
  <c r="D7" i="18"/>
  <c r="C8" i="18"/>
  <c r="B7" i="18"/>
  <c r="R6" i="17"/>
  <c r="S6" i="17" s="1"/>
  <c r="L6" i="17"/>
  <c r="N6" i="17" s="1"/>
  <c r="H6" i="17"/>
  <c r="P6" i="17" s="1"/>
  <c r="G7" i="17" s="1"/>
  <c r="O6" i="17"/>
  <c r="I6" i="17"/>
  <c r="G6" i="18" s="1"/>
  <c r="H8" i="12" l="1"/>
  <c r="R8" i="2" s="1"/>
  <c r="S8" i="2" s="1"/>
  <c r="F8" i="12"/>
  <c r="L7" i="17"/>
  <c r="N7" i="17" s="1"/>
  <c r="P7" i="17"/>
  <c r="G8" i="17" s="1"/>
  <c r="O7" i="17"/>
  <c r="H7" i="17"/>
  <c r="I7" i="17"/>
  <c r="G7" i="18" s="1"/>
  <c r="C9" i="17"/>
  <c r="D8" i="17"/>
  <c r="B8" i="17"/>
  <c r="E8" i="17"/>
  <c r="K8" i="17" s="1"/>
  <c r="C9" i="18"/>
  <c r="B8" i="18"/>
  <c r="D8" i="18"/>
  <c r="C10" i="2"/>
  <c r="D9" i="2"/>
  <c r="B9" i="2"/>
  <c r="E9" i="2"/>
  <c r="K9" i="2" s="1"/>
  <c r="H7" i="18"/>
  <c r="R7" i="17" s="1"/>
  <c r="S7" i="17" s="1"/>
  <c r="F7" i="18"/>
  <c r="O8" i="2"/>
  <c r="H8" i="2"/>
  <c r="P8" i="2" s="1"/>
  <c r="G9" i="2" s="1"/>
  <c r="L8" i="2"/>
  <c r="N8" i="2" s="1"/>
  <c r="I8" i="2"/>
  <c r="G8" i="12" s="1"/>
  <c r="D9" i="12"/>
  <c r="C10" i="12"/>
  <c r="B9" i="12"/>
  <c r="L9" i="2" l="1"/>
  <c r="O9" i="2"/>
  <c r="I9" i="2"/>
  <c r="G9" i="12" s="1"/>
  <c r="H9" i="2"/>
  <c r="P9" i="2"/>
  <c r="G10" i="2" s="1"/>
  <c r="L8" i="17"/>
  <c r="O8" i="17"/>
  <c r="I8" i="17"/>
  <c r="G8" i="18" s="1"/>
  <c r="H8" i="17"/>
  <c r="P8" i="17" s="1"/>
  <c r="G9" i="17" s="1"/>
  <c r="E9" i="17"/>
  <c r="K9" i="17" s="1"/>
  <c r="C10" i="17"/>
  <c r="B9" i="17"/>
  <c r="F9" i="17"/>
  <c r="J9" i="17" s="1"/>
  <c r="D9" i="17"/>
  <c r="D10" i="12"/>
  <c r="B10" i="12"/>
  <c r="C11" i="12"/>
  <c r="F9" i="12"/>
  <c r="H9" i="12"/>
  <c r="R9" i="2" s="1"/>
  <c r="S9" i="2" s="1"/>
  <c r="B9" i="18"/>
  <c r="C10" i="18"/>
  <c r="D9" i="18"/>
  <c r="F9" i="2"/>
  <c r="J9" i="2" s="1"/>
  <c r="N9" i="2" s="1"/>
  <c r="E10" i="2"/>
  <c r="K10" i="2" s="1"/>
  <c r="C11" i="2"/>
  <c r="F10" i="2"/>
  <c r="J10" i="2" s="1"/>
  <c r="D10" i="2"/>
  <c r="B10" i="2"/>
  <c r="F8" i="18"/>
  <c r="H8" i="18"/>
  <c r="R8" i="17" s="1"/>
  <c r="S8" i="17" s="1"/>
  <c r="F8" i="17"/>
  <c r="J8" i="17" s="1"/>
  <c r="N8" i="17" s="1"/>
  <c r="E10" i="17" l="1"/>
  <c r="K10" i="17" s="1"/>
  <c r="D10" i="17"/>
  <c r="B10" i="17"/>
  <c r="C11" i="17"/>
  <c r="F10" i="17"/>
  <c r="J10" i="17" s="1"/>
  <c r="D11" i="12"/>
  <c r="B11" i="12"/>
  <c r="C12" i="12"/>
  <c r="E11" i="2"/>
  <c r="K11" i="2" s="1"/>
  <c r="B11" i="2"/>
  <c r="C12" i="2"/>
  <c r="D11" i="2"/>
  <c r="F11" i="2" s="1"/>
  <c r="J11" i="2" s="1"/>
  <c r="H10" i="12"/>
  <c r="R10" i="2" s="1"/>
  <c r="S10" i="2" s="1"/>
  <c r="F10" i="12"/>
  <c r="H9" i="18"/>
  <c r="R9" i="17" s="1"/>
  <c r="S9" i="17" s="1"/>
  <c r="F9" i="18"/>
  <c r="I10" i="2"/>
  <c r="G10" i="12" s="1"/>
  <c r="L10" i="2"/>
  <c r="N10" i="2" s="1"/>
  <c r="O10" i="2"/>
  <c r="P10" i="2" s="1"/>
  <c r="G11" i="2" s="1"/>
  <c r="H10" i="2"/>
  <c r="D10" i="18"/>
  <c r="C11" i="18"/>
  <c r="B10" i="18"/>
  <c r="I9" i="17"/>
  <c r="G9" i="18" s="1"/>
  <c r="P9" i="17"/>
  <c r="G10" i="17" s="1"/>
  <c r="H9" i="17"/>
  <c r="L9" i="17"/>
  <c r="O9" i="17"/>
  <c r="N9" i="17"/>
  <c r="D12" i="12" l="1"/>
  <c r="B12" i="12"/>
  <c r="C13" i="12"/>
  <c r="N10" i="17"/>
  <c r="R11" i="2"/>
  <c r="S11" i="2" s="1"/>
  <c r="O11" i="2"/>
  <c r="P11" i="2" s="1"/>
  <c r="G12" i="2" s="1"/>
  <c r="I11" i="2"/>
  <c r="G11" i="12" s="1"/>
  <c r="H11" i="2"/>
  <c r="L11" i="2"/>
  <c r="N11" i="2" s="1"/>
  <c r="D11" i="18"/>
  <c r="B11" i="18"/>
  <c r="C12" i="18"/>
  <c r="R10" i="17"/>
  <c r="S10" i="17" s="1"/>
  <c r="F11" i="12"/>
  <c r="H11" i="12"/>
  <c r="H10" i="18"/>
  <c r="F10" i="18"/>
  <c r="E12" i="2"/>
  <c r="K12" i="2" s="1"/>
  <c r="F12" i="2"/>
  <c r="J12" i="2" s="1"/>
  <c r="B12" i="2"/>
  <c r="D12" i="2"/>
  <c r="C13" i="2"/>
  <c r="E11" i="17"/>
  <c r="K11" i="17" s="1"/>
  <c r="D11" i="17"/>
  <c r="C12" i="17"/>
  <c r="B11" i="17"/>
  <c r="P10" i="17"/>
  <c r="G11" i="17" s="1"/>
  <c r="I10" i="17"/>
  <c r="G10" i="18" s="1"/>
  <c r="L10" i="17"/>
  <c r="H10" i="17"/>
  <c r="O10" i="17"/>
  <c r="H11" i="17" l="1"/>
  <c r="P11" i="17" s="1"/>
  <c r="G12" i="17" s="1"/>
  <c r="L11" i="17"/>
  <c r="O11" i="17"/>
  <c r="I11" i="17"/>
  <c r="G11" i="18" s="1"/>
  <c r="C14" i="12"/>
  <c r="D13" i="12"/>
  <c r="B13" i="12"/>
  <c r="D12" i="17"/>
  <c r="F12" i="17" s="1"/>
  <c r="J12" i="17" s="1"/>
  <c r="C13" i="17"/>
  <c r="E12" i="17"/>
  <c r="K12" i="17" s="1"/>
  <c r="B12" i="17"/>
  <c r="D12" i="18"/>
  <c r="C13" i="18"/>
  <c r="B12" i="18"/>
  <c r="F11" i="17"/>
  <c r="J11" i="17" s="1"/>
  <c r="N11" i="17" s="1"/>
  <c r="B13" i="2"/>
  <c r="E13" i="2"/>
  <c r="K13" i="2" s="1"/>
  <c r="C14" i="2"/>
  <c r="D13" i="2"/>
  <c r="F13" i="2" s="1"/>
  <c r="J13" i="2" s="1"/>
  <c r="F12" i="12"/>
  <c r="H12" i="12"/>
  <c r="R12" i="2" s="1"/>
  <c r="S12" i="2" s="1"/>
  <c r="H11" i="18"/>
  <c r="R11" i="17" s="1"/>
  <c r="S11" i="17" s="1"/>
  <c r="F11" i="18"/>
  <c r="L12" i="2"/>
  <c r="N12" i="2" s="1"/>
  <c r="H12" i="2"/>
  <c r="P12" i="2" s="1"/>
  <c r="G13" i="2" s="1"/>
  <c r="I12" i="2"/>
  <c r="G12" i="12" s="1"/>
  <c r="O12" i="2"/>
  <c r="B13" i="18" l="1"/>
  <c r="D13" i="18"/>
  <c r="C14" i="18"/>
  <c r="H12" i="18"/>
  <c r="R12" i="17" s="1"/>
  <c r="S12" i="17" s="1"/>
  <c r="F12" i="18"/>
  <c r="O12" i="17"/>
  <c r="I12" i="17"/>
  <c r="G12" i="18" s="1"/>
  <c r="L12" i="17"/>
  <c r="N12" i="17" s="1"/>
  <c r="H12" i="17"/>
  <c r="P12" i="17" s="1"/>
  <c r="G13" i="17" s="1"/>
  <c r="I13" i="2"/>
  <c r="G13" i="12" s="1"/>
  <c r="O13" i="2"/>
  <c r="P13" i="2" s="1"/>
  <c r="G14" i="2" s="1"/>
  <c r="L13" i="2"/>
  <c r="N13" i="2" s="1"/>
  <c r="H13" i="2"/>
  <c r="H13" i="12"/>
  <c r="R13" i="2" s="1"/>
  <c r="S13" i="2" s="1"/>
  <c r="F13" i="12"/>
  <c r="B14" i="2"/>
  <c r="F14" i="2"/>
  <c r="J14" i="2" s="1"/>
  <c r="E14" i="2"/>
  <c r="K14" i="2" s="1"/>
  <c r="C15" i="2"/>
  <c r="D14" i="2"/>
  <c r="B14" i="12"/>
  <c r="D14" i="12"/>
  <c r="C15" i="12"/>
  <c r="B13" i="17"/>
  <c r="D13" i="17"/>
  <c r="E13" i="17"/>
  <c r="K13" i="17" s="1"/>
  <c r="C14" i="17"/>
  <c r="I13" i="17" l="1"/>
  <c r="G13" i="18" s="1"/>
  <c r="H13" i="17"/>
  <c r="P13" i="17" s="1"/>
  <c r="G14" i="17" s="1"/>
  <c r="L13" i="17"/>
  <c r="O13" i="17"/>
  <c r="F14" i="12"/>
  <c r="H14" i="12"/>
  <c r="R14" i="2"/>
  <c r="S14" i="2" s="1"/>
  <c r="H14" i="2"/>
  <c r="L14" i="2"/>
  <c r="I14" i="2"/>
  <c r="G14" i="12" s="1"/>
  <c r="O14" i="2"/>
  <c r="P14" i="2"/>
  <c r="G15" i="2" s="1"/>
  <c r="F13" i="17"/>
  <c r="J13" i="17" s="1"/>
  <c r="N13" i="17" s="1"/>
  <c r="C16" i="2"/>
  <c r="E15" i="2"/>
  <c r="K15" i="2" s="1"/>
  <c r="B15" i="2"/>
  <c r="D15" i="2"/>
  <c r="C16" i="12"/>
  <c r="D15" i="12"/>
  <c r="B15" i="12"/>
  <c r="F13" i="18"/>
  <c r="H13" i="18"/>
  <c r="R13" i="17" s="1"/>
  <c r="S13" i="17" s="1"/>
  <c r="B14" i="17"/>
  <c r="C15" i="17"/>
  <c r="D14" i="17"/>
  <c r="E14" i="17"/>
  <c r="K14" i="17" s="1"/>
  <c r="F14" i="17"/>
  <c r="J14" i="17" s="1"/>
  <c r="B14" i="18"/>
  <c r="C15" i="18"/>
  <c r="D14" i="18"/>
  <c r="N14" i="2"/>
  <c r="R15" i="2" l="1"/>
  <c r="S15" i="2" s="1"/>
  <c r="F15" i="12"/>
  <c r="H15" i="12"/>
  <c r="D15" i="17"/>
  <c r="B15" i="17"/>
  <c r="C16" i="17"/>
  <c r="E15" i="17"/>
  <c r="K15" i="17" s="1"/>
  <c r="F15" i="17"/>
  <c r="J15" i="17" s="1"/>
  <c r="B16" i="12"/>
  <c r="D16" i="12"/>
  <c r="C17" i="12"/>
  <c r="N14" i="17"/>
  <c r="B16" i="2"/>
  <c r="C17" i="2"/>
  <c r="D16" i="2"/>
  <c r="F16" i="2" s="1"/>
  <c r="J16" i="2" s="1"/>
  <c r="E16" i="2"/>
  <c r="K16" i="2" s="1"/>
  <c r="H15" i="2"/>
  <c r="L15" i="2"/>
  <c r="I15" i="2"/>
  <c r="G15" i="12" s="1"/>
  <c r="O15" i="2"/>
  <c r="P15" i="2"/>
  <c r="G16" i="2" s="1"/>
  <c r="H14" i="17"/>
  <c r="P14" i="17" s="1"/>
  <c r="G15" i="17" s="1"/>
  <c r="O14" i="17"/>
  <c r="I14" i="17"/>
  <c r="G14" i="18" s="1"/>
  <c r="L14" i="17"/>
  <c r="H14" i="18"/>
  <c r="R14" i="17" s="1"/>
  <c r="S14" i="17" s="1"/>
  <c r="F14" i="18"/>
  <c r="C16" i="18"/>
  <c r="D15" i="18"/>
  <c r="B15" i="18"/>
  <c r="F15" i="2"/>
  <c r="J15" i="2" s="1"/>
  <c r="N15" i="2" s="1"/>
  <c r="N16" i="2" l="1"/>
  <c r="D16" i="18"/>
  <c r="B16" i="18"/>
  <c r="C17" i="18"/>
  <c r="L15" i="17"/>
  <c r="I15" i="17"/>
  <c r="G15" i="18" s="1"/>
  <c r="H15" i="17"/>
  <c r="O15" i="17"/>
  <c r="P15" i="17" s="1"/>
  <c r="G16" i="17" s="1"/>
  <c r="E17" i="2"/>
  <c r="K17" i="2" s="1"/>
  <c r="C18" i="2"/>
  <c r="D17" i="2"/>
  <c r="B17" i="2"/>
  <c r="E16" i="17"/>
  <c r="K16" i="17" s="1"/>
  <c r="D16" i="17"/>
  <c r="B16" i="17"/>
  <c r="C17" i="17"/>
  <c r="F16" i="12"/>
  <c r="H16" i="12"/>
  <c r="C18" i="12"/>
  <c r="D17" i="12"/>
  <c r="B17" i="12"/>
  <c r="F15" i="18"/>
  <c r="H15" i="18"/>
  <c r="R15" i="17" s="1"/>
  <c r="S15" i="17" s="1"/>
  <c r="R16" i="2"/>
  <c r="S16" i="2" s="1"/>
  <c r="I16" i="2"/>
  <c r="G16" i="12" s="1"/>
  <c r="L16" i="2"/>
  <c r="O16" i="2"/>
  <c r="P16" i="2" s="1"/>
  <c r="G17" i="2" s="1"/>
  <c r="H16" i="2"/>
  <c r="N15" i="17"/>
  <c r="H16" i="17" l="1"/>
  <c r="P16" i="17" s="1"/>
  <c r="G17" i="17" s="1"/>
  <c r="O16" i="17"/>
  <c r="L16" i="17"/>
  <c r="I16" i="17"/>
  <c r="G16" i="18" s="1"/>
  <c r="L17" i="2"/>
  <c r="I17" i="2"/>
  <c r="G17" i="12" s="1"/>
  <c r="H17" i="2"/>
  <c r="P17" i="2" s="1"/>
  <c r="G18" i="2" s="1"/>
  <c r="O17" i="2"/>
  <c r="B18" i="12"/>
  <c r="C19" i="12"/>
  <c r="D18" i="12"/>
  <c r="F16" i="17"/>
  <c r="J16" i="17" s="1"/>
  <c r="N16" i="17" s="1"/>
  <c r="E18" i="2"/>
  <c r="K18" i="2" s="1"/>
  <c r="F18" i="2"/>
  <c r="J18" i="2" s="1"/>
  <c r="C19" i="2"/>
  <c r="B18" i="2"/>
  <c r="D18" i="2"/>
  <c r="B17" i="17"/>
  <c r="D17" i="17"/>
  <c r="F17" i="17"/>
  <c r="J17" i="17" s="1"/>
  <c r="E17" i="17"/>
  <c r="K17" i="17" s="1"/>
  <c r="C18" i="17"/>
  <c r="F17" i="12"/>
  <c r="H17" i="12"/>
  <c r="D17" i="18"/>
  <c r="B17" i="18"/>
  <c r="C18" i="18"/>
  <c r="R17" i="2"/>
  <c r="S17" i="2" s="1"/>
  <c r="F17" i="2"/>
  <c r="J17" i="2" s="1"/>
  <c r="N17" i="2" s="1"/>
  <c r="F16" i="18"/>
  <c r="H16" i="18"/>
  <c r="R16" i="17" s="1"/>
  <c r="S16" i="17" s="1"/>
  <c r="H17" i="18" l="1"/>
  <c r="F17" i="18"/>
  <c r="I17" i="17"/>
  <c r="G17" i="18" s="1"/>
  <c r="L17" i="17"/>
  <c r="H17" i="17"/>
  <c r="O17" i="17"/>
  <c r="P17" i="17" s="1"/>
  <c r="G18" i="17" s="1"/>
  <c r="F18" i="12"/>
  <c r="H18" i="12"/>
  <c r="N17" i="17"/>
  <c r="L18" i="2"/>
  <c r="N18" i="2" s="1"/>
  <c r="H18" i="2"/>
  <c r="P18" i="2" s="1"/>
  <c r="G19" i="2" s="1"/>
  <c r="I18" i="2"/>
  <c r="G18" i="12" s="1"/>
  <c r="O18" i="2"/>
  <c r="R18" i="2"/>
  <c r="S18" i="2" s="1"/>
  <c r="B18" i="17"/>
  <c r="D18" i="17"/>
  <c r="E18" i="17"/>
  <c r="K18" i="17" s="1"/>
  <c r="C19" i="17"/>
  <c r="F18" i="17"/>
  <c r="J18" i="17" s="1"/>
  <c r="C19" i="18"/>
  <c r="B18" i="18"/>
  <c r="D18" i="18"/>
  <c r="R17" i="17"/>
  <c r="S17" i="17" s="1"/>
  <c r="D19" i="12"/>
  <c r="B19" i="12"/>
  <c r="C20" i="12"/>
  <c r="D19" i="2"/>
  <c r="F19" i="2" s="1"/>
  <c r="J19" i="2" s="1"/>
  <c r="E19" i="2"/>
  <c r="K19" i="2" s="1"/>
  <c r="B19" i="2"/>
  <c r="C20" i="2"/>
  <c r="F19" i="12" l="1"/>
  <c r="H19" i="12"/>
  <c r="I18" i="17"/>
  <c r="G18" i="18" s="1"/>
  <c r="L18" i="17"/>
  <c r="N18" i="17" s="1"/>
  <c r="H18" i="17"/>
  <c r="P18" i="17" s="1"/>
  <c r="G19" i="17" s="1"/>
  <c r="O18" i="17"/>
  <c r="B19" i="17"/>
  <c r="D19" i="17"/>
  <c r="F19" i="17" s="1"/>
  <c r="J19" i="17" s="1"/>
  <c r="C20" i="17"/>
  <c r="E19" i="17"/>
  <c r="K19" i="17" s="1"/>
  <c r="R19" i="2"/>
  <c r="S19" i="2" s="1"/>
  <c r="D20" i="2"/>
  <c r="F20" i="2" s="1"/>
  <c r="J20" i="2" s="1"/>
  <c r="B20" i="2"/>
  <c r="E20" i="2"/>
  <c r="K20" i="2" s="1"/>
  <c r="C21" i="2"/>
  <c r="H18" i="18"/>
  <c r="R18" i="17" s="1"/>
  <c r="S18" i="17" s="1"/>
  <c r="F18" i="18"/>
  <c r="L19" i="2"/>
  <c r="N19" i="2" s="1"/>
  <c r="I19" i="2"/>
  <c r="G19" i="12" s="1"/>
  <c r="H19" i="2"/>
  <c r="O19" i="2"/>
  <c r="P19" i="2"/>
  <c r="G20" i="2" s="1"/>
  <c r="B20" i="12"/>
  <c r="D20" i="12"/>
  <c r="C21" i="12"/>
  <c r="D19" i="18"/>
  <c r="B19" i="18"/>
  <c r="C20" i="18"/>
  <c r="C21" i="17" l="1"/>
  <c r="E20" i="17"/>
  <c r="K20" i="17" s="1"/>
  <c r="D20" i="17"/>
  <c r="F20" i="17"/>
  <c r="J20" i="17" s="1"/>
  <c r="B20" i="17"/>
  <c r="C22" i="2"/>
  <c r="B21" i="2"/>
  <c r="D21" i="2"/>
  <c r="E21" i="2"/>
  <c r="K21" i="2" s="1"/>
  <c r="L19" i="17"/>
  <c r="N19" i="17" s="1"/>
  <c r="H19" i="17"/>
  <c r="P19" i="17"/>
  <c r="G20" i="17" s="1"/>
  <c r="O19" i="17"/>
  <c r="I19" i="17"/>
  <c r="G19" i="18" s="1"/>
  <c r="F20" i="12"/>
  <c r="H20" i="12"/>
  <c r="R20" i="2" s="1"/>
  <c r="S20" i="2" s="1"/>
  <c r="D20" i="18"/>
  <c r="B20" i="18"/>
  <c r="C21" i="18"/>
  <c r="R19" i="17"/>
  <c r="S19" i="17" s="1"/>
  <c r="H19" i="18"/>
  <c r="F19" i="18"/>
  <c r="C22" i="12"/>
  <c r="B21" i="12"/>
  <c r="D21" i="12"/>
  <c r="H20" i="2"/>
  <c r="P20" i="2" s="1"/>
  <c r="G21" i="2" s="1"/>
  <c r="I20" i="2"/>
  <c r="G20" i="12" s="1"/>
  <c r="L20" i="2"/>
  <c r="N20" i="2" s="1"/>
  <c r="O20" i="2"/>
  <c r="H21" i="12" l="1"/>
  <c r="F21" i="12"/>
  <c r="R21" i="2"/>
  <c r="S21" i="2" s="1"/>
  <c r="F20" i="18"/>
  <c r="H20" i="18"/>
  <c r="B22" i="12"/>
  <c r="C23" i="12"/>
  <c r="D22" i="12"/>
  <c r="D21" i="18"/>
  <c r="B21" i="18"/>
  <c r="C22" i="18"/>
  <c r="R20" i="17"/>
  <c r="S20" i="17" s="1"/>
  <c r="P20" i="17"/>
  <c r="G21" i="17" s="1"/>
  <c r="H20" i="17"/>
  <c r="O20" i="17"/>
  <c r="I20" i="17"/>
  <c r="G20" i="18" s="1"/>
  <c r="L20" i="17"/>
  <c r="N20" i="17" s="1"/>
  <c r="H21" i="2"/>
  <c r="I21" i="2"/>
  <c r="G21" i="12" s="1"/>
  <c r="L21" i="2"/>
  <c r="O21" i="2"/>
  <c r="P21" i="2" s="1"/>
  <c r="G22" i="2" s="1"/>
  <c r="E21" i="17"/>
  <c r="K21" i="17" s="1"/>
  <c r="D21" i="17"/>
  <c r="C22" i="17"/>
  <c r="B21" i="17"/>
  <c r="F21" i="17"/>
  <c r="J21" i="17" s="1"/>
  <c r="F21" i="2"/>
  <c r="J21" i="2" s="1"/>
  <c r="N21" i="2" s="1"/>
  <c r="E22" i="2"/>
  <c r="K22" i="2" s="1"/>
  <c r="B22" i="2"/>
  <c r="C23" i="2"/>
  <c r="D22" i="2"/>
  <c r="L22" i="2" l="1"/>
  <c r="O22" i="2"/>
  <c r="I22" i="2"/>
  <c r="G22" i="12" s="1"/>
  <c r="H22" i="2"/>
  <c r="P22" i="2"/>
  <c r="G23" i="2" s="1"/>
  <c r="F22" i="17"/>
  <c r="J22" i="17" s="1"/>
  <c r="D22" i="17"/>
  <c r="C23" i="17"/>
  <c r="E22" i="17"/>
  <c r="K22" i="17" s="1"/>
  <c r="B22" i="17"/>
  <c r="H21" i="18"/>
  <c r="R21" i="17" s="1"/>
  <c r="S21" i="17" s="1"/>
  <c r="F21" i="18"/>
  <c r="F22" i="2"/>
  <c r="J22" i="2" s="1"/>
  <c r="N22" i="2" s="1"/>
  <c r="I21" i="17"/>
  <c r="G21" i="18" s="1"/>
  <c r="H21" i="17"/>
  <c r="L21" i="17"/>
  <c r="N21" i="17" s="1"/>
  <c r="P21" i="17"/>
  <c r="G22" i="17" s="1"/>
  <c r="O21" i="17"/>
  <c r="F22" i="12"/>
  <c r="H22" i="12"/>
  <c r="R22" i="2" s="1"/>
  <c r="S22" i="2" s="1"/>
  <c r="D22" i="18"/>
  <c r="C23" i="18"/>
  <c r="B22" i="18"/>
  <c r="D23" i="2"/>
  <c r="B23" i="2"/>
  <c r="E23" i="2"/>
  <c r="K23" i="2" s="1"/>
  <c r="F23" i="2"/>
  <c r="J23" i="2" s="1"/>
  <c r="C24" i="2"/>
  <c r="C24" i="12"/>
  <c r="D23" i="12"/>
  <c r="B23" i="12"/>
  <c r="C25" i="2" l="1"/>
  <c r="D24" i="2"/>
  <c r="F24" i="2"/>
  <c r="J24" i="2" s="1"/>
  <c r="B24" i="2"/>
  <c r="E24" i="2"/>
  <c r="K24" i="2" s="1"/>
  <c r="R22" i="17"/>
  <c r="S22" i="17" s="1"/>
  <c r="R23" i="2"/>
  <c r="S23" i="2" s="1"/>
  <c r="F23" i="12"/>
  <c r="H23" i="12"/>
  <c r="B23" i="18"/>
  <c r="C24" i="18"/>
  <c r="D23" i="18"/>
  <c r="F23" i="17"/>
  <c r="J23" i="17" s="1"/>
  <c r="B23" i="17"/>
  <c r="E23" i="17"/>
  <c r="K23" i="17" s="1"/>
  <c r="D23" i="17"/>
  <c r="C24" i="17"/>
  <c r="H23" i="2"/>
  <c r="O23" i="2"/>
  <c r="L23" i="2"/>
  <c r="N23" i="2" s="1"/>
  <c r="I23" i="2"/>
  <c r="G23" i="12" s="1"/>
  <c r="P23" i="2"/>
  <c r="G24" i="2" s="1"/>
  <c r="B24" i="12"/>
  <c r="C25" i="12"/>
  <c r="D24" i="12"/>
  <c r="H22" i="18"/>
  <c r="F22" i="18"/>
  <c r="H22" i="17"/>
  <c r="P22" i="17"/>
  <c r="G23" i="17" s="1"/>
  <c r="O22" i="17"/>
  <c r="I22" i="17"/>
  <c r="G22" i="18" s="1"/>
  <c r="L22" i="17"/>
  <c r="N22" i="17" s="1"/>
  <c r="B24" i="18" l="1"/>
  <c r="D24" i="18"/>
  <c r="C25" i="18"/>
  <c r="H23" i="18"/>
  <c r="R23" i="17" s="1"/>
  <c r="S23" i="17" s="1"/>
  <c r="F23" i="18"/>
  <c r="B25" i="12"/>
  <c r="C26" i="12"/>
  <c r="D25" i="12"/>
  <c r="H23" i="17"/>
  <c r="P23" i="17" s="1"/>
  <c r="G24" i="17" s="1"/>
  <c r="I23" i="17"/>
  <c r="G23" i="18" s="1"/>
  <c r="O23" i="17"/>
  <c r="L23" i="17"/>
  <c r="N23" i="17" s="1"/>
  <c r="I24" i="2"/>
  <c r="G24" i="12" s="1"/>
  <c r="H24" i="2"/>
  <c r="O24" i="2"/>
  <c r="L24" i="2"/>
  <c r="N24" i="2" s="1"/>
  <c r="P24" i="2"/>
  <c r="G25" i="2" s="1"/>
  <c r="F24" i="12"/>
  <c r="H24" i="12"/>
  <c r="B24" i="17"/>
  <c r="E24" i="17"/>
  <c r="K24" i="17" s="1"/>
  <c r="D24" i="17"/>
  <c r="C25" i="17"/>
  <c r="F24" i="17"/>
  <c r="J24" i="17" s="1"/>
  <c r="R24" i="2"/>
  <c r="S24" i="2" s="1"/>
  <c r="C26" i="2"/>
  <c r="E25" i="2"/>
  <c r="K25" i="2" s="1"/>
  <c r="D25" i="2"/>
  <c r="F25" i="2" s="1"/>
  <c r="J25" i="2" s="1"/>
  <c r="B25" i="2"/>
  <c r="C27" i="2" l="1"/>
  <c r="E26" i="2"/>
  <c r="K26" i="2" s="1"/>
  <c r="D26" i="2"/>
  <c r="B26" i="2"/>
  <c r="F26" i="2"/>
  <c r="J26" i="2" s="1"/>
  <c r="R24" i="17"/>
  <c r="S24" i="17" s="1"/>
  <c r="F25" i="17"/>
  <c r="J25" i="17" s="1"/>
  <c r="E25" i="17"/>
  <c r="K25" i="17" s="1"/>
  <c r="B25" i="17"/>
  <c r="D25" i="17"/>
  <c r="C26" i="17"/>
  <c r="N24" i="17"/>
  <c r="H24" i="17"/>
  <c r="P24" i="17" s="1"/>
  <c r="G25" i="17" s="1"/>
  <c r="O24" i="17"/>
  <c r="I24" i="17"/>
  <c r="G24" i="18" s="1"/>
  <c r="L24" i="17"/>
  <c r="F25" i="12"/>
  <c r="H25" i="12"/>
  <c r="H25" i="2"/>
  <c r="P25" i="2" s="1"/>
  <c r="G26" i="2" s="1"/>
  <c r="L25" i="2"/>
  <c r="N25" i="2" s="1"/>
  <c r="O25" i="2"/>
  <c r="I25" i="2"/>
  <c r="G25" i="12" s="1"/>
  <c r="D26" i="12"/>
  <c r="B26" i="12"/>
  <c r="C27" i="12"/>
  <c r="D25" i="18"/>
  <c r="C26" i="18"/>
  <c r="B25" i="18"/>
  <c r="R25" i="2"/>
  <c r="S25" i="2" s="1"/>
  <c r="H24" i="18"/>
  <c r="F24" i="18"/>
  <c r="H25" i="18" l="1"/>
  <c r="F25" i="18"/>
  <c r="R25" i="17"/>
  <c r="S25" i="17" s="1"/>
  <c r="C27" i="18"/>
  <c r="B26" i="18"/>
  <c r="D26" i="18"/>
  <c r="D27" i="12"/>
  <c r="C28" i="12"/>
  <c r="B27" i="12"/>
  <c r="R26" i="2"/>
  <c r="S26" i="2" s="1"/>
  <c r="H26" i="2"/>
  <c r="P26" i="2" s="1"/>
  <c r="G27" i="2" s="1"/>
  <c r="L26" i="2"/>
  <c r="N26" i="2" s="1"/>
  <c r="O26" i="2"/>
  <c r="I26" i="2"/>
  <c r="G26" i="12" s="1"/>
  <c r="F26" i="12"/>
  <c r="H26" i="12"/>
  <c r="H25" i="17"/>
  <c r="O25" i="17"/>
  <c r="P25" i="17"/>
  <c r="G26" i="17" s="1"/>
  <c r="I25" i="17"/>
  <c r="G25" i="18" s="1"/>
  <c r="L25" i="17"/>
  <c r="N25" i="17" s="1"/>
  <c r="C27" i="17"/>
  <c r="B26" i="17"/>
  <c r="D26" i="17"/>
  <c r="E26" i="17"/>
  <c r="K26" i="17" s="1"/>
  <c r="B27" i="2"/>
  <c r="E27" i="2"/>
  <c r="K27" i="2" s="1"/>
  <c r="C28" i="2"/>
  <c r="D27" i="2"/>
  <c r="F27" i="2"/>
  <c r="J27" i="2" s="1"/>
  <c r="C28" i="18" l="1"/>
  <c r="B27" i="18"/>
  <c r="D27" i="18"/>
  <c r="O26" i="17"/>
  <c r="I26" i="17"/>
  <c r="G26" i="18" s="1"/>
  <c r="L26" i="17"/>
  <c r="H26" i="17"/>
  <c r="P26" i="17" s="1"/>
  <c r="G27" i="17" s="1"/>
  <c r="H27" i="2"/>
  <c r="I27" i="2"/>
  <c r="G27" i="12" s="1"/>
  <c r="L27" i="2"/>
  <c r="O27" i="2"/>
  <c r="P27" i="2"/>
  <c r="G28" i="2" s="1"/>
  <c r="F26" i="17"/>
  <c r="J26" i="17" s="1"/>
  <c r="N26" i="17" s="1"/>
  <c r="C29" i="2"/>
  <c r="D28" i="2"/>
  <c r="E28" i="2"/>
  <c r="K28" i="2" s="1"/>
  <c r="F28" i="2"/>
  <c r="J28" i="2" s="1"/>
  <c r="B28" i="2"/>
  <c r="B28" i="12"/>
  <c r="C29" i="12"/>
  <c r="D28" i="12"/>
  <c r="H26" i="18"/>
  <c r="R26" i="17" s="1"/>
  <c r="S26" i="17" s="1"/>
  <c r="F26" i="18"/>
  <c r="N27" i="2"/>
  <c r="E27" i="17"/>
  <c r="K27" i="17" s="1"/>
  <c r="D27" i="17"/>
  <c r="B27" i="17"/>
  <c r="C28" i="17"/>
  <c r="F27" i="12"/>
  <c r="H27" i="12"/>
  <c r="R27" i="2" s="1"/>
  <c r="S27" i="2" s="1"/>
  <c r="F28" i="12" l="1"/>
  <c r="H28" i="12"/>
  <c r="C30" i="12"/>
  <c r="D29" i="12"/>
  <c r="B29" i="12"/>
  <c r="N28" i="2"/>
  <c r="H27" i="18"/>
  <c r="R27" i="17" s="1"/>
  <c r="S27" i="17" s="1"/>
  <c r="F27" i="18"/>
  <c r="O27" i="17"/>
  <c r="L27" i="17"/>
  <c r="H27" i="17"/>
  <c r="P27" i="17" s="1"/>
  <c r="G28" i="17" s="1"/>
  <c r="I27" i="17"/>
  <c r="G27" i="18" s="1"/>
  <c r="F27" i="17"/>
  <c r="J27" i="17" s="1"/>
  <c r="N27" i="17" s="1"/>
  <c r="H28" i="2"/>
  <c r="I28" i="2"/>
  <c r="G28" i="12" s="1"/>
  <c r="O28" i="2"/>
  <c r="L28" i="2"/>
  <c r="P28" i="2"/>
  <c r="R28" i="2"/>
  <c r="S28" i="2" s="1"/>
  <c r="F28" i="17"/>
  <c r="J28" i="17" s="1"/>
  <c r="D28" i="17"/>
  <c r="B28" i="17"/>
  <c r="C29" i="17"/>
  <c r="E28" i="17"/>
  <c r="K28" i="17" s="1"/>
  <c r="D29" i="2"/>
  <c r="E29" i="2"/>
  <c r="K29" i="2" s="1"/>
  <c r="C30" i="2"/>
  <c r="B29" i="2"/>
  <c r="C29" i="18"/>
  <c r="D28" i="18"/>
  <c r="B28" i="18"/>
  <c r="G29" i="2" l="1"/>
  <c r="H29" i="12"/>
  <c r="F29" i="12"/>
  <c r="E30" i="2"/>
  <c r="K30" i="2" s="1"/>
  <c r="F30" i="2"/>
  <c r="J30" i="2" s="1"/>
  <c r="B30" i="2"/>
  <c r="C31" i="2"/>
  <c r="D30" i="2"/>
  <c r="D30" i="12"/>
  <c r="B30" i="12"/>
  <c r="C31" i="12"/>
  <c r="H28" i="18"/>
  <c r="R28" i="17" s="1"/>
  <c r="S28" i="17" s="1"/>
  <c r="F28" i="18"/>
  <c r="C30" i="17"/>
  <c r="E29" i="17"/>
  <c r="K29" i="17" s="1"/>
  <c r="B29" i="17"/>
  <c r="D29" i="17"/>
  <c r="R29" i="2"/>
  <c r="S29" i="2" s="1"/>
  <c r="D29" i="18"/>
  <c r="B29" i="18"/>
  <c r="C30" i="18"/>
  <c r="L29" i="2"/>
  <c r="I29" i="2"/>
  <c r="G29" i="12" s="1"/>
  <c r="O29" i="2"/>
  <c r="H29" i="2"/>
  <c r="P29" i="2"/>
  <c r="G30" i="2" s="1"/>
  <c r="F29" i="2"/>
  <c r="J29" i="2" s="1"/>
  <c r="N29" i="2" s="1"/>
  <c r="L28" i="17"/>
  <c r="N28" i="17" s="1"/>
  <c r="H28" i="17"/>
  <c r="P28" i="17" s="1"/>
  <c r="G29" i="17" s="1"/>
  <c r="O28" i="17"/>
  <c r="I28" i="17"/>
  <c r="G28" i="18" s="1"/>
  <c r="L29" i="17" l="1"/>
  <c r="O29" i="17"/>
  <c r="I29" i="17"/>
  <c r="G29" i="18" s="1"/>
  <c r="H29" i="17"/>
  <c r="P29" i="17"/>
  <c r="G30" i="17" s="1"/>
  <c r="H29" i="18"/>
  <c r="F29" i="18"/>
  <c r="C32" i="12"/>
  <c r="B31" i="12"/>
  <c r="D31" i="12"/>
  <c r="H30" i="12"/>
  <c r="R30" i="2" s="1"/>
  <c r="S30" i="2" s="1"/>
  <c r="F30" i="12"/>
  <c r="B30" i="18"/>
  <c r="D30" i="18"/>
  <c r="C31" i="18"/>
  <c r="D30" i="17"/>
  <c r="B30" i="17"/>
  <c r="E30" i="17"/>
  <c r="K30" i="17" s="1"/>
  <c r="C31" i="17"/>
  <c r="F30" i="17"/>
  <c r="J30" i="17" s="1"/>
  <c r="I30" i="2"/>
  <c r="G30" i="12" s="1"/>
  <c r="L30" i="2"/>
  <c r="N30" i="2" s="1"/>
  <c r="O30" i="2"/>
  <c r="H30" i="2"/>
  <c r="P30" i="2"/>
  <c r="G31" i="2" s="1"/>
  <c r="F29" i="17"/>
  <c r="J29" i="17" s="1"/>
  <c r="N29" i="17" s="1"/>
  <c r="R29" i="17"/>
  <c r="S29" i="17" s="1"/>
  <c r="E31" i="2"/>
  <c r="K31" i="2" s="1"/>
  <c r="F31" i="2"/>
  <c r="J31" i="2" s="1"/>
  <c r="D31" i="2"/>
  <c r="C32" i="2"/>
  <c r="B31" i="2"/>
  <c r="H31" i="12" l="1"/>
  <c r="F31" i="12"/>
  <c r="O30" i="17"/>
  <c r="I30" i="17"/>
  <c r="G30" i="18" s="1"/>
  <c r="L30" i="17"/>
  <c r="N30" i="17" s="1"/>
  <c r="H30" i="17"/>
  <c r="P30" i="17"/>
  <c r="G31" i="17" s="1"/>
  <c r="C32" i="18"/>
  <c r="B31" i="18"/>
  <c r="D31" i="18"/>
  <c r="B32" i="12"/>
  <c r="D32" i="12"/>
  <c r="C33" i="12"/>
  <c r="R31" i="2"/>
  <c r="S31" i="2" s="1"/>
  <c r="B32" i="2"/>
  <c r="D32" i="2"/>
  <c r="E32" i="2"/>
  <c r="K32" i="2" s="1"/>
  <c r="C33" i="2"/>
  <c r="H31" i="2"/>
  <c r="P31" i="2" s="1"/>
  <c r="G32" i="2" s="1"/>
  <c r="L31" i="2"/>
  <c r="N31" i="2" s="1"/>
  <c r="I31" i="2"/>
  <c r="G31" i="12" s="1"/>
  <c r="O31" i="2"/>
  <c r="F30" i="18"/>
  <c r="H30" i="18"/>
  <c r="E31" i="17"/>
  <c r="K31" i="17" s="1"/>
  <c r="C32" i="17"/>
  <c r="F31" i="17"/>
  <c r="J31" i="17" s="1"/>
  <c r="D31" i="17"/>
  <c r="B31" i="17"/>
  <c r="R30" i="17"/>
  <c r="S30" i="17" s="1"/>
  <c r="D33" i="12" l="1"/>
  <c r="B33" i="12"/>
  <c r="C34" i="12"/>
  <c r="R32" i="2"/>
  <c r="S32" i="2" s="1"/>
  <c r="E32" i="17"/>
  <c r="K32" i="17" s="1"/>
  <c r="C33" i="17"/>
  <c r="D32" i="17"/>
  <c r="F32" i="17" s="1"/>
  <c r="J32" i="17" s="1"/>
  <c r="B32" i="17"/>
  <c r="E33" i="2"/>
  <c r="K33" i="2" s="1"/>
  <c r="B33" i="2"/>
  <c r="C34" i="2"/>
  <c r="D33" i="2"/>
  <c r="F33" i="2" s="1"/>
  <c r="J33" i="2" s="1"/>
  <c r="R31" i="17"/>
  <c r="S31" i="17" s="1"/>
  <c r="F32" i="12"/>
  <c r="H32" i="12"/>
  <c r="H31" i="18"/>
  <c r="F31" i="18"/>
  <c r="H32" i="2"/>
  <c r="P32" i="2" s="1"/>
  <c r="G33" i="2" s="1"/>
  <c r="O32" i="2"/>
  <c r="I32" i="2"/>
  <c r="G32" i="12" s="1"/>
  <c r="L32" i="2"/>
  <c r="O31" i="17"/>
  <c r="L31" i="17"/>
  <c r="N31" i="17" s="1"/>
  <c r="H31" i="17"/>
  <c r="P31" i="17" s="1"/>
  <c r="G32" i="17" s="1"/>
  <c r="I31" i="17"/>
  <c r="G31" i="18" s="1"/>
  <c r="F32" i="2"/>
  <c r="J32" i="2" s="1"/>
  <c r="N32" i="2" s="1"/>
  <c r="D32" i="18"/>
  <c r="C33" i="18"/>
  <c r="B32" i="18"/>
  <c r="E34" i="2" l="1"/>
  <c r="K34" i="2" s="1"/>
  <c r="D34" i="2"/>
  <c r="B34" i="2"/>
  <c r="F34" i="2"/>
  <c r="J34" i="2" s="1"/>
  <c r="C35" i="2"/>
  <c r="B33" i="18"/>
  <c r="D33" i="18"/>
  <c r="C34" i="18"/>
  <c r="C35" i="12"/>
  <c r="B34" i="12"/>
  <c r="D34" i="12"/>
  <c r="H33" i="2"/>
  <c r="P33" i="2" s="1"/>
  <c r="G34" i="2" s="1"/>
  <c r="O33" i="2"/>
  <c r="L33" i="2"/>
  <c r="N33" i="2" s="1"/>
  <c r="I33" i="2"/>
  <c r="G33" i="12" s="1"/>
  <c r="H32" i="18"/>
  <c r="R32" i="17" s="1"/>
  <c r="S32" i="17" s="1"/>
  <c r="F32" i="18"/>
  <c r="R33" i="2"/>
  <c r="S33" i="2" s="1"/>
  <c r="O32" i="17"/>
  <c r="I32" i="17"/>
  <c r="G32" i="18" s="1"/>
  <c r="L32" i="17"/>
  <c r="N32" i="17" s="1"/>
  <c r="H32" i="17"/>
  <c r="P32" i="17" s="1"/>
  <c r="G33" i="17" s="1"/>
  <c r="F33" i="17"/>
  <c r="J33" i="17" s="1"/>
  <c r="C34" i="17"/>
  <c r="E33" i="17"/>
  <c r="K33" i="17" s="1"/>
  <c r="B33" i="17"/>
  <c r="D33" i="17"/>
  <c r="F33" i="12"/>
  <c r="H33" i="12"/>
  <c r="H34" i="12" l="1"/>
  <c r="F34" i="12"/>
  <c r="C36" i="12"/>
  <c r="B35" i="12"/>
  <c r="D35" i="12"/>
  <c r="B35" i="2"/>
  <c r="D35" i="2"/>
  <c r="F35" i="2"/>
  <c r="J35" i="2" s="1"/>
  <c r="E35" i="2"/>
  <c r="K35" i="2" s="1"/>
  <c r="C36" i="2"/>
  <c r="B34" i="17"/>
  <c r="E34" i="17"/>
  <c r="K34" i="17" s="1"/>
  <c r="C35" i="17"/>
  <c r="D34" i="17"/>
  <c r="F34" i="17" s="1"/>
  <c r="J34" i="17" s="1"/>
  <c r="R34" i="2"/>
  <c r="S34" i="2" s="1"/>
  <c r="B34" i="18"/>
  <c r="C35" i="18"/>
  <c r="D34" i="18"/>
  <c r="N34" i="2"/>
  <c r="I34" i="2"/>
  <c r="G34" i="12" s="1"/>
  <c r="O34" i="2"/>
  <c r="L34" i="2"/>
  <c r="H34" i="2"/>
  <c r="P34" i="2" s="1"/>
  <c r="G35" i="2" s="1"/>
  <c r="H33" i="17"/>
  <c r="O33" i="17"/>
  <c r="P33" i="17"/>
  <c r="G34" i="17" s="1"/>
  <c r="L33" i="17"/>
  <c r="N33" i="17" s="1"/>
  <c r="I33" i="17"/>
  <c r="G33" i="18" s="1"/>
  <c r="F33" i="18"/>
  <c r="H33" i="18"/>
  <c r="R33" i="17" s="1"/>
  <c r="S33" i="17" s="1"/>
  <c r="B35" i="17" l="1"/>
  <c r="D35" i="17"/>
  <c r="F35" i="17"/>
  <c r="J35" i="17" s="1"/>
  <c r="E35" i="17"/>
  <c r="K35" i="17" s="1"/>
  <c r="C36" i="17"/>
  <c r="C36" i="18"/>
  <c r="B35" i="18"/>
  <c r="D35" i="18"/>
  <c r="D36" i="2"/>
  <c r="F36" i="2" s="1"/>
  <c r="J36" i="2" s="1"/>
  <c r="B36" i="2"/>
  <c r="C37" i="2"/>
  <c r="E36" i="2"/>
  <c r="K36" i="2" s="1"/>
  <c r="H34" i="18"/>
  <c r="F34" i="18"/>
  <c r="N35" i="2"/>
  <c r="C37" i="12"/>
  <c r="D36" i="12"/>
  <c r="B36" i="12"/>
  <c r="H35" i="2"/>
  <c r="P35" i="2" s="1"/>
  <c r="G36" i="2" s="1"/>
  <c r="I35" i="2"/>
  <c r="G35" i="12" s="1"/>
  <c r="L35" i="2"/>
  <c r="O35" i="2"/>
  <c r="F35" i="12"/>
  <c r="H35" i="12"/>
  <c r="R35" i="2" s="1"/>
  <c r="S35" i="2" s="1"/>
  <c r="R34" i="17"/>
  <c r="S34" i="17" s="1"/>
  <c r="I34" i="17"/>
  <c r="G34" i="18" s="1"/>
  <c r="H34" i="17"/>
  <c r="L34" i="17"/>
  <c r="N34" i="17" s="1"/>
  <c r="O34" i="17"/>
  <c r="P34" i="17" s="1"/>
  <c r="G35" i="17" s="1"/>
  <c r="C37" i="18" l="1"/>
  <c r="D36" i="18"/>
  <c r="B36" i="18"/>
  <c r="H36" i="12"/>
  <c r="F36" i="12"/>
  <c r="L35" i="17"/>
  <c r="I35" i="17"/>
  <c r="G35" i="18" s="1"/>
  <c r="O35" i="17"/>
  <c r="H35" i="17"/>
  <c r="P35" i="17" s="1"/>
  <c r="G36" i="17" s="1"/>
  <c r="E36" i="17"/>
  <c r="K36" i="17" s="1"/>
  <c r="B36" i="17"/>
  <c r="F36" i="17"/>
  <c r="J36" i="17" s="1"/>
  <c r="C37" i="17"/>
  <c r="D36" i="17"/>
  <c r="B37" i="2"/>
  <c r="C38" i="2"/>
  <c r="E37" i="2"/>
  <c r="K37" i="2" s="1"/>
  <c r="D37" i="2"/>
  <c r="C38" i="12"/>
  <c r="B37" i="12"/>
  <c r="D37" i="12"/>
  <c r="H36" i="2"/>
  <c r="I36" i="2"/>
  <c r="G36" i="12" s="1"/>
  <c r="L36" i="2"/>
  <c r="N36" i="2" s="1"/>
  <c r="O36" i="2"/>
  <c r="P36" i="2"/>
  <c r="G37" i="2" s="1"/>
  <c r="R36" i="2"/>
  <c r="S36" i="2" s="1"/>
  <c r="N35" i="17"/>
  <c r="H35" i="18"/>
  <c r="R35" i="17" s="1"/>
  <c r="S35" i="17" s="1"/>
  <c r="F35" i="18"/>
  <c r="H36" i="18" l="1"/>
  <c r="F36" i="18"/>
  <c r="N36" i="17"/>
  <c r="D37" i="18"/>
  <c r="C38" i="18"/>
  <c r="B37" i="18"/>
  <c r="I37" i="2"/>
  <c r="G37" i="12" s="1"/>
  <c r="O37" i="2"/>
  <c r="L37" i="2"/>
  <c r="H37" i="2"/>
  <c r="P37" i="2"/>
  <c r="G38" i="2" s="1"/>
  <c r="R36" i="17"/>
  <c r="S36" i="17" s="1"/>
  <c r="E38" i="2"/>
  <c r="K38" i="2" s="1"/>
  <c r="C39" i="2"/>
  <c r="B38" i="2"/>
  <c r="D38" i="2"/>
  <c r="H37" i="12"/>
  <c r="F37" i="12"/>
  <c r="H36" i="17"/>
  <c r="P36" i="17"/>
  <c r="G37" i="17" s="1"/>
  <c r="O36" i="17"/>
  <c r="I36" i="17"/>
  <c r="G36" i="18" s="1"/>
  <c r="L36" i="17"/>
  <c r="D38" i="12"/>
  <c r="B38" i="12"/>
  <c r="C39" i="12"/>
  <c r="F37" i="2"/>
  <c r="J37" i="2" s="1"/>
  <c r="N37" i="2" s="1"/>
  <c r="R37" i="2"/>
  <c r="S37" i="2" s="1"/>
  <c r="B37" i="17"/>
  <c r="C38" i="17"/>
  <c r="D37" i="17"/>
  <c r="F37" i="17"/>
  <c r="J37" i="17" s="1"/>
  <c r="E37" i="17"/>
  <c r="K37" i="17" s="1"/>
  <c r="E39" i="2" l="1"/>
  <c r="K39" i="2" s="1"/>
  <c r="C40" i="2"/>
  <c r="B39" i="2"/>
  <c r="D39" i="2"/>
  <c r="D38" i="18"/>
  <c r="B38" i="18"/>
  <c r="C39" i="18"/>
  <c r="C40" i="12"/>
  <c r="D39" i="12"/>
  <c r="B39" i="12"/>
  <c r="H38" i="12"/>
  <c r="R38" i="2" s="1"/>
  <c r="S38" i="2" s="1"/>
  <c r="F38" i="12"/>
  <c r="I37" i="17"/>
  <c r="G37" i="18" s="1"/>
  <c r="H37" i="17"/>
  <c r="L37" i="17"/>
  <c r="O37" i="17"/>
  <c r="P37" i="17"/>
  <c r="L38" i="2"/>
  <c r="I38" i="2"/>
  <c r="G38" i="12" s="1"/>
  <c r="O38" i="2"/>
  <c r="H38" i="2"/>
  <c r="P38" i="2" s="1"/>
  <c r="G39" i="2" s="1"/>
  <c r="F37" i="18"/>
  <c r="H37" i="18"/>
  <c r="R37" i="17" s="1"/>
  <c r="S37" i="17" s="1"/>
  <c r="N37" i="17"/>
  <c r="D38" i="17"/>
  <c r="F38" i="17" s="1"/>
  <c r="J38" i="17" s="1"/>
  <c r="E38" i="17"/>
  <c r="K38" i="17" s="1"/>
  <c r="C39" i="17"/>
  <c r="B38" i="17"/>
  <c r="F38" i="2"/>
  <c r="J38" i="2" s="1"/>
  <c r="N38" i="2" s="1"/>
  <c r="B39" i="18" l="1"/>
  <c r="C40" i="18"/>
  <c r="D39" i="18"/>
  <c r="H38" i="17"/>
  <c r="I38" i="17"/>
  <c r="G38" i="18" s="1"/>
  <c r="L38" i="17"/>
  <c r="N38" i="17" s="1"/>
  <c r="O38" i="17"/>
  <c r="D40" i="2"/>
  <c r="B40" i="2"/>
  <c r="F40" i="2"/>
  <c r="J40" i="2" s="1"/>
  <c r="E40" i="2"/>
  <c r="K40" i="2" s="1"/>
  <c r="C41" i="2"/>
  <c r="F38" i="18"/>
  <c r="H38" i="18"/>
  <c r="H39" i="2"/>
  <c r="I39" i="2"/>
  <c r="G39" i="12" s="1"/>
  <c r="L39" i="2"/>
  <c r="O39" i="2"/>
  <c r="P39" i="2"/>
  <c r="G40" i="2" s="1"/>
  <c r="G38" i="17"/>
  <c r="P38" i="17" s="1"/>
  <c r="G39" i="17" s="1"/>
  <c r="B39" i="17"/>
  <c r="D39" i="17"/>
  <c r="E39" i="17"/>
  <c r="K39" i="17" s="1"/>
  <c r="F39" i="17"/>
  <c r="J39" i="17" s="1"/>
  <c r="C40" i="17"/>
  <c r="H39" i="12"/>
  <c r="R39" i="2" s="1"/>
  <c r="S39" i="2" s="1"/>
  <c r="F39" i="12"/>
  <c r="F39" i="2"/>
  <c r="J39" i="2" s="1"/>
  <c r="R38" i="17"/>
  <c r="S38" i="17" s="1"/>
  <c r="B40" i="12"/>
  <c r="D40" i="12"/>
  <c r="C41" i="12"/>
  <c r="D41" i="12" l="1"/>
  <c r="B41" i="12"/>
  <c r="C42" i="12"/>
  <c r="E41" i="2"/>
  <c r="K41" i="2" s="1"/>
  <c r="B41" i="2"/>
  <c r="C42" i="2"/>
  <c r="F41" i="2"/>
  <c r="J41" i="2" s="1"/>
  <c r="D41" i="2"/>
  <c r="L40" i="2"/>
  <c r="N40" i="2" s="1"/>
  <c r="H40" i="2"/>
  <c r="I40" i="2"/>
  <c r="G40" i="12" s="1"/>
  <c r="O40" i="2"/>
  <c r="P40" i="2"/>
  <c r="G41" i="2" s="1"/>
  <c r="B40" i="18"/>
  <c r="D40" i="18"/>
  <c r="C41" i="18"/>
  <c r="F40" i="12"/>
  <c r="H40" i="12"/>
  <c r="R40" i="2" s="1"/>
  <c r="S40" i="2" s="1"/>
  <c r="I39" i="17"/>
  <c r="G39" i="18" s="1"/>
  <c r="O39" i="17"/>
  <c r="P39" i="17" s="1"/>
  <c r="G40" i="17" s="1"/>
  <c r="L39" i="17"/>
  <c r="N39" i="17" s="1"/>
  <c r="H39" i="17"/>
  <c r="R39" i="17"/>
  <c r="S39" i="17" s="1"/>
  <c r="E40" i="17"/>
  <c r="K40" i="17" s="1"/>
  <c r="D40" i="17"/>
  <c r="B40" i="17"/>
  <c r="C41" i="17"/>
  <c r="F39" i="18"/>
  <c r="H39" i="18"/>
  <c r="N39" i="2"/>
  <c r="E42" i="2" l="1"/>
  <c r="B42" i="2"/>
  <c r="C43" i="2"/>
  <c r="D42" i="2"/>
  <c r="F42" i="2" s="1"/>
  <c r="J42" i="2" s="1"/>
  <c r="D41" i="17"/>
  <c r="C42" i="17"/>
  <c r="E41" i="17"/>
  <c r="K41" i="17" s="1"/>
  <c r="B41" i="17"/>
  <c r="C42" i="18"/>
  <c r="B41" i="18"/>
  <c r="D41" i="18"/>
  <c r="D42" i="12"/>
  <c r="C43" i="12"/>
  <c r="B42" i="12"/>
  <c r="L40" i="17"/>
  <c r="H40" i="17"/>
  <c r="I40" i="17"/>
  <c r="G40" i="18" s="1"/>
  <c r="O40" i="17"/>
  <c r="P40" i="17" s="1"/>
  <c r="G41" i="17" s="1"/>
  <c r="H40" i="18"/>
  <c r="R40" i="17" s="1"/>
  <c r="S40" i="17" s="1"/>
  <c r="F40" i="18"/>
  <c r="N41" i="2"/>
  <c r="F40" i="17"/>
  <c r="J40" i="17" s="1"/>
  <c r="N40" i="17" s="1"/>
  <c r="O41" i="2"/>
  <c r="I41" i="2"/>
  <c r="G41" i="12" s="1"/>
  <c r="H41" i="2"/>
  <c r="P41" i="2" s="1"/>
  <c r="G42" i="2" s="1"/>
  <c r="L41" i="2"/>
  <c r="F41" i="12"/>
  <c r="H41" i="12"/>
  <c r="R41" i="2" s="1"/>
  <c r="S41" i="2" s="1"/>
  <c r="F42" i="12" l="1"/>
  <c r="H41" i="18"/>
  <c r="F41" i="18"/>
  <c r="C44" i="12"/>
  <c r="D43" i="12"/>
  <c r="B43" i="12"/>
  <c r="H41" i="17"/>
  <c r="I41" i="17"/>
  <c r="G41" i="18" s="1"/>
  <c r="O41" i="17"/>
  <c r="L41" i="17"/>
  <c r="P41" i="17"/>
  <c r="G42" i="17" s="1"/>
  <c r="B42" i="18"/>
  <c r="D42" i="18"/>
  <c r="C43" i="18"/>
  <c r="D43" i="2"/>
  <c r="E43" i="2"/>
  <c r="C44" i="2"/>
  <c r="F43" i="2"/>
  <c r="B43" i="2"/>
  <c r="H42" i="2"/>
  <c r="L42" i="2"/>
  <c r="I42" i="2"/>
  <c r="G42" i="12" s="1"/>
  <c r="B42" i="17"/>
  <c r="F42" i="17"/>
  <c r="J42" i="17" s="1"/>
  <c r="E42" i="17"/>
  <c r="K42" i="17" s="1"/>
  <c r="D42" i="17"/>
  <c r="C43" i="17"/>
  <c r="R41" i="17"/>
  <c r="S41" i="17" s="1"/>
  <c r="F41" i="17"/>
  <c r="J41" i="17" s="1"/>
  <c r="K42" i="2"/>
  <c r="N42" i="2" s="1"/>
  <c r="J43" i="2" l="1"/>
  <c r="B44" i="2"/>
  <c r="D44" i="2"/>
  <c r="E44" i="2"/>
  <c r="K44" i="2" s="1"/>
  <c r="F44" i="2"/>
  <c r="J44" i="2" s="1"/>
  <c r="C45" i="2"/>
  <c r="B44" i="12"/>
  <c r="D44" i="12"/>
  <c r="C45" i="12"/>
  <c r="K43" i="2"/>
  <c r="O42" i="2"/>
  <c r="H42" i="12" s="1"/>
  <c r="R42" i="2" s="1"/>
  <c r="S42" i="2" s="1"/>
  <c r="L43" i="2"/>
  <c r="I43" i="2"/>
  <c r="G43" i="12" s="1"/>
  <c r="H43" i="2"/>
  <c r="C44" i="17"/>
  <c r="B43" i="17"/>
  <c r="E43" i="17"/>
  <c r="K43" i="17" s="1"/>
  <c r="D43" i="17"/>
  <c r="D43" i="18"/>
  <c r="C44" i="18"/>
  <c r="B43" i="18"/>
  <c r="N41" i="17"/>
  <c r="H42" i="17"/>
  <c r="L42" i="17"/>
  <c r="N42" i="17" s="1"/>
  <c r="I42" i="17"/>
  <c r="G42" i="18" s="1"/>
  <c r="F42" i="18"/>
  <c r="F43" i="12"/>
  <c r="O43" i="2" l="1"/>
  <c r="H43" i="12" s="1"/>
  <c r="R43" i="2" s="1"/>
  <c r="S43" i="2" s="1"/>
  <c r="I44" i="2"/>
  <c r="G44" i="12" s="1"/>
  <c r="L44" i="2"/>
  <c r="N44" i="2" s="1"/>
  <c r="H44" i="2"/>
  <c r="E44" i="17"/>
  <c r="D44" i="17"/>
  <c r="C45" i="17"/>
  <c r="F44" i="17"/>
  <c r="B44" i="17"/>
  <c r="F43" i="18"/>
  <c r="O42" i="17"/>
  <c r="H42" i="18" s="1"/>
  <c r="R42" i="17" s="1"/>
  <c r="S42" i="17" s="1"/>
  <c r="C46" i="12"/>
  <c r="D45" i="12"/>
  <c r="B45" i="12"/>
  <c r="N43" i="2"/>
  <c r="I43" i="17"/>
  <c r="G43" i="18" s="1"/>
  <c r="L43" i="17"/>
  <c r="H43" i="17"/>
  <c r="B45" i="2"/>
  <c r="F45" i="2"/>
  <c r="J45" i="2" s="1"/>
  <c r="E45" i="2"/>
  <c r="K45" i="2" s="1"/>
  <c r="C46" i="2"/>
  <c r="D45" i="2"/>
  <c r="F43" i="17"/>
  <c r="J43" i="17" s="1"/>
  <c r="N43" i="17" s="1"/>
  <c r="B44" i="18"/>
  <c r="D44" i="18"/>
  <c r="C45" i="18"/>
  <c r="F44" i="12"/>
  <c r="P42" i="2"/>
  <c r="G43" i="2" s="1"/>
  <c r="P43" i="2" s="1"/>
  <c r="G44" i="2" s="1"/>
  <c r="F45" i="12" l="1"/>
  <c r="J44" i="17"/>
  <c r="N44" i="17" s="1"/>
  <c r="O44" i="2"/>
  <c r="D46" i="2"/>
  <c r="B46" i="2"/>
  <c r="F46" i="2"/>
  <c r="J46" i="2" s="1"/>
  <c r="C47" i="2"/>
  <c r="E46" i="2"/>
  <c r="D45" i="18"/>
  <c r="C46" i="18"/>
  <c r="B45" i="18"/>
  <c r="D46" i="12"/>
  <c r="B46" i="12"/>
  <c r="C47" i="12"/>
  <c r="D45" i="17"/>
  <c r="C46" i="17"/>
  <c r="E45" i="17"/>
  <c r="F45" i="17"/>
  <c r="B45" i="17"/>
  <c r="O43" i="17"/>
  <c r="H43" i="18" s="1"/>
  <c r="R43" i="17" s="1"/>
  <c r="S43" i="17" s="1"/>
  <c r="H44" i="17"/>
  <c r="L44" i="17"/>
  <c r="I44" i="17"/>
  <c r="G44" i="18" s="1"/>
  <c r="F44" i="18"/>
  <c r="K44" i="17"/>
  <c r="H45" i="2"/>
  <c r="L45" i="2"/>
  <c r="N45" i="2" s="1"/>
  <c r="I45" i="2"/>
  <c r="G45" i="12" s="1"/>
  <c r="O45" i="2"/>
  <c r="H45" i="12" s="1"/>
  <c r="R45" i="2" s="1"/>
  <c r="S45" i="2" s="1"/>
  <c r="P42" i="17"/>
  <c r="G43" i="17" s="1"/>
  <c r="P43" i="17" s="1"/>
  <c r="G44" i="17" s="1"/>
  <c r="J45" i="17" l="1"/>
  <c r="D46" i="18"/>
  <c r="B46" i="18"/>
  <c r="C47" i="18"/>
  <c r="H44" i="12"/>
  <c r="R44" i="2" s="1"/>
  <c r="S44" i="2" s="1"/>
  <c r="P44" i="2"/>
  <c r="G45" i="2" s="1"/>
  <c r="P45" i="2" s="1"/>
  <c r="G46" i="2" s="1"/>
  <c r="N46" i="2"/>
  <c r="O44" i="17"/>
  <c r="H44" i="18" s="1"/>
  <c r="R44" i="17" s="1"/>
  <c r="S44" i="17" s="1"/>
  <c r="D46" i="17"/>
  <c r="C47" i="17"/>
  <c r="B46" i="17"/>
  <c r="F46" i="17"/>
  <c r="J46" i="17" s="1"/>
  <c r="E46" i="17"/>
  <c r="K46" i="17" s="1"/>
  <c r="L46" i="2"/>
  <c r="H46" i="2"/>
  <c r="I46" i="2"/>
  <c r="G46" i="12" s="1"/>
  <c r="F45" i="18"/>
  <c r="H45" i="18"/>
  <c r="R45" i="17" s="1"/>
  <c r="S45" i="17" s="1"/>
  <c r="L45" i="17"/>
  <c r="I45" i="17"/>
  <c r="G45" i="18" s="1"/>
  <c r="H45" i="17"/>
  <c r="O45" i="17"/>
  <c r="K46" i="2"/>
  <c r="F46" i="12"/>
  <c r="K45" i="17"/>
  <c r="D47" i="12"/>
  <c r="C48" i="12"/>
  <c r="B47" i="12"/>
  <c r="E47" i="2"/>
  <c r="K47" i="2" s="1"/>
  <c r="D47" i="2"/>
  <c r="F47" i="2"/>
  <c r="J47" i="2" s="1"/>
  <c r="C48" i="2"/>
  <c r="B47" i="2"/>
  <c r="B47" i="18" l="1"/>
  <c r="D47" i="18"/>
  <c r="C48" i="18"/>
  <c r="N46" i="17"/>
  <c r="F47" i="12"/>
  <c r="H47" i="12"/>
  <c r="R47" i="2" s="1"/>
  <c r="S47" i="2" s="1"/>
  <c r="I46" i="17"/>
  <c r="G46" i="18" s="1"/>
  <c r="H46" i="17"/>
  <c r="L46" i="17"/>
  <c r="O46" i="17"/>
  <c r="F46" i="18"/>
  <c r="H46" i="18"/>
  <c r="R46" i="17" s="1"/>
  <c r="S46" i="17" s="1"/>
  <c r="B47" i="17"/>
  <c r="C48" i="17"/>
  <c r="D47" i="17"/>
  <c r="E47" i="17"/>
  <c r="K47" i="17" s="1"/>
  <c r="F47" i="17"/>
  <c r="J47" i="17" s="1"/>
  <c r="N45" i="17"/>
  <c r="N47" i="2"/>
  <c r="L47" i="2"/>
  <c r="I47" i="2"/>
  <c r="G47" i="12" s="1"/>
  <c r="H47" i="2"/>
  <c r="O47" i="2"/>
  <c r="D48" i="12"/>
  <c r="C49" i="12"/>
  <c r="B48" i="12"/>
  <c r="E48" i="2"/>
  <c r="C49" i="2"/>
  <c r="D48" i="2"/>
  <c r="B48" i="2"/>
  <c r="F48" i="2"/>
  <c r="J48" i="2" s="1"/>
  <c r="O46" i="2"/>
  <c r="H46" i="12" s="1"/>
  <c r="R46" i="2" s="1"/>
  <c r="S46" i="2" s="1"/>
  <c r="P44" i="17"/>
  <c r="G45" i="17" s="1"/>
  <c r="P45" i="17" s="1"/>
  <c r="G46" i="17" s="1"/>
  <c r="P46" i="17" s="1"/>
  <c r="G47" i="17" s="1"/>
  <c r="F47" i="18" l="1"/>
  <c r="F48" i="12"/>
  <c r="O48" i="2"/>
  <c r="H48" i="12" s="1"/>
  <c r="R48" i="2" s="1"/>
  <c r="S48" i="2" s="1"/>
  <c r="L48" i="2"/>
  <c r="H48" i="2"/>
  <c r="I48" i="2"/>
  <c r="G48" i="12" s="1"/>
  <c r="D49" i="2"/>
  <c r="E49" i="2"/>
  <c r="B49" i="2"/>
  <c r="C50" i="2"/>
  <c r="D48" i="17"/>
  <c r="B48" i="17"/>
  <c r="F48" i="17"/>
  <c r="J48" i="17" s="1"/>
  <c r="E48" i="17"/>
  <c r="K48" i="17" s="1"/>
  <c r="C49" i="17"/>
  <c r="B49" i="12"/>
  <c r="C50" i="12"/>
  <c r="D49" i="12"/>
  <c r="H47" i="17"/>
  <c r="L47" i="17"/>
  <c r="N47" i="17" s="1"/>
  <c r="I47" i="17"/>
  <c r="G47" i="18" s="1"/>
  <c r="C49" i="18"/>
  <c r="B48" i="18"/>
  <c r="D48" i="18"/>
  <c r="K48" i="2"/>
  <c r="N48" i="2" s="1"/>
  <c r="P46" i="2"/>
  <c r="G47" i="2" s="1"/>
  <c r="P47" i="2" s="1"/>
  <c r="G48" i="2" s="1"/>
  <c r="P48" i="2" s="1"/>
  <c r="G49" i="2" s="1"/>
  <c r="L49" i="2" l="1"/>
  <c r="I49" i="2"/>
  <c r="G49" i="12" s="1"/>
  <c r="H49" i="2"/>
  <c r="B49" i="17"/>
  <c r="D49" i="17"/>
  <c r="E49" i="17"/>
  <c r="C50" i="17"/>
  <c r="B50" i="2"/>
  <c r="F50" i="2"/>
  <c r="J50" i="2" s="1"/>
  <c r="E50" i="2"/>
  <c r="K50" i="2" s="1"/>
  <c r="C51" i="2"/>
  <c r="D50" i="2"/>
  <c r="K49" i="2"/>
  <c r="F48" i="18"/>
  <c r="C50" i="18"/>
  <c r="B49" i="18"/>
  <c r="D49" i="18"/>
  <c r="H48" i="17"/>
  <c r="I48" i="17"/>
  <c r="G48" i="18" s="1"/>
  <c r="L48" i="17"/>
  <c r="N48" i="17" s="1"/>
  <c r="O47" i="17"/>
  <c r="F49" i="12"/>
  <c r="D50" i="12"/>
  <c r="C51" i="12"/>
  <c r="B50" i="12"/>
  <c r="F49" i="2"/>
  <c r="J49" i="2" s="1"/>
  <c r="N49" i="2" s="1"/>
  <c r="F50" i="12" l="1"/>
  <c r="O48" i="17"/>
  <c r="H48" i="18" s="1"/>
  <c r="R48" i="17" s="1"/>
  <c r="S48" i="17" s="1"/>
  <c r="C51" i="17"/>
  <c r="D50" i="17"/>
  <c r="E50" i="17"/>
  <c r="B50" i="17"/>
  <c r="O49" i="2"/>
  <c r="H49" i="12" s="1"/>
  <c r="R49" i="2" s="1"/>
  <c r="S49" i="2" s="1"/>
  <c r="I49" i="17"/>
  <c r="G49" i="18" s="1"/>
  <c r="L49" i="17"/>
  <c r="H49" i="17"/>
  <c r="H47" i="18"/>
  <c r="R47" i="17" s="1"/>
  <c r="S47" i="17" s="1"/>
  <c r="P47" i="17"/>
  <c r="G48" i="17" s="1"/>
  <c r="C51" i="18"/>
  <c r="D50" i="18"/>
  <c r="B50" i="18"/>
  <c r="F49" i="17"/>
  <c r="J49" i="17" s="1"/>
  <c r="E51" i="2"/>
  <c r="D51" i="2"/>
  <c r="F51" i="2"/>
  <c r="C52" i="2"/>
  <c r="B51" i="2"/>
  <c r="B51" i="12"/>
  <c r="C52" i="12"/>
  <c r="D51" i="12"/>
  <c r="F49" i="18"/>
  <c r="L50" i="2"/>
  <c r="N50" i="2" s="1"/>
  <c r="H50" i="2"/>
  <c r="I50" i="2"/>
  <c r="G50" i="12" s="1"/>
  <c r="K49" i="17"/>
  <c r="F50" i="18" l="1"/>
  <c r="J51" i="2"/>
  <c r="K50" i="17"/>
  <c r="O50" i="17" s="1"/>
  <c r="B51" i="18"/>
  <c r="C52" i="18"/>
  <c r="D51" i="18"/>
  <c r="O50" i="2"/>
  <c r="H50" i="12" s="1"/>
  <c r="R50" i="2" s="1"/>
  <c r="S50" i="2" s="1"/>
  <c r="B52" i="2"/>
  <c r="B40" i="1" s="1"/>
  <c r="E52" i="2"/>
  <c r="K52" i="2" s="1"/>
  <c r="C53" i="2"/>
  <c r="D52" i="2"/>
  <c r="F52" i="2" s="1"/>
  <c r="J52" i="2" s="1"/>
  <c r="L51" i="2"/>
  <c r="I51" i="2"/>
  <c r="G51" i="12" s="1"/>
  <c r="H51" i="2"/>
  <c r="H50" i="17"/>
  <c r="L50" i="17"/>
  <c r="I50" i="17"/>
  <c r="G50" i="18" s="1"/>
  <c r="K51" i="2"/>
  <c r="O49" i="17"/>
  <c r="H49" i="18" s="1"/>
  <c r="R49" i="17" s="1"/>
  <c r="S49" i="17" s="1"/>
  <c r="D51" i="17"/>
  <c r="B51" i="17"/>
  <c r="C52" i="17"/>
  <c r="F51" i="17"/>
  <c r="J51" i="17" s="1"/>
  <c r="E51" i="17"/>
  <c r="K51" i="17" s="1"/>
  <c r="C53" i="12"/>
  <c r="B52" i="12"/>
  <c r="D52" i="12"/>
  <c r="P48" i="17"/>
  <c r="G49" i="17" s="1"/>
  <c r="P49" i="17" s="1"/>
  <c r="G50" i="17" s="1"/>
  <c r="F51" i="12"/>
  <c r="N49" i="17"/>
  <c r="F50" i="17"/>
  <c r="J50" i="17" s="1"/>
  <c r="P49" i="2"/>
  <c r="G50" i="2" s="1"/>
  <c r="P50" i="2" s="1"/>
  <c r="G51" i="2" s="1"/>
  <c r="P50" i="17" l="1"/>
  <c r="G51" i="17" s="1"/>
  <c r="H50" i="18"/>
  <c r="R50" i="17" s="1"/>
  <c r="S50" i="17" s="1"/>
  <c r="N51" i="2"/>
  <c r="L51" i="17"/>
  <c r="N51" i="17" s="1"/>
  <c r="H51" i="17"/>
  <c r="I51" i="17"/>
  <c r="G51" i="18" s="1"/>
  <c r="F52" i="12"/>
  <c r="B41" i="1"/>
  <c r="B42" i="1" s="1"/>
  <c r="B23" i="15" s="1"/>
  <c r="B52" i="18"/>
  <c r="D52" i="18"/>
  <c r="C53" i="18"/>
  <c r="H52" i="2"/>
  <c r="L52" i="2"/>
  <c r="N52" i="2" s="1"/>
  <c r="I52" i="2"/>
  <c r="G52" i="12" s="1"/>
  <c r="C53" i="17"/>
  <c r="B52" i="17"/>
  <c r="C40" i="1" s="1"/>
  <c r="E52" i="17"/>
  <c r="K52" i="17" s="1"/>
  <c r="D52" i="17"/>
  <c r="D53" i="2"/>
  <c r="E53" i="2"/>
  <c r="B53" i="2"/>
  <c r="C54" i="2"/>
  <c r="N50" i="17"/>
  <c r="D53" i="12"/>
  <c r="B53" i="12"/>
  <c r="C54" i="12"/>
  <c r="O51" i="2"/>
  <c r="H51" i="12" s="1"/>
  <c r="R51" i="2" s="1"/>
  <c r="S51" i="2" s="1"/>
  <c r="F51" i="18"/>
  <c r="D54" i="12" l="1"/>
  <c r="B54" i="12"/>
  <c r="C55" i="12"/>
  <c r="F53" i="12"/>
  <c r="L52" i="17"/>
  <c r="H52" i="17"/>
  <c r="I52" i="17"/>
  <c r="G52" i="18" s="1"/>
  <c r="C41" i="1"/>
  <c r="C42" i="1" s="1"/>
  <c r="D53" i="18"/>
  <c r="C54" i="18"/>
  <c r="B53" i="18"/>
  <c r="H53" i="2"/>
  <c r="L53" i="2"/>
  <c r="I53" i="2"/>
  <c r="G53" i="12" s="1"/>
  <c r="B54" i="2"/>
  <c r="C55" i="2"/>
  <c r="E54" i="2"/>
  <c r="D54" i="2"/>
  <c r="F52" i="17"/>
  <c r="J52" i="17" s="1"/>
  <c r="F52" i="18"/>
  <c r="O51" i="17"/>
  <c r="K53" i="2"/>
  <c r="O52" i="2"/>
  <c r="H52" i="12" s="1"/>
  <c r="R52" i="2" s="1"/>
  <c r="S52" i="2" s="1"/>
  <c r="F53" i="2"/>
  <c r="J53" i="2" s="1"/>
  <c r="N53" i="2" s="1"/>
  <c r="D53" i="17"/>
  <c r="B53" i="17"/>
  <c r="E53" i="17"/>
  <c r="K53" i="17" s="1"/>
  <c r="C54" i="17"/>
  <c r="P51" i="2"/>
  <c r="G52" i="2" s="1"/>
  <c r="P52" i="2" s="1"/>
  <c r="G53" i="2" s="1"/>
  <c r="C55" i="17" l="1"/>
  <c r="D54" i="17"/>
  <c r="F54" i="17" s="1"/>
  <c r="J54" i="17" s="1"/>
  <c r="E54" i="17"/>
  <c r="K54" i="17" s="1"/>
  <c r="B54" i="17"/>
  <c r="F55" i="2"/>
  <c r="B55" i="2"/>
  <c r="E55" i="2"/>
  <c r="K55" i="2" s="1"/>
  <c r="C56" i="2"/>
  <c r="D55" i="2"/>
  <c r="F53" i="18"/>
  <c r="N52" i="17"/>
  <c r="H54" i="2"/>
  <c r="I54" i="2"/>
  <c r="G54" i="12" s="1"/>
  <c r="L54" i="2"/>
  <c r="B55" i="12"/>
  <c r="D55" i="12"/>
  <c r="C56" i="12"/>
  <c r="C55" i="18"/>
  <c r="D54" i="18"/>
  <c r="B54" i="18"/>
  <c r="I53" i="17"/>
  <c r="G53" i="18" s="1"/>
  <c r="H53" i="17"/>
  <c r="L53" i="17"/>
  <c r="O53" i="2"/>
  <c r="K54" i="2"/>
  <c r="H51" i="18"/>
  <c r="R51" i="17" s="1"/>
  <c r="S51" i="17" s="1"/>
  <c r="P51" i="17"/>
  <c r="G52" i="17" s="1"/>
  <c r="F53" i="17"/>
  <c r="J53" i="17" s="1"/>
  <c r="N53" i="17" s="1"/>
  <c r="F54" i="2"/>
  <c r="J54" i="2" s="1"/>
  <c r="N54" i="2" s="1"/>
  <c r="O52" i="17"/>
  <c r="H52" i="18" s="1"/>
  <c r="R52" i="17" s="1"/>
  <c r="S52" i="17" s="1"/>
  <c r="F54" i="12"/>
  <c r="D55" i="18" l="1"/>
  <c r="C56" i="18"/>
  <c r="B55" i="18"/>
  <c r="C57" i="12"/>
  <c r="B56" i="12"/>
  <c r="D56" i="12"/>
  <c r="F55" i="12"/>
  <c r="J55" i="2"/>
  <c r="O53" i="17"/>
  <c r="H53" i="18" s="1"/>
  <c r="R53" i="17" s="1"/>
  <c r="S53" i="17" s="1"/>
  <c r="O54" i="2"/>
  <c r="H54" i="12" s="1"/>
  <c r="R54" i="2" s="1"/>
  <c r="S54" i="2" s="1"/>
  <c r="H55" i="2"/>
  <c r="I55" i="2"/>
  <c r="G55" i="12" s="1"/>
  <c r="L55" i="2"/>
  <c r="H54" i="17"/>
  <c r="I54" i="17"/>
  <c r="G54" i="18" s="1"/>
  <c r="L54" i="17"/>
  <c r="N54" i="17" s="1"/>
  <c r="H53" i="12"/>
  <c r="R53" i="2" s="1"/>
  <c r="S53" i="2" s="1"/>
  <c r="P53" i="2"/>
  <c r="G54" i="2" s="1"/>
  <c r="P52" i="17"/>
  <c r="G53" i="17" s="1"/>
  <c r="P53" i="17" s="1"/>
  <c r="G54" i="17" s="1"/>
  <c r="F54" i="18"/>
  <c r="B56" i="2"/>
  <c r="C57" i="2"/>
  <c r="E56" i="2"/>
  <c r="D56" i="2"/>
  <c r="D55" i="17"/>
  <c r="B55" i="17"/>
  <c r="E55" i="17"/>
  <c r="K55" i="17" s="1"/>
  <c r="C56" i="17"/>
  <c r="I55" i="17" l="1"/>
  <c r="G55" i="18" s="1"/>
  <c r="L55" i="17"/>
  <c r="H55" i="17"/>
  <c r="F55" i="17"/>
  <c r="J55" i="17" s="1"/>
  <c r="N55" i="17" s="1"/>
  <c r="H56" i="2"/>
  <c r="I56" i="2"/>
  <c r="G56" i="12" s="1"/>
  <c r="L56" i="2"/>
  <c r="D57" i="12"/>
  <c r="B57" i="12"/>
  <c r="C58" i="12"/>
  <c r="P54" i="2"/>
  <c r="G55" i="2" s="1"/>
  <c r="N55" i="2"/>
  <c r="C57" i="18"/>
  <c r="B56" i="18"/>
  <c r="D56" i="18"/>
  <c r="O54" i="17"/>
  <c r="H54" i="18" s="1"/>
  <c r="R54" i="17" s="1"/>
  <c r="S54" i="17" s="1"/>
  <c r="F56" i="2"/>
  <c r="J56" i="2" s="1"/>
  <c r="N56" i="2" s="1"/>
  <c r="K56" i="2"/>
  <c r="F55" i="18"/>
  <c r="F56" i="12"/>
  <c r="C57" i="17"/>
  <c r="B56" i="17"/>
  <c r="E56" i="17"/>
  <c r="K56" i="17" s="1"/>
  <c r="D56" i="17"/>
  <c r="E57" i="2"/>
  <c r="K57" i="2" s="1"/>
  <c r="C58" i="2"/>
  <c r="D57" i="2"/>
  <c r="F57" i="2"/>
  <c r="J57" i="2" s="1"/>
  <c r="B57" i="2"/>
  <c r="O55" i="2"/>
  <c r="H55" i="12" s="1"/>
  <c r="R55" i="2" s="1"/>
  <c r="S55" i="2" s="1"/>
  <c r="D58" i="12" l="1"/>
  <c r="B58" i="12"/>
  <c r="C59" i="12"/>
  <c r="E58" i="2"/>
  <c r="K58" i="2" s="1"/>
  <c r="C59" i="2"/>
  <c r="D58" i="2"/>
  <c r="B58" i="2"/>
  <c r="F56" i="18"/>
  <c r="O55" i="17"/>
  <c r="H55" i="18" s="1"/>
  <c r="R55" i="17" s="1"/>
  <c r="S55" i="17" s="1"/>
  <c r="L57" i="2"/>
  <c r="N57" i="2" s="1"/>
  <c r="I57" i="2"/>
  <c r="G57" i="12" s="1"/>
  <c r="H57" i="2"/>
  <c r="F57" i="12"/>
  <c r="D57" i="18"/>
  <c r="B57" i="18"/>
  <c r="C58" i="18"/>
  <c r="C58" i="17"/>
  <c r="B57" i="17"/>
  <c r="E57" i="17"/>
  <c r="K57" i="17" s="1"/>
  <c r="D57" i="17"/>
  <c r="F57" i="17" s="1"/>
  <c r="J57" i="17" s="1"/>
  <c r="H56" i="17"/>
  <c r="L56" i="17"/>
  <c r="I56" i="17"/>
  <c r="G56" i="18" s="1"/>
  <c r="F56" i="17"/>
  <c r="J56" i="17" s="1"/>
  <c r="N56" i="17" s="1"/>
  <c r="P55" i="2"/>
  <c r="G56" i="2" s="1"/>
  <c r="O56" i="2"/>
  <c r="H56" i="12" s="1"/>
  <c r="R56" i="2" s="1"/>
  <c r="S56" i="2" s="1"/>
  <c r="P54" i="17"/>
  <c r="G55" i="17" s="1"/>
  <c r="P55" i="17" s="1"/>
  <c r="G56" i="17" s="1"/>
  <c r="L58" i="2" l="1"/>
  <c r="H58" i="2"/>
  <c r="I58" i="2"/>
  <c r="G58" i="12" s="1"/>
  <c r="F58" i="2"/>
  <c r="J58" i="2" s="1"/>
  <c r="N58" i="2" s="1"/>
  <c r="B59" i="2"/>
  <c r="C60" i="2"/>
  <c r="E59" i="2"/>
  <c r="K59" i="2" s="1"/>
  <c r="D59" i="2"/>
  <c r="F59" i="2" s="1"/>
  <c r="J59" i="2" s="1"/>
  <c r="C60" i="12"/>
  <c r="D59" i="12"/>
  <c r="B59" i="12"/>
  <c r="F57" i="18"/>
  <c r="O56" i="17"/>
  <c r="H56" i="18" s="1"/>
  <c r="R56" i="17" s="1"/>
  <c r="S56" i="17" s="1"/>
  <c r="C59" i="18"/>
  <c r="B58" i="18"/>
  <c r="D58" i="18"/>
  <c r="H57" i="17"/>
  <c r="I57" i="17"/>
  <c r="G57" i="18" s="1"/>
  <c r="L57" i="17"/>
  <c r="N57" i="17" s="1"/>
  <c r="O57" i="17"/>
  <c r="H57" i="18" s="1"/>
  <c r="R57" i="17" s="1"/>
  <c r="S57" i="17" s="1"/>
  <c r="P56" i="2"/>
  <c r="G57" i="2" s="1"/>
  <c r="P57" i="2" s="1"/>
  <c r="G58" i="2" s="1"/>
  <c r="B58" i="17"/>
  <c r="E58" i="17"/>
  <c r="K58" i="17" s="1"/>
  <c r="D58" i="17"/>
  <c r="F58" i="17" s="1"/>
  <c r="J58" i="17" s="1"/>
  <c r="C59" i="17"/>
  <c r="O57" i="2"/>
  <c r="H57" i="12" s="1"/>
  <c r="R57" i="2" s="1"/>
  <c r="S57" i="2" s="1"/>
  <c r="F58" i="12"/>
  <c r="B59" i="18" l="1"/>
  <c r="D59" i="18"/>
  <c r="C60" i="18"/>
  <c r="F58" i="18"/>
  <c r="B59" i="17"/>
  <c r="D59" i="17"/>
  <c r="F59" i="17" s="1"/>
  <c r="J59" i="17" s="1"/>
  <c r="E59" i="17"/>
  <c r="K59" i="17" s="1"/>
  <c r="C60" i="17"/>
  <c r="C61" i="12"/>
  <c r="B60" i="12"/>
  <c r="D60" i="12"/>
  <c r="B60" i="2"/>
  <c r="C61" i="2"/>
  <c r="E60" i="2"/>
  <c r="K60" i="2" s="1"/>
  <c r="D60" i="2"/>
  <c r="F60" i="2"/>
  <c r="J60" i="2" s="1"/>
  <c r="P56" i="17"/>
  <c r="G57" i="17" s="1"/>
  <c r="P57" i="17" s="1"/>
  <c r="G58" i="17" s="1"/>
  <c r="P58" i="17" s="1"/>
  <c r="G59" i="17" s="1"/>
  <c r="F59" i="12"/>
  <c r="O58" i="2"/>
  <c r="H58" i="12" s="1"/>
  <c r="R58" i="2" s="1"/>
  <c r="S58" i="2" s="1"/>
  <c r="H59" i="2"/>
  <c r="L59" i="2"/>
  <c r="N59" i="2" s="1"/>
  <c r="I59" i="2"/>
  <c r="G59" i="12" s="1"/>
  <c r="L58" i="17"/>
  <c r="N58" i="17" s="1"/>
  <c r="I58" i="17"/>
  <c r="G58" i="18" s="1"/>
  <c r="H58" i="17"/>
  <c r="O58" i="17"/>
  <c r="H58" i="18" s="1"/>
  <c r="R58" i="17" s="1"/>
  <c r="S58" i="17" s="1"/>
  <c r="C62" i="12" l="1"/>
  <c r="B61" i="12"/>
  <c r="D61" i="12"/>
  <c r="F59" i="18"/>
  <c r="E61" i="2"/>
  <c r="B61" i="2"/>
  <c r="C62" i="2"/>
  <c r="D61" i="2"/>
  <c r="F61" i="2" s="1"/>
  <c r="J61" i="2" s="1"/>
  <c r="P58" i="2"/>
  <c r="G59" i="2" s="1"/>
  <c r="P59" i="2" s="1"/>
  <c r="G60" i="2" s="1"/>
  <c r="F60" i="17"/>
  <c r="J60" i="17" s="1"/>
  <c r="C61" i="17"/>
  <c r="E60" i="17"/>
  <c r="D60" i="17"/>
  <c r="B60" i="17"/>
  <c r="O59" i="2"/>
  <c r="H59" i="12" s="1"/>
  <c r="R59" i="2" s="1"/>
  <c r="S59" i="2" s="1"/>
  <c r="F60" i="12"/>
  <c r="H60" i="2"/>
  <c r="L60" i="2"/>
  <c r="N60" i="2" s="1"/>
  <c r="I60" i="2"/>
  <c r="G60" i="12" s="1"/>
  <c r="D60" i="18"/>
  <c r="B60" i="18"/>
  <c r="C61" i="18"/>
  <c r="L59" i="17"/>
  <c r="N59" i="17" s="1"/>
  <c r="H59" i="17"/>
  <c r="I59" i="17"/>
  <c r="G59" i="18" s="1"/>
  <c r="F60" i="18" l="1"/>
  <c r="C63" i="12"/>
  <c r="B62" i="12"/>
  <c r="D62" i="12"/>
  <c r="D61" i="18"/>
  <c r="C62" i="18"/>
  <c r="B61" i="18"/>
  <c r="F61" i="12"/>
  <c r="C63" i="2"/>
  <c r="E62" i="2"/>
  <c r="D62" i="2"/>
  <c r="B62" i="2"/>
  <c r="F62" i="2"/>
  <c r="J62" i="2" s="1"/>
  <c r="H60" i="17"/>
  <c r="I60" i="17"/>
  <c r="G60" i="18" s="1"/>
  <c r="L60" i="17"/>
  <c r="H61" i="2"/>
  <c r="L61" i="2"/>
  <c r="I61" i="2"/>
  <c r="G61" i="12" s="1"/>
  <c r="K60" i="17"/>
  <c r="N60" i="17" s="1"/>
  <c r="K61" i="2"/>
  <c r="N61" i="2" s="1"/>
  <c r="O60" i="2"/>
  <c r="H60" i="12" s="1"/>
  <c r="R60" i="2" s="1"/>
  <c r="S60" i="2" s="1"/>
  <c r="O59" i="17"/>
  <c r="C62" i="17"/>
  <c r="B61" i="17"/>
  <c r="E61" i="17"/>
  <c r="K61" i="17" s="1"/>
  <c r="F61" i="17"/>
  <c r="J61" i="17" s="1"/>
  <c r="D61" i="17"/>
  <c r="F62" i="12" l="1"/>
  <c r="C63" i="17"/>
  <c r="D62" i="17"/>
  <c r="E62" i="17"/>
  <c r="F62" i="17"/>
  <c r="J62" i="17" s="1"/>
  <c r="B62" i="17"/>
  <c r="B63" i="2"/>
  <c r="C64" i="2"/>
  <c r="E63" i="2"/>
  <c r="K63" i="2" s="1"/>
  <c r="D63" i="2"/>
  <c r="F63" i="2" s="1"/>
  <c r="J63" i="2" s="1"/>
  <c r="H59" i="18"/>
  <c r="R59" i="17" s="1"/>
  <c r="S59" i="17" s="1"/>
  <c r="P59" i="17"/>
  <c r="G60" i="17" s="1"/>
  <c r="O61" i="2"/>
  <c r="H61" i="12" s="1"/>
  <c r="R61" i="2" s="1"/>
  <c r="S61" i="2" s="1"/>
  <c r="I62" i="2"/>
  <c r="G62" i="12" s="1"/>
  <c r="L62" i="2"/>
  <c r="H62" i="2"/>
  <c r="B62" i="18"/>
  <c r="C63" i="18"/>
  <c r="D62" i="18"/>
  <c r="P60" i="2"/>
  <c r="G61" i="2" s="1"/>
  <c r="P61" i="2" s="1"/>
  <c r="G62" i="2" s="1"/>
  <c r="N61" i="17"/>
  <c r="C64" i="12"/>
  <c r="D63" i="12"/>
  <c r="B63" i="12"/>
  <c r="H61" i="17"/>
  <c r="I61" i="17"/>
  <c r="G61" i="18" s="1"/>
  <c r="L61" i="17"/>
  <c r="O60" i="17"/>
  <c r="H60" i="18" s="1"/>
  <c r="R60" i="17" s="1"/>
  <c r="S60" i="17" s="1"/>
  <c r="K62" i="2"/>
  <c r="N62" i="2" s="1"/>
  <c r="F61" i="18"/>
  <c r="D63" i="17" l="1"/>
  <c r="B63" i="17"/>
  <c r="F63" i="17"/>
  <c r="J63" i="17" s="1"/>
  <c r="E63" i="17"/>
  <c r="K63" i="17" s="1"/>
  <c r="C64" i="17"/>
  <c r="C65" i="12"/>
  <c r="D64" i="12"/>
  <c r="B64" i="12"/>
  <c r="F63" i="12"/>
  <c r="H63" i="2"/>
  <c r="I63" i="2"/>
  <c r="G63" i="12" s="1"/>
  <c r="O63" i="2"/>
  <c r="H63" i="12" s="1"/>
  <c r="R63" i="2" s="1"/>
  <c r="S63" i="2" s="1"/>
  <c r="L63" i="2"/>
  <c r="N63" i="2" s="1"/>
  <c r="K62" i="17"/>
  <c r="N62" i="17" s="1"/>
  <c r="C65" i="2"/>
  <c r="B64" i="2"/>
  <c r="D64" i="2"/>
  <c r="E64" i="2"/>
  <c r="K64" i="2" s="1"/>
  <c r="F64" i="2"/>
  <c r="J64" i="2" s="1"/>
  <c r="H62" i="18"/>
  <c r="F62" i="18"/>
  <c r="O61" i="17"/>
  <c r="H61" i="18" s="1"/>
  <c r="R61" i="17" s="1"/>
  <c r="S61" i="17" s="1"/>
  <c r="B63" i="18"/>
  <c r="C64" i="18"/>
  <c r="D63" i="18"/>
  <c r="P60" i="17"/>
  <c r="G61" i="17" s="1"/>
  <c r="P61" i="17" s="1"/>
  <c r="G62" i="17" s="1"/>
  <c r="O62" i="2"/>
  <c r="L62" i="17"/>
  <c r="H62" i="17"/>
  <c r="O62" i="17"/>
  <c r="I62" i="17"/>
  <c r="G62" i="18" s="1"/>
  <c r="R62" i="17"/>
  <c r="S62" i="17" s="1"/>
  <c r="L64" i="2" l="1"/>
  <c r="H64" i="2"/>
  <c r="I64" i="2"/>
  <c r="G64" i="12" s="1"/>
  <c r="N63" i="17"/>
  <c r="N64" i="2"/>
  <c r="H63" i="18"/>
  <c r="R63" i="17" s="1"/>
  <c r="S63" i="17" s="1"/>
  <c r="F63" i="18"/>
  <c r="D65" i="12"/>
  <c r="B65" i="12"/>
  <c r="C66" i="12"/>
  <c r="D64" i="18"/>
  <c r="B64" i="18"/>
  <c r="C65" i="18"/>
  <c r="D64" i="17"/>
  <c r="B64" i="17"/>
  <c r="E64" i="17"/>
  <c r="K64" i="17" s="1"/>
  <c r="C65" i="17"/>
  <c r="F64" i="17"/>
  <c r="J64" i="17" s="1"/>
  <c r="F64" i="12"/>
  <c r="B65" i="2"/>
  <c r="E65" i="2"/>
  <c r="C66" i="2"/>
  <c r="D65" i="2"/>
  <c r="H62" i="12"/>
  <c r="R62" i="2" s="1"/>
  <c r="S62" i="2" s="1"/>
  <c r="P62" i="2"/>
  <c r="G63" i="2" s="1"/>
  <c r="P63" i="2" s="1"/>
  <c r="G64" i="2" s="1"/>
  <c r="I63" i="17"/>
  <c r="G63" i="18" s="1"/>
  <c r="H63" i="17"/>
  <c r="L63" i="17"/>
  <c r="O63" i="17"/>
  <c r="P62" i="17"/>
  <c r="G63" i="17" s="1"/>
  <c r="C67" i="12" l="1"/>
  <c r="D66" i="12"/>
  <c r="B66" i="12"/>
  <c r="F64" i="18"/>
  <c r="H64" i="18"/>
  <c r="R64" i="17" s="1"/>
  <c r="S64" i="17" s="1"/>
  <c r="L65" i="2"/>
  <c r="I65" i="2"/>
  <c r="G65" i="12" s="1"/>
  <c r="O65" i="2"/>
  <c r="H65" i="12" s="1"/>
  <c r="R65" i="2" s="1"/>
  <c r="S65" i="2" s="1"/>
  <c r="H65" i="2"/>
  <c r="F65" i="12"/>
  <c r="O64" i="2"/>
  <c r="H64" i="12" s="1"/>
  <c r="R64" i="2" s="1"/>
  <c r="S64" i="2" s="1"/>
  <c r="F65" i="2"/>
  <c r="J65" i="2" s="1"/>
  <c r="N65" i="2" s="1"/>
  <c r="C66" i="17"/>
  <c r="E65" i="17"/>
  <c r="D65" i="17"/>
  <c r="F65" i="17" s="1"/>
  <c r="J65" i="17" s="1"/>
  <c r="B65" i="17"/>
  <c r="P63" i="17"/>
  <c r="G64" i="17" s="1"/>
  <c r="K65" i="2"/>
  <c r="D65" i="18"/>
  <c r="C66" i="18"/>
  <c r="B65" i="18"/>
  <c r="B66" i="2"/>
  <c r="E66" i="2"/>
  <c r="K66" i="2" s="1"/>
  <c r="D66" i="2"/>
  <c r="F66" i="2"/>
  <c r="C67" i="2"/>
  <c r="H64" i="17"/>
  <c r="P64" i="17"/>
  <c r="O64" i="17"/>
  <c r="I64" i="17"/>
  <c r="G64" i="18" s="1"/>
  <c r="L64" i="17"/>
  <c r="N64" i="17" s="1"/>
  <c r="G65" i="17" l="1"/>
  <c r="B66" i="17"/>
  <c r="E66" i="17"/>
  <c r="K66" i="17" s="1"/>
  <c r="C67" i="17"/>
  <c r="D66" i="17"/>
  <c r="F66" i="12"/>
  <c r="K65" i="17"/>
  <c r="N65" i="17" s="1"/>
  <c r="C68" i="12"/>
  <c r="D67" i="12"/>
  <c r="B67" i="12"/>
  <c r="E67" i="2"/>
  <c r="K67" i="2" s="1"/>
  <c r="D67" i="2"/>
  <c r="C68" i="2"/>
  <c r="B67" i="2"/>
  <c r="L65" i="17"/>
  <c r="P65" i="17"/>
  <c r="H65" i="17"/>
  <c r="I65" i="17"/>
  <c r="G65" i="18" s="1"/>
  <c r="O65" i="17"/>
  <c r="H65" i="18"/>
  <c r="R65" i="17" s="1"/>
  <c r="S65" i="17" s="1"/>
  <c r="F65" i="18"/>
  <c r="C67" i="18"/>
  <c r="D66" i="18"/>
  <c r="B66" i="18"/>
  <c r="J66" i="2"/>
  <c r="L66" i="2"/>
  <c r="I66" i="2"/>
  <c r="G66" i="12" s="1"/>
  <c r="H66" i="2"/>
  <c r="P64" i="2"/>
  <c r="G65" i="2" s="1"/>
  <c r="P65" i="2" s="1"/>
  <c r="G66" i="2" s="1"/>
  <c r="P66" i="17" l="1"/>
  <c r="I66" i="17"/>
  <c r="G66" i="18" s="1"/>
  <c r="L66" i="17"/>
  <c r="H66" i="17"/>
  <c r="O66" i="17"/>
  <c r="C68" i="18"/>
  <c r="B67" i="18"/>
  <c r="D67" i="18"/>
  <c r="F66" i="18"/>
  <c r="H66" i="18"/>
  <c r="R66" i="17" s="1"/>
  <c r="S66" i="17" s="1"/>
  <c r="G66" i="17"/>
  <c r="I67" i="2"/>
  <c r="G67" i="12" s="1"/>
  <c r="L67" i="2"/>
  <c r="H67" i="2"/>
  <c r="D67" i="17"/>
  <c r="C68" i="17"/>
  <c r="E67" i="17"/>
  <c r="B67" i="17"/>
  <c r="F66" i="17"/>
  <c r="J66" i="17" s="1"/>
  <c r="N66" i="17" s="1"/>
  <c r="O66" i="2"/>
  <c r="H66" i="12" s="1"/>
  <c r="R66" i="2" s="1"/>
  <c r="S66" i="2" s="1"/>
  <c r="E68" i="2"/>
  <c r="D68" i="2"/>
  <c r="F68" i="2"/>
  <c r="B68" i="2"/>
  <c r="C69" i="2"/>
  <c r="F67" i="12"/>
  <c r="C69" i="12"/>
  <c r="D68" i="12"/>
  <c r="B68" i="12"/>
  <c r="N66" i="2"/>
  <c r="F67" i="2"/>
  <c r="J67" i="2" s="1"/>
  <c r="N67" i="2" s="1"/>
  <c r="C69" i="18" l="1"/>
  <c r="B68" i="18"/>
  <c r="D68" i="18"/>
  <c r="J68" i="2"/>
  <c r="L67" i="17"/>
  <c r="O67" i="17"/>
  <c r="I67" i="17"/>
  <c r="G67" i="18" s="1"/>
  <c r="H67" i="17"/>
  <c r="P67" i="17"/>
  <c r="K67" i="17"/>
  <c r="L68" i="2"/>
  <c r="H68" i="2"/>
  <c r="I68" i="2"/>
  <c r="G68" i="12" s="1"/>
  <c r="G67" i="17"/>
  <c r="E68" i="17"/>
  <c r="D68" i="17"/>
  <c r="C69" i="17"/>
  <c r="B68" i="17"/>
  <c r="K68" i="2"/>
  <c r="O67" i="2"/>
  <c r="H67" i="12" s="1"/>
  <c r="R67" i="2" s="1"/>
  <c r="S67" i="2" s="1"/>
  <c r="H67" i="18"/>
  <c r="F67" i="18"/>
  <c r="D69" i="2"/>
  <c r="F69" i="2"/>
  <c r="B69" i="2"/>
  <c r="E69" i="2"/>
  <c r="K69" i="2" s="1"/>
  <c r="C70" i="2"/>
  <c r="F68" i="12"/>
  <c r="C70" i="12"/>
  <c r="D69" i="12"/>
  <c r="B69" i="12"/>
  <c r="F67" i="17"/>
  <c r="J67" i="17" s="1"/>
  <c r="N67" i="17" s="1"/>
  <c r="R67" i="17"/>
  <c r="S67" i="17" s="1"/>
  <c r="P66" i="2"/>
  <c r="G67" i="2" s="1"/>
  <c r="C71" i="2" l="1"/>
  <c r="E70" i="2"/>
  <c r="D70" i="2"/>
  <c r="B70" i="2"/>
  <c r="F69" i="12"/>
  <c r="N68" i="2"/>
  <c r="L68" i="17"/>
  <c r="P68" i="17"/>
  <c r="H68" i="17"/>
  <c r="I68" i="17"/>
  <c r="G68" i="18" s="1"/>
  <c r="O68" i="17"/>
  <c r="F68" i="17"/>
  <c r="J68" i="17" s="1"/>
  <c r="H68" i="18"/>
  <c r="R68" i="17" s="1"/>
  <c r="S68" i="17" s="1"/>
  <c r="F68" i="18"/>
  <c r="I69" i="2"/>
  <c r="G69" i="12" s="1"/>
  <c r="L69" i="2"/>
  <c r="H69" i="2"/>
  <c r="K68" i="17"/>
  <c r="J69" i="2"/>
  <c r="O69" i="2" s="1"/>
  <c r="E69" i="17"/>
  <c r="B69" i="17"/>
  <c r="C70" i="17"/>
  <c r="D69" i="17"/>
  <c r="D70" i="12"/>
  <c r="B70" i="12"/>
  <c r="C71" i="12"/>
  <c r="O68" i="2"/>
  <c r="H68" i="12" s="1"/>
  <c r="R68" i="2" s="1"/>
  <c r="S68" i="2" s="1"/>
  <c r="P67" i="2"/>
  <c r="G68" i="2" s="1"/>
  <c r="P68" i="2" s="1"/>
  <c r="G69" i="2" s="1"/>
  <c r="G68" i="17"/>
  <c r="B69" i="18"/>
  <c r="D69" i="18"/>
  <c r="C70" i="18"/>
  <c r="P69" i="2" l="1"/>
  <c r="G70" i="2" s="1"/>
  <c r="H69" i="12"/>
  <c r="R69" i="2" s="1"/>
  <c r="S69" i="2" s="1"/>
  <c r="H70" i="2"/>
  <c r="I70" i="2"/>
  <c r="G70" i="12" s="1"/>
  <c r="L70" i="2"/>
  <c r="H69" i="18"/>
  <c r="R69" i="17" s="1"/>
  <c r="S69" i="17" s="1"/>
  <c r="F69" i="18"/>
  <c r="G69" i="17"/>
  <c r="K70" i="2"/>
  <c r="P69" i="17"/>
  <c r="O69" i="17"/>
  <c r="H69" i="17"/>
  <c r="I69" i="17"/>
  <c r="G69" i="18" s="1"/>
  <c r="L69" i="17"/>
  <c r="N68" i="17"/>
  <c r="F69" i="17"/>
  <c r="J69" i="17" s="1"/>
  <c r="N69" i="2"/>
  <c r="F70" i="2"/>
  <c r="J70" i="2" s="1"/>
  <c r="N70" i="2" s="1"/>
  <c r="D70" i="17"/>
  <c r="B70" i="17"/>
  <c r="C71" i="17"/>
  <c r="E70" i="17"/>
  <c r="K70" i="17" s="1"/>
  <c r="K69" i="17"/>
  <c r="B71" i="12"/>
  <c r="D71" i="12"/>
  <c r="C72" i="12"/>
  <c r="D70" i="18"/>
  <c r="B70" i="18"/>
  <c r="C71" i="18"/>
  <c r="F70" i="12"/>
  <c r="C72" i="2"/>
  <c r="D71" i="2"/>
  <c r="E71" i="2"/>
  <c r="K71" i="2" s="1"/>
  <c r="B71" i="2"/>
  <c r="H70" i="17" l="1"/>
  <c r="O70" i="17"/>
  <c r="P70" i="17"/>
  <c r="I70" i="17"/>
  <c r="G70" i="18" s="1"/>
  <c r="L70" i="17"/>
  <c r="D72" i="2"/>
  <c r="B72" i="2"/>
  <c r="F72" i="2"/>
  <c r="J72" i="2" s="1"/>
  <c r="C73" i="2"/>
  <c r="E72" i="2"/>
  <c r="G70" i="17"/>
  <c r="N69" i="17"/>
  <c r="D71" i="18"/>
  <c r="B71" i="18"/>
  <c r="C72" i="18"/>
  <c r="B71" i="17"/>
  <c r="C72" i="17"/>
  <c r="E71" i="17"/>
  <c r="D71" i="17"/>
  <c r="C73" i="12"/>
  <c r="D72" i="12"/>
  <c r="B72" i="12"/>
  <c r="F70" i="17"/>
  <c r="J70" i="17" s="1"/>
  <c r="L71" i="2"/>
  <c r="I71" i="2"/>
  <c r="G71" i="12" s="1"/>
  <c r="H71" i="2"/>
  <c r="F71" i="12"/>
  <c r="O70" i="2"/>
  <c r="F71" i="2"/>
  <c r="J71" i="2" s="1"/>
  <c r="N71" i="2" s="1"/>
  <c r="F70" i="18"/>
  <c r="H70" i="18"/>
  <c r="R70" i="17" s="1"/>
  <c r="S70" i="17" s="1"/>
  <c r="H72" i="12" l="1"/>
  <c r="F72" i="12"/>
  <c r="F71" i="18"/>
  <c r="H71" i="18"/>
  <c r="R71" i="17"/>
  <c r="S71" i="17" s="1"/>
  <c r="H71" i="17"/>
  <c r="P71" i="17"/>
  <c r="O71" i="17"/>
  <c r="I71" i="17"/>
  <c r="G71" i="18" s="1"/>
  <c r="L71" i="17"/>
  <c r="K71" i="17"/>
  <c r="G71" i="17"/>
  <c r="R72" i="2"/>
  <c r="S72" i="2" s="1"/>
  <c r="O72" i="2"/>
  <c r="I72" i="2"/>
  <c r="G72" i="12" s="1"/>
  <c r="L72" i="2"/>
  <c r="H72" i="2"/>
  <c r="B73" i="12"/>
  <c r="C74" i="12"/>
  <c r="D73" i="12"/>
  <c r="O71" i="2"/>
  <c r="H71" i="12" s="1"/>
  <c r="R71" i="2" s="1"/>
  <c r="S71" i="2" s="1"/>
  <c r="N70" i="17"/>
  <c r="C73" i="17"/>
  <c r="B72" i="17"/>
  <c r="E72" i="17"/>
  <c r="K72" i="17" s="1"/>
  <c r="D72" i="17"/>
  <c r="F72" i="17" s="1"/>
  <c r="J72" i="17" s="1"/>
  <c r="K72" i="2"/>
  <c r="N72" i="2"/>
  <c r="C73" i="18"/>
  <c r="D72" i="18"/>
  <c r="B72" i="18"/>
  <c r="H70" i="12"/>
  <c r="R70" i="2" s="1"/>
  <c r="S70" i="2" s="1"/>
  <c r="P70" i="2"/>
  <c r="G71" i="2" s="1"/>
  <c r="F71" i="17"/>
  <c r="J71" i="17" s="1"/>
  <c r="N71" i="17" s="1"/>
  <c r="D73" i="2"/>
  <c r="F73" i="2"/>
  <c r="J73" i="2" s="1"/>
  <c r="C74" i="2"/>
  <c r="E73" i="2"/>
  <c r="B73" i="2"/>
  <c r="I73" i="2" l="1"/>
  <c r="G73" i="12" s="1"/>
  <c r="O73" i="2"/>
  <c r="H73" i="2"/>
  <c r="L73" i="2"/>
  <c r="P71" i="2"/>
  <c r="H73" i="12"/>
  <c r="R73" i="2" s="1"/>
  <c r="S73" i="2" s="1"/>
  <c r="F73" i="12"/>
  <c r="H72" i="17"/>
  <c r="I72" i="17"/>
  <c r="G72" i="18" s="1"/>
  <c r="L72" i="17"/>
  <c r="N72" i="17" s="1"/>
  <c r="P72" i="17"/>
  <c r="G73" i="17" s="1"/>
  <c r="O72" i="17"/>
  <c r="F72" i="18"/>
  <c r="H72" i="18"/>
  <c r="R72" i="17" s="1"/>
  <c r="S72" i="17" s="1"/>
  <c r="D73" i="17"/>
  <c r="F73" i="17"/>
  <c r="J73" i="17" s="1"/>
  <c r="B73" i="17"/>
  <c r="C74" i="17"/>
  <c r="E73" i="17"/>
  <c r="C75" i="12"/>
  <c r="D74" i="12"/>
  <c r="B74" i="12"/>
  <c r="K73" i="2"/>
  <c r="N73" i="2" s="1"/>
  <c r="B74" i="2"/>
  <c r="C75" i="2"/>
  <c r="D74" i="2"/>
  <c r="F74" i="2" s="1"/>
  <c r="J74" i="2" s="1"/>
  <c r="E74" i="2"/>
  <c r="D73" i="18"/>
  <c r="C74" i="18"/>
  <c r="B73" i="18"/>
  <c r="G72" i="17"/>
  <c r="G72" i="2" l="1"/>
  <c r="P72" i="2"/>
  <c r="B74" i="18"/>
  <c r="C75" i="18"/>
  <c r="D74" i="18"/>
  <c r="B75" i="12"/>
  <c r="C76" i="12"/>
  <c r="D75" i="12"/>
  <c r="H73" i="17"/>
  <c r="L73" i="17"/>
  <c r="P73" i="17"/>
  <c r="O73" i="17"/>
  <c r="I73" i="17"/>
  <c r="G73" i="18" s="1"/>
  <c r="H73" i="18"/>
  <c r="F73" i="18"/>
  <c r="K74" i="2"/>
  <c r="N74" i="2" s="1"/>
  <c r="K73" i="17"/>
  <c r="N73" i="17" s="1"/>
  <c r="B75" i="2"/>
  <c r="D75" i="2"/>
  <c r="C76" i="2"/>
  <c r="E75" i="2"/>
  <c r="R73" i="17"/>
  <c r="S73" i="17" s="1"/>
  <c r="F74" i="12"/>
  <c r="H74" i="12"/>
  <c r="R74" i="2" s="1"/>
  <c r="S74" i="2" s="1"/>
  <c r="I74" i="2"/>
  <c r="G74" i="12" s="1"/>
  <c r="H74" i="2"/>
  <c r="L74" i="2"/>
  <c r="O74" i="2"/>
  <c r="B74" i="17"/>
  <c r="D74" i="17"/>
  <c r="C75" i="17"/>
  <c r="E74" i="17"/>
  <c r="K74" i="17" s="1"/>
  <c r="F74" i="17"/>
  <c r="J74" i="17" s="1"/>
  <c r="E76" i="2" l="1"/>
  <c r="B76" i="2"/>
  <c r="C77" i="2"/>
  <c r="D76" i="2"/>
  <c r="H75" i="2"/>
  <c r="L75" i="2"/>
  <c r="O75" i="2"/>
  <c r="I75" i="2"/>
  <c r="G75" i="12" s="1"/>
  <c r="D75" i="18"/>
  <c r="C76" i="18"/>
  <c r="B75" i="18"/>
  <c r="G73" i="2"/>
  <c r="P73" i="2"/>
  <c r="N74" i="17"/>
  <c r="H74" i="18"/>
  <c r="F74" i="18"/>
  <c r="H74" i="17"/>
  <c r="L74" i="17"/>
  <c r="I74" i="17"/>
  <c r="G74" i="18" s="1"/>
  <c r="P74" i="17"/>
  <c r="G75" i="17" s="1"/>
  <c r="O74" i="17"/>
  <c r="C76" i="17"/>
  <c r="E75" i="17"/>
  <c r="D75" i="17"/>
  <c r="B75" i="17"/>
  <c r="G74" i="17"/>
  <c r="R74" i="17"/>
  <c r="S74" i="17" s="1"/>
  <c r="F75" i="12"/>
  <c r="H75" i="12"/>
  <c r="R75" i="2"/>
  <c r="S75" i="2" s="1"/>
  <c r="F75" i="2"/>
  <c r="J75" i="2" s="1"/>
  <c r="K75" i="2"/>
  <c r="C77" i="12"/>
  <c r="B76" i="12"/>
  <c r="D76" i="12"/>
  <c r="O76" i="2" l="1"/>
  <c r="L76" i="2"/>
  <c r="I76" i="2"/>
  <c r="G76" i="12" s="1"/>
  <c r="H76" i="2"/>
  <c r="F76" i="2"/>
  <c r="J76" i="2" s="1"/>
  <c r="N76" i="2" s="1"/>
  <c r="N75" i="2"/>
  <c r="B76" i="18"/>
  <c r="D76" i="18"/>
  <c r="C77" i="18"/>
  <c r="H75" i="18"/>
  <c r="F75" i="18"/>
  <c r="E77" i="2"/>
  <c r="B77" i="2"/>
  <c r="F77" i="2"/>
  <c r="J77" i="2" s="1"/>
  <c r="C78" i="2"/>
  <c r="D77" i="2"/>
  <c r="F76" i="12"/>
  <c r="H76" i="12"/>
  <c r="R76" i="2"/>
  <c r="S76" i="2" s="1"/>
  <c r="G74" i="2"/>
  <c r="P74" i="2"/>
  <c r="D77" i="12"/>
  <c r="C78" i="12"/>
  <c r="B77" i="12"/>
  <c r="R75" i="17"/>
  <c r="S75" i="17" s="1"/>
  <c r="D76" i="17"/>
  <c r="E76" i="17"/>
  <c r="B76" i="17"/>
  <c r="C77" i="17"/>
  <c r="I75" i="17"/>
  <c r="G75" i="18" s="1"/>
  <c r="L75" i="17"/>
  <c r="H75" i="17"/>
  <c r="O75" i="17"/>
  <c r="P75" i="17"/>
  <c r="G76" i="17" s="1"/>
  <c r="K75" i="17"/>
  <c r="F75" i="17"/>
  <c r="J75" i="17" s="1"/>
  <c r="N75" i="17" s="1"/>
  <c r="K76" i="2"/>
  <c r="L76" i="17" l="1"/>
  <c r="O76" i="17"/>
  <c r="H76" i="17"/>
  <c r="P76" i="17"/>
  <c r="I76" i="17"/>
  <c r="G76" i="18" s="1"/>
  <c r="D77" i="17"/>
  <c r="C78" i="17"/>
  <c r="B77" i="17"/>
  <c r="E77" i="17"/>
  <c r="G75" i="2"/>
  <c r="P75" i="2"/>
  <c r="B78" i="12"/>
  <c r="C79" i="12"/>
  <c r="D78" i="12"/>
  <c r="O77" i="2"/>
  <c r="I77" i="2"/>
  <c r="G77" i="12" s="1"/>
  <c r="L77" i="2"/>
  <c r="H77" i="2"/>
  <c r="C78" i="18"/>
  <c r="B77" i="18"/>
  <c r="D77" i="18"/>
  <c r="K76" i="17"/>
  <c r="K77" i="2"/>
  <c r="N77" i="2" s="1"/>
  <c r="F76" i="17"/>
  <c r="J76" i="17" s="1"/>
  <c r="N76" i="17" s="1"/>
  <c r="F77" i="12"/>
  <c r="H77" i="12"/>
  <c r="R77" i="2" s="1"/>
  <c r="S77" i="2" s="1"/>
  <c r="E78" i="2"/>
  <c r="D78" i="2"/>
  <c r="B78" i="2"/>
  <c r="C79" i="2"/>
  <c r="F76" i="18"/>
  <c r="H76" i="18"/>
  <c r="R76" i="17" s="1"/>
  <c r="S76" i="17" s="1"/>
  <c r="G76" i="2" l="1"/>
  <c r="P76" i="2"/>
  <c r="G77" i="17"/>
  <c r="B79" i="12"/>
  <c r="C80" i="12"/>
  <c r="D79" i="12"/>
  <c r="F78" i="17"/>
  <c r="J78" i="17" s="1"/>
  <c r="D78" i="17"/>
  <c r="E78" i="17"/>
  <c r="C79" i="17"/>
  <c r="B78" i="17"/>
  <c r="R77" i="17"/>
  <c r="S77" i="17" s="1"/>
  <c r="B78" i="18"/>
  <c r="D78" i="18"/>
  <c r="C79" i="18"/>
  <c r="C80" i="2"/>
  <c r="E79" i="2"/>
  <c r="D79" i="2"/>
  <c r="F79" i="2"/>
  <c r="J79" i="2" s="1"/>
  <c r="B79" i="2"/>
  <c r="I78" i="2"/>
  <c r="G78" i="12" s="1"/>
  <c r="H78" i="2"/>
  <c r="O78" i="2"/>
  <c r="L78" i="2"/>
  <c r="F78" i="2"/>
  <c r="J78" i="2" s="1"/>
  <c r="N78" i="2" s="1"/>
  <c r="K77" i="17"/>
  <c r="I77" i="17"/>
  <c r="G77" i="18" s="1"/>
  <c r="L77" i="17"/>
  <c r="O77" i="17"/>
  <c r="H77" i="17"/>
  <c r="P77" i="17"/>
  <c r="G78" i="17" s="1"/>
  <c r="K78" i="2"/>
  <c r="H77" i="18"/>
  <c r="F77" i="18"/>
  <c r="F78" i="12"/>
  <c r="H78" i="12"/>
  <c r="R78" i="2" s="1"/>
  <c r="S78" i="2" s="1"/>
  <c r="F77" i="17"/>
  <c r="J77" i="17" s="1"/>
  <c r="F78" i="18" l="1"/>
  <c r="H78" i="18"/>
  <c r="F79" i="12"/>
  <c r="H79" i="12"/>
  <c r="R79" i="2"/>
  <c r="S79" i="2" s="1"/>
  <c r="I79" i="2"/>
  <c r="G79" i="12" s="1"/>
  <c r="H79" i="2"/>
  <c r="O79" i="2"/>
  <c r="L79" i="2"/>
  <c r="B79" i="17"/>
  <c r="D79" i="17"/>
  <c r="E79" i="17"/>
  <c r="K79" i="17" s="1"/>
  <c r="C80" i="17"/>
  <c r="G77" i="2"/>
  <c r="P77" i="2"/>
  <c r="R78" i="17"/>
  <c r="S78" i="17" s="1"/>
  <c r="K79" i="2"/>
  <c r="N79" i="2" s="1"/>
  <c r="K78" i="17"/>
  <c r="N78" i="17" s="1"/>
  <c r="B79" i="18"/>
  <c r="C80" i="18"/>
  <c r="D79" i="18"/>
  <c r="B80" i="12"/>
  <c r="C81" i="12"/>
  <c r="D80" i="12"/>
  <c r="N77" i="17"/>
  <c r="E80" i="2"/>
  <c r="K80" i="2" s="1"/>
  <c r="D80" i="2"/>
  <c r="F80" i="2" s="1"/>
  <c r="J80" i="2" s="1"/>
  <c r="B80" i="2"/>
  <c r="C81" i="2"/>
  <c r="I78" i="17"/>
  <c r="G78" i="18" s="1"/>
  <c r="O78" i="17"/>
  <c r="P78" i="17"/>
  <c r="G79" i="17" s="1"/>
  <c r="H78" i="17"/>
  <c r="L78" i="17"/>
  <c r="H80" i="12" l="1"/>
  <c r="R80" i="2" s="1"/>
  <c r="S80" i="2" s="1"/>
  <c r="F80" i="12"/>
  <c r="B81" i="12"/>
  <c r="C82" i="12"/>
  <c r="D81" i="12"/>
  <c r="F79" i="18"/>
  <c r="H79" i="18"/>
  <c r="G78" i="2"/>
  <c r="P78" i="2"/>
  <c r="C81" i="18"/>
  <c r="D80" i="18"/>
  <c r="B80" i="18"/>
  <c r="O79" i="17"/>
  <c r="L79" i="17"/>
  <c r="P79" i="17"/>
  <c r="I79" i="17"/>
  <c r="G79" i="18" s="1"/>
  <c r="H79" i="17"/>
  <c r="F79" i="17"/>
  <c r="J79" i="17" s="1"/>
  <c r="N79" i="17" s="1"/>
  <c r="D81" i="2"/>
  <c r="F81" i="2" s="1"/>
  <c r="J81" i="2" s="1"/>
  <c r="E81" i="2"/>
  <c r="K81" i="2" s="1"/>
  <c r="B81" i="2"/>
  <c r="C82" i="2"/>
  <c r="L80" i="2"/>
  <c r="N80" i="2" s="1"/>
  <c r="O80" i="2"/>
  <c r="H80" i="2"/>
  <c r="I80" i="2"/>
  <c r="G80" i="12" s="1"/>
  <c r="R79" i="17"/>
  <c r="S79" i="17" s="1"/>
  <c r="E80" i="17"/>
  <c r="D80" i="17"/>
  <c r="B80" i="17"/>
  <c r="F80" i="17"/>
  <c r="J80" i="17" s="1"/>
  <c r="C81" i="17"/>
  <c r="H80" i="18" l="1"/>
  <c r="F80" i="18"/>
  <c r="F81" i="17"/>
  <c r="J81" i="17" s="1"/>
  <c r="E81" i="17"/>
  <c r="C82" i="17"/>
  <c r="B81" i="17"/>
  <c r="D81" i="17"/>
  <c r="B81" i="18"/>
  <c r="D81" i="18"/>
  <c r="C82" i="18"/>
  <c r="G79" i="2"/>
  <c r="P79" i="2"/>
  <c r="R80" i="17"/>
  <c r="S80" i="17" s="1"/>
  <c r="C83" i="12"/>
  <c r="D82" i="12"/>
  <c r="B82" i="12"/>
  <c r="L80" i="17"/>
  <c r="I80" i="17"/>
  <c r="G80" i="18" s="1"/>
  <c r="P80" i="17"/>
  <c r="G81" i="17" s="1"/>
  <c r="H80" i="17"/>
  <c r="O80" i="17"/>
  <c r="G80" i="17"/>
  <c r="F81" i="12"/>
  <c r="H81" i="12"/>
  <c r="K80" i="17"/>
  <c r="N80" i="17" s="1"/>
  <c r="E82" i="2"/>
  <c r="B82" i="2"/>
  <c r="C83" i="2"/>
  <c r="D82" i="2"/>
  <c r="H81" i="2"/>
  <c r="L81" i="2"/>
  <c r="N81" i="2" s="1"/>
  <c r="O81" i="2"/>
  <c r="I81" i="2"/>
  <c r="G81" i="12" s="1"/>
  <c r="R81" i="2"/>
  <c r="S81" i="2" s="1"/>
  <c r="E83" i="2" l="1"/>
  <c r="D83" i="2"/>
  <c r="B83" i="2"/>
  <c r="C84" i="2"/>
  <c r="F83" i="2"/>
  <c r="J83" i="2" s="1"/>
  <c r="D82" i="17"/>
  <c r="F82" i="17"/>
  <c r="J82" i="17" s="1"/>
  <c r="E82" i="17"/>
  <c r="K82" i="17" s="1"/>
  <c r="C83" i="17"/>
  <c r="B82" i="17"/>
  <c r="C83" i="18"/>
  <c r="B82" i="18"/>
  <c r="D82" i="18"/>
  <c r="C84" i="12"/>
  <c r="D83" i="12"/>
  <c r="B83" i="12"/>
  <c r="K81" i="17"/>
  <c r="H81" i="18"/>
  <c r="F81" i="18"/>
  <c r="I82" i="2"/>
  <c r="G82" i="12" s="1"/>
  <c r="L82" i="2"/>
  <c r="O82" i="2"/>
  <c r="H82" i="2"/>
  <c r="R81" i="17"/>
  <c r="S81" i="17" s="1"/>
  <c r="K82" i="2"/>
  <c r="G80" i="2"/>
  <c r="P80" i="2"/>
  <c r="F82" i="2"/>
  <c r="J82" i="2" s="1"/>
  <c r="N82" i="2" s="1"/>
  <c r="F82" i="12"/>
  <c r="H82" i="12"/>
  <c r="R82" i="2" s="1"/>
  <c r="S82" i="2" s="1"/>
  <c r="P81" i="17"/>
  <c r="O81" i="17"/>
  <c r="L81" i="17"/>
  <c r="N81" i="17" s="1"/>
  <c r="H81" i="17"/>
  <c r="I81" i="17"/>
  <c r="G81" i="18" s="1"/>
  <c r="C85" i="12" l="1"/>
  <c r="D84" i="12"/>
  <c r="B84" i="12"/>
  <c r="D83" i="18"/>
  <c r="B83" i="18"/>
  <c r="C84" i="18"/>
  <c r="F83" i="12"/>
  <c r="H83" i="12"/>
  <c r="H82" i="17"/>
  <c r="P82" i="17"/>
  <c r="O82" i="17"/>
  <c r="I82" i="17"/>
  <c r="G82" i="18" s="1"/>
  <c r="L82" i="17"/>
  <c r="N82" i="17" s="1"/>
  <c r="G82" i="17"/>
  <c r="B84" i="2"/>
  <c r="D84" i="2"/>
  <c r="F84" i="2"/>
  <c r="J84" i="2" s="1"/>
  <c r="E84" i="2"/>
  <c r="K84" i="2" s="1"/>
  <c r="C85" i="2"/>
  <c r="L83" i="2"/>
  <c r="I83" i="2"/>
  <c r="G83" i="12" s="1"/>
  <c r="H83" i="2"/>
  <c r="O83" i="2"/>
  <c r="R83" i="2"/>
  <c r="S83" i="2" s="1"/>
  <c r="G81" i="2"/>
  <c r="P81" i="2"/>
  <c r="F82" i="18"/>
  <c r="H82" i="18"/>
  <c r="R82" i="17" s="1"/>
  <c r="S82" i="17" s="1"/>
  <c r="B83" i="17"/>
  <c r="E83" i="17"/>
  <c r="K83" i="17" s="1"/>
  <c r="D83" i="17"/>
  <c r="C84" i="17"/>
  <c r="K83" i="2"/>
  <c r="N83" i="2" s="1"/>
  <c r="D84" i="18" l="1"/>
  <c r="C85" i="18"/>
  <c r="B84" i="18"/>
  <c r="L83" i="17"/>
  <c r="H83" i="17"/>
  <c r="I83" i="17"/>
  <c r="G83" i="18" s="1"/>
  <c r="O83" i="17"/>
  <c r="P83" i="17"/>
  <c r="G84" i="17" s="1"/>
  <c r="C86" i="2"/>
  <c r="E85" i="2"/>
  <c r="D85" i="2"/>
  <c r="B85" i="2"/>
  <c r="F83" i="17"/>
  <c r="J83" i="17" s="1"/>
  <c r="N83" i="17" s="1"/>
  <c r="G83" i="17"/>
  <c r="R84" i="2"/>
  <c r="S84" i="2" s="1"/>
  <c r="E84" i="17"/>
  <c r="D84" i="17"/>
  <c r="B84" i="17"/>
  <c r="C85" i="17"/>
  <c r="G82" i="2"/>
  <c r="P82" i="2"/>
  <c r="N84" i="2"/>
  <c r="H84" i="2"/>
  <c r="I84" i="2"/>
  <c r="G84" i="12" s="1"/>
  <c r="O84" i="2"/>
  <c r="L84" i="2"/>
  <c r="D85" i="12"/>
  <c r="B85" i="12"/>
  <c r="C86" i="12"/>
  <c r="H83" i="18"/>
  <c r="F83" i="18"/>
  <c r="R83" i="17"/>
  <c r="S83" i="17" s="1"/>
  <c r="F84" i="12"/>
  <c r="H84" i="12"/>
  <c r="C86" i="17" l="1"/>
  <c r="D85" i="17"/>
  <c r="F85" i="17" s="1"/>
  <c r="J85" i="17" s="1"/>
  <c r="E85" i="17"/>
  <c r="K85" i="17" s="1"/>
  <c r="B85" i="17"/>
  <c r="G83" i="2"/>
  <c r="P83" i="2"/>
  <c r="O85" i="2"/>
  <c r="I85" i="2"/>
  <c r="G85" i="12" s="1"/>
  <c r="H85" i="2"/>
  <c r="L85" i="2"/>
  <c r="K85" i="2"/>
  <c r="C87" i="12"/>
  <c r="D86" i="12"/>
  <c r="B86" i="12"/>
  <c r="R85" i="2"/>
  <c r="S85" i="2" s="1"/>
  <c r="H85" i="12"/>
  <c r="F85" i="12"/>
  <c r="H84" i="17"/>
  <c r="I84" i="17"/>
  <c r="G84" i="18" s="1"/>
  <c r="O84" i="17"/>
  <c r="P84" i="17"/>
  <c r="G85" i="17" s="1"/>
  <c r="L84" i="17"/>
  <c r="F84" i="17"/>
  <c r="J84" i="17" s="1"/>
  <c r="C87" i="2"/>
  <c r="D86" i="2"/>
  <c r="F86" i="2"/>
  <c r="J86" i="2" s="1"/>
  <c r="E86" i="2"/>
  <c r="B86" i="2"/>
  <c r="B85" i="18"/>
  <c r="D85" i="18"/>
  <c r="C86" i="18"/>
  <c r="K84" i="17"/>
  <c r="F85" i="2"/>
  <c r="J85" i="2" s="1"/>
  <c r="N85" i="2" s="1"/>
  <c r="H84" i="18"/>
  <c r="R84" i="17" s="1"/>
  <c r="S84" i="17" s="1"/>
  <c r="F84" i="18"/>
  <c r="F86" i="12" l="1"/>
  <c r="H86" i="12"/>
  <c r="R86" i="2" s="1"/>
  <c r="S86" i="2" s="1"/>
  <c r="B87" i="12"/>
  <c r="C88" i="12"/>
  <c r="D87" i="12"/>
  <c r="O86" i="2"/>
  <c r="I86" i="2"/>
  <c r="G86" i="12" s="1"/>
  <c r="L86" i="2"/>
  <c r="H86" i="2"/>
  <c r="K86" i="2"/>
  <c r="N86" i="2" s="1"/>
  <c r="G84" i="2"/>
  <c r="P84" i="2"/>
  <c r="E87" i="2"/>
  <c r="K87" i="2" s="1"/>
  <c r="D87" i="2"/>
  <c r="F87" i="2" s="1"/>
  <c r="J87" i="2" s="1"/>
  <c r="B87" i="2"/>
  <c r="C88" i="2"/>
  <c r="B86" i="18"/>
  <c r="D86" i="18"/>
  <c r="C87" i="18"/>
  <c r="N84" i="17"/>
  <c r="H85" i="18"/>
  <c r="F85" i="18"/>
  <c r="L85" i="17"/>
  <c r="N85" i="17" s="1"/>
  <c r="P85" i="17"/>
  <c r="H85" i="17"/>
  <c r="O85" i="17"/>
  <c r="I85" i="17"/>
  <c r="G85" i="18" s="1"/>
  <c r="R85" i="17"/>
  <c r="S85" i="17" s="1"/>
  <c r="C87" i="17"/>
  <c r="E86" i="17"/>
  <c r="D86" i="17"/>
  <c r="F86" i="17"/>
  <c r="J86" i="17" s="1"/>
  <c r="B86" i="17"/>
  <c r="I86" i="17" l="1"/>
  <c r="G86" i="18" s="1"/>
  <c r="H86" i="17"/>
  <c r="O86" i="17"/>
  <c r="P86" i="17"/>
  <c r="L86" i="17"/>
  <c r="B88" i="12"/>
  <c r="C89" i="12"/>
  <c r="D88" i="12"/>
  <c r="D87" i="18"/>
  <c r="B87" i="18"/>
  <c r="C88" i="18"/>
  <c r="G85" i="2"/>
  <c r="P85" i="2"/>
  <c r="B88" i="2"/>
  <c r="D88" i="2"/>
  <c r="F88" i="2"/>
  <c r="J88" i="2" s="1"/>
  <c r="E88" i="2"/>
  <c r="K88" i="2" s="1"/>
  <c r="C89" i="2"/>
  <c r="F86" i="18"/>
  <c r="H86" i="18"/>
  <c r="R86" i="17" s="1"/>
  <c r="S86" i="17" s="1"/>
  <c r="H87" i="12"/>
  <c r="R87" i="2" s="1"/>
  <c r="S87" i="2" s="1"/>
  <c r="F87" i="12"/>
  <c r="G86" i="17"/>
  <c r="K86" i="17"/>
  <c r="N86" i="17" s="1"/>
  <c r="D87" i="17"/>
  <c r="F87" i="17" s="1"/>
  <c r="J87" i="17" s="1"/>
  <c r="C88" i="17"/>
  <c r="E87" i="17"/>
  <c r="B87" i="17"/>
  <c r="L87" i="2"/>
  <c r="N87" i="2" s="1"/>
  <c r="O87" i="2"/>
  <c r="I87" i="2"/>
  <c r="G87" i="12" s="1"/>
  <c r="H87" i="2"/>
  <c r="D89" i="2" l="1"/>
  <c r="B89" i="2"/>
  <c r="E89" i="2"/>
  <c r="K89" i="2" s="1"/>
  <c r="C90" i="2"/>
  <c r="F89" i="2"/>
  <c r="J89" i="2" s="1"/>
  <c r="R87" i="17"/>
  <c r="S87" i="17" s="1"/>
  <c r="G87" i="17"/>
  <c r="G86" i="2"/>
  <c r="P86" i="2"/>
  <c r="F87" i="18"/>
  <c r="H87" i="18"/>
  <c r="H88" i="2"/>
  <c r="L88" i="2"/>
  <c r="N88" i="2" s="1"/>
  <c r="O88" i="2"/>
  <c r="I88" i="2"/>
  <c r="G88" i="12" s="1"/>
  <c r="O87" i="17"/>
  <c r="L87" i="17"/>
  <c r="P87" i="17"/>
  <c r="G88" i="17" s="1"/>
  <c r="I87" i="17"/>
  <c r="G87" i="18" s="1"/>
  <c r="H87" i="17"/>
  <c r="R88" i="2"/>
  <c r="S88" i="2" s="1"/>
  <c r="B88" i="18"/>
  <c r="C89" i="18"/>
  <c r="D88" i="18"/>
  <c r="K87" i="17"/>
  <c r="N87" i="17" s="1"/>
  <c r="D89" i="12"/>
  <c r="B89" i="12"/>
  <c r="C90" i="12"/>
  <c r="D88" i="17"/>
  <c r="F88" i="17" s="1"/>
  <c r="J88" i="17" s="1"/>
  <c r="B88" i="17"/>
  <c r="E88" i="17"/>
  <c r="K88" i="17" s="1"/>
  <c r="C89" i="17"/>
  <c r="H88" i="12"/>
  <c r="F88" i="12"/>
  <c r="B89" i="17" l="1"/>
  <c r="E89" i="17"/>
  <c r="K89" i="17" s="1"/>
  <c r="C90" i="17"/>
  <c r="D89" i="17"/>
  <c r="E90" i="2"/>
  <c r="K90" i="2" s="1"/>
  <c r="C91" i="2"/>
  <c r="B90" i="2"/>
  <c r="D90" i="2"/>
  <c r="F90" i="2" s="1"/>
  <c r="J90" i="2" s="1"/>
  <c r="H88" i="18"/>
  <c r="F88" i="18"/>
  <c r="R89" i="2"/>
  <c r="S89" i="2" s="1"/>
  <c r="D89" i="18"/>
  <c r="B89" i="18"/>
  <c r="C90" i="18"/>
  <c r="G87" i="2"/>
  <c r="P87" i="2"/>
  <c r="O89" i="2"/>
  <c r="L89" i="2"/>
  <c r="N89" i="2" s="1"/>
  <c r="I89" i="2"/>
  <c r="G89" i="12" s="1"/>
  <c r="H89" i="2"/>
  <c r="C91" i="12"/>
  <c r="B90" i="12"/>
  <c r="D90" i="12"/>
  <c r="F89" i="12"/>
  <c r="H89" i="12"/>
  <c r="H88" i="17"/>
  <c r="O88" i="17"/>
  <c r="I88" i="17"/>
  <c r="G88" i="18" s="1"/>
  <c r="L88" i="17"/>
  <c r="N88" i="17" s="1"/>
  <c r="P88" i="17"/>
  <c r="R88" i="17"/>
  <c r="S88" i="17" s="1"/>
  <c r="L89" i="17" l="1"/>
  <c r="P89" i="17"/>
  <c r="O89" i="17"/>
  <c r="H89" i="17"/>
  <c r="I89" i="17"/>
  <c r="G89" i="18" s="1"/>
  <c r="B90" i="17"/>
  <c r="F90" i="17"/>
  <c r="J90" i="17" s="1"/>
  <c r="C91" i="17"/>
  <c r="E90" i="17"/>
  <c r="D90" i="17"/>
  <c r="G88" i="2"/>
  <c r="P88" i="2"/>
  <c r="D90" i="18"/>
  <c r="B90" i="18"/>
  <c r="C91" i="18"/>
  <c r="F90" i="12"/>
  <c r="H90" i="12"/>
  <c r="R90" i="2"/>
  <c r="S90" i="2" s="1"/>
  <c r="F89" i="17"/>
  <c r="J89" i="17" s="1"/>
  <c r="N89" i="17" s="1"/>
  <c r="G89" i="17"/>
  <c r="L90" i="2"/>
  <c r="N90" i="2" s="1"/>
  <c r="O90" i="2"/>
  <c r="I90" i="2"/>
  <c r="G90" i="12" s="1"/>
  <c r="H90" i="2"/>
  <c r="B91" i="12"/>
  <c r="C92" i="12"/>
  <c r="D91" i="12"/>
  <c r="H89" i="18"/>
  <c r="R89" i="17" s="1"/>
  <c r="S89" i="17" s="1"/>
  <c r="F89" i="18"/>
  <c r="B91" i="2"/>
  <c r="D91" i="2"/>
  <c r="E91" i="2"/>
  <c r="K91" i="2" s="1"/>
  <c r="C92" i="2"/>
  <c r="F91" i="2"/>
  <c r="J91" i="2" s="1"/>
  <c r="G89" i="2" l="1"/>
  <c r="P89" i="2"/>
  <c r="D92" i="2"/>
  <c r="B92" i="2"/>
  <c r="F92" i="2"/>
  <c r="J92" i="2" s="1"/>
  <c r="C93" i="2"/>
  <c r="E92" i="2"/>
  <c r="I90" i="17"/>
  <c r="G90" i="18" s="1"/>
  <c r="P90" i="17"/>
  <c r="L90" i="17"/>
  <c r="O90" i="17"/>
  <c r="H90" i="17"/>
  <c r="G90" i="17"/>
  <c r="D91" i="18"/>
  <c r="B91" i="18"/>
  <c r="C92" i="18"/>
  <c r="F91" i="12"/>
  <c r="H91" i="12"/>
  <c r="R91" i="2" s="1"/>
  <c r="S91" i="2" s="1"/>
  <c r="F90" i="18"/>
  <c r="H90" i="18"/>
  <c r="R90" i="17" s="1"/>
  <c r="S90" i="17" s="1"/>
  <c r="O91" i="2"/>
  <c r="H91" i="2"/>
  <c r="I91" i="2"/>
  <c r="G91" i="12" s="1"/>
  <c r="L91" i="2"/>
  <c r="K90" i="17"/>
  <c r="N90" i="17" s="1"/>
  <c r="N91" i="2"/>
  <c r="C93" i="12"/>
  <c r="D92" i="12"/>
  <c r="B92" i="12"/>
  <c r="E91" i="17"/>
  <c r="C92" i="17"/>
  <c r="B91" i="17"/>
  <c r="D91" i="17"/>
  <c r="F91" i="17"/>
  <c r="J91" i="17" s="1"/>
  <c r="G91" i="17" l="1"/>
  <c r="B93" i="2"/>
  <c r="C94" i="2"/>
  <c r="E93" i="2"/>
  <c r="K93" i="2" s="1"/>
  <c r="D93" i="2"/>
  <c r="F93" i="2" s="1"/>
  <c r="J93" i="2" s="1"/>
  <c r="K91" i="17"/>
  <c r="N91" i="17" s="1"/>
  <c r="B92" i="18"/>
  <c r="D92" i="18"/>
  <c r="C93" i="18"/>
  <c r="G90" i="2"/>
  <c r="P90" i="2"/>
  <c r="H92" i="2"/>
  <c r="L92" i="2"/>
  <c r="O92" i="2"/>
  <c r="I92" i="2"/>
  <c r="G92" i="12" s="1"/>
  <c r="F92" i="12"/>
  <c r="H92" i="12"/>
  <c r="R92" i="2" s="1"/>
  <c r="S92" i="2" s="1"/>
  <c r="O91" i="17"/>
  <c r="I91" i="17"/>
  <c r="G91" i="18" s="1"/>
  <c r="L91" i="17"/>
  <c r="H91" i="17"/>
  <c r="P91" i="17"/>
  <c r="E92" i="17"/>
  <c r="K92" i="17" s="1"/>
  <c r="D92" i="17"/>
  <c r="B92" i="17"/>
  <c r="C93" i="17"/>
  <c r="B93" i="12"/>
  <c r="D93" i="12"/>
  <c r="C94" i="12"/>
  <c r="F91" i="18"/>
  <c r="H91" i="18"/>
  <c r="R91" i="17" s="1"/>
  <c r="S91" i="17" s="1"/>
  <c r="K92" i="2"/>
  <c r="N92" i="2" s="1"/>
  <c r="G92" i="17" l="1"/>
  <c r="D93" i="18"/>
  <c r="B93" i="18"/>
  <c r="C94" i="18"/>
  <c r="I92" i="17"/>
  <c r="G92" i="18" s="1"/>
  <c r="H92" i="17"/>
  <c r="P92" i="17"/>
  <c r="G93" i="17" s="1"/>
  <c r="O92" i="17"/>
  <c r="L92" i="17"/>
  <c r="E94" i="2"/>
  <c r="C95" i="2"/>
  <c r="B94" i="2"/>
  <c r="D94" i="2"/>
  <c r="F94" i="2" s="1"/>
  <c r="J94" i="2" s="1"/>
  <c r="C95" i="12"/>
  <c r="D94" i="12"/>
  <c r="B94" i="12"/>
  <c r="O93" i="2"/>
  <c r="L93" i="2"/>
  <c r="N93" i="2" s="1"/>
  <c r="I93" i="2"/>
  <c r="G93" i="12" s="1"/>
  <c r="H93" i="2"/>
  <c r="F92" i="17"/>
  <c r="J92" i="17" s="1"/>
  <c r="N92" i="17" s="1"/>
  <c r="G91" i="2"/>
  <c r="P91" i="2"/>
  <c r="H93" i="12"/>
  <c r="R93" i="2" s="1"/>
  <c r="S93" i="2" s="1"/>
  <c r="F93" i="12"/>
  <c r="E93" i="17"/>
  <c r="K93" i="17" s="1"/>
  <c r="B93" i="17"/>
  <c r="D93" i="17"/>
  <c r="C94" i="17"/>
  <c r="F92" i="18"/>
  <c r="H92" i="18"/>
  <c r="R92" i="17" s="1"/>
  <c r="S92" i="17" s="1"/>
  <c r="B94" i="18" l="1"/>
  <c r="D94" i="18"/>
  <c r="C95" i="18"/>
  <c r="G92" i="2"/>
  <c r="P92" i="2"/>
  <c r="I93" i="17"/>
  <c r="G93" i="18" s="1"/>
  <c r="L93" i="17"/>
  <c r="P93" i="17"/>
  <c r="O93" i="17"/>
  <c r="H93" i="17"/>
  <c r="K94" i="2"/>
  <c r="N94" i="2" s="1"/>
  <c r="F93" i="18"/>
  <c r="H93" i="18"/>
  <c r="R93" i="17" s="1"/>
  <c r="S93" i="17" s="1"/>
  <c r="O94" i="2"/>
  <c r="I94" i="2"/>
  <c r="G94" i="12" s="1"/>
  <c r="H94" i="2"/>
  <c r="L94" i="2"/>
  <c r="D94" i="17"/>
  <c r="E94" i="17"/>
  <c r="F94" i="17"/>
  <c r="J94" i="17" s="1"/>
  <c r="B94" i="17"/>
  <c r="C95" i="17"/>
  <c r="C96" i="2"/>
  <c r="D95" i="2"/>
  <c r="F95" i="2" s="1"/>
  <c r="J95" i="2" s="1"/>
  <c r="E95" i="2"/>
  <c r="B95" i="2"/>
  <c r="R94" i="2"/>
  <c r="S94" i="2" s="1"/>
  <c r="C96" i="12"/>
  <c r="D95" i="12"/>
  <c r="B95" i="12"/>
  <c r="F93" i="17"/>
  <c r="J93" i="17" s="1"/>
  <c r="H94" i="12"/>
  <c r="F94" i="12"/>
  <c r="G93" i="2" l="1"/>
  <c r="P93" i="2"/>
  <c r="B95" i="18"/>
  <c r="D95" i="18"/>
  <c r="C96" i="18"/>
  <c r="N93" i="17"/>
  <c r="F94" i="18"/>
  <c r="H94" i="18"/>
  <c r="K94" i="17"/>
  <c r="N94" i="17" s="1"/>
  <c r="K95" i="2"/>
  <c r="N95" i="2" s="1"/>
  <c r="R95" i="2"/>
  <c r="S95" i="2" s="1"/>
  <c r="B96" i="2"/>
  <c r="F96" i="2"/>
  <c r="J96" i="2" s="1"/>
  <c r="C97" i="2"/>
  <c r="D96" i="2"/>
  <c r="E96" i="2"/>
  <c r="R94" i="17"/>
  <c r="S94" i="17" s="1"/>
  <c r="B96" i="12"/>
  <c r="D96" i="12"/>
  <c r="C97" i="12"/>
  <c r="L94" i="17"/>
  <c r="P94" i="17"/>
  <c r="H94" i="17"/>
  <c r="O94" i="17"/>
  <c r="I94" i="17"/>
  <c r="G94" i="18" s="1"/>
  <c r="L95" i="2"/>
  <c r="H95" i="2"/>
  <c r="O95" i="2"/>
  <c r="I95" i="2"/>
  <c r="G95" i="12" s="1"/>
  <c r="H95" i="12"/>
  <c r="F95" i="12"/>
  <c r="D95" i="17"/>
  <c r="F95" i="17"/>
  <c r="J95" i="17" s="1"/>
  <c r="E95" i="17"/>
  <c r="K95" i="17" s="1"/>
  <c r="B95" i="17"/>
  <c r="C96" i="17"/>
  <c r="G94" i="17"/>
  <c r="D97" i="12" l="1"/>
  <c r="B97" i="12"/>
  <c r="C98" i="12"/>
  <c r="F96" i="12"/>
  <c r="H96" i="12"/>
  <c r="R96" i="2" s="1"/>
  <c r="S96" i="2" s="1"/>
  <c r="H95" i="18"/>
  <c r="F95" i="18"/>
  <c r="K96" i="2"/>
  <c r="I96" i="2"/>
  <c r="G96" i="12" s="1"/>
  <c r="L96" i="2"/>
  <c r="N96" i="2" s="1"/>
  <c r="O96" i="2"/>
  <c r="H96" i="2"/>
  <c r="B96" i="18"/>
  <c r="C97" i="18"/>
  <c r="D96" i="18"/>
  <c r="L95" i="17"/>
  <c r="N95" i="17" s="1"/>
  <c r="H95" i="17"/>
  <c r="O95" i="17"/>
  <c r="P95" i="17"/>
  <c r="I95" i="17"/>
  <c r="G95" i="18" s="1"/>
  <c r="R95" i="17"/>
  <c r="S95" i="17" s="1"/>
  <c r="G94" i="2"/>
  <c r="P94" i="2"/>
  <c r="D96" i="17"/>
  <c r="F96" i="17"/>
  <c r="J96" i="17" s="1"/>
  <c r="C97" i="17"/>
  <c r="B96" i="17"/>
  <c r="E96" i="17"/>
  <c r="G95" i="17"/>
  <c r="D97" i="2"/>
  <c r="F97" i="2"/>
  <c r="J97" i="2" s="1"/>
  <c r="E97" i="2"/>
  <c r="B97" i="2"/>
  <c r="C98" i="2"/>
  <c r="C98" i="17" l="1"/>
  <c r="B97" i="17"/>
  <c r="D97" i="17"/>
  <c r="E97" i="17"/>
  <c r="K97" i="17" s="1"/>
  <c r="F97" i="17"/>
  <c r="J97" i="17" s="1"/>
  <c r="H96" i="17"/>
  <c r="L96" i="17"/>
  <c r="P96" i="17"/>
  <c r="G97" i="17" s="1"/>
  <c r="O96" i="17"/>
  <c r="I96" i="17"/>
  <c r="G96" i="18" s="1"/>
  <c r="K97" i="2"/>
  <c r="F96" i="18"/>
  <c r="H96" i="18"/>
  <c r="R96" i="17"/>
  <c r="S96" i="17" s="1"/>
  <c r="C99" i="12"/>
  <c r="D98" i="12"/>
  <c r="B98" i="12"/>
  <c r="C99" i="2"/>
  <c r="B98" i="2"/>
  <c r="D98" i="2"/>
  <c r="F98" i="2"/>
  <c r="J98" i="2" s="1"/>
  <c r="E98" i="2"/>
  <c r="K98" i="2" s="1"/>
  <c r="N97" i="2"/>
  <c r="H97" i="2"/>
  <c r="L97" i="2"/>
  <c r="O97" i="2"/>
  <c r="I97" i="2"/>
  <c r="G97" i="12" s="1"/>
  <c r="K96" i="17"/>
  <c r="R97" i="2"/>
  <c r="S97" i="2" s="1"/>
  <c r="N96" i="17"/>
  <c r="G95" i="2"/>
  <c r="P95" i="2"/>
  <c r="C98" i="18"/>
  <c r="D97" i="18"/>
  <c r="B97" i="18"/>
  <c r="G96" i="17"/>
  <c r="F97" i="12"/>
  <c r="H97" i="12"/>
  <c r="H98" i="2" l="1"/>
  <c r="O98" i="2"/>
  <c r="L98" i="2"/>
  <c r="N98" i="2" s="1"/>
  <c r="I98" i="2"/>
  <c r="G98" i="12" s="1"/>
  <c r="D98" i="18"/>
  <c r="B98" i="18"/>
  <c r="C99" i="18"/>
  <c r="H97" i="17"/>
  <c r="O97" i="17"/>
  <c r="L97" i="17"/>
  <c r="P97" i="17"/>
  <c r="G98" i="17" s="1"/>
  <c r="I97" i="17"/>
  <c r="G97" i="18" s="1"/>
  <c r="C100" i="12"/>
  <c r="D99" i="12"/>
  <c r="B99" i="12"/>
  <c r="F97" i="18"/>
  <c r="H97" i="18"/>
  <c r="R97" i="17" s="1"/>
  <c r="S97" i="17" s="1"/>
  <c r="B99" i="2"/>
  <c r="E99" i="2"/>
  <c r="K99" i="2" s="1"/>
  <c r="C100" i="2"/>
  <c r="D99" i="2"/>
  <c r="F99" i="2" s="1"/>
  <c r="J99" i="2" s="1"/>
  <c r="G96" i="2"/>
  <c r="P96" i="2"/>
  <c r="N97" i="17"/>
  <c r="H98" i="12"/>
  <c r="R98" i="2" s="1"/>
  <c r="S98" i="2" s="1"/>
  <c r="F98" i="12"/>
  <c r="B98" i="17"/>
  <c r="D98" i="17"/>
  <c r="F98" i="17"/>
  <c r="J98" i="17" s="1"/>
  <c r="C99" i="17"/>
  <c r="E98" i="17"/>
  <c r="K98" i="17" s="1"/>
  <c r="E100" i="2" l="1"/>
  <c r="C101" i="2"/>
  <c r="D100" i="2"/>
  <c r="F100" i="2"/>
  <c r="J100" i="2" s="1"/>
  <c r="B100" i="2"/>
  <c r="H99" i="12"/>
  <c r="R99" i="2" s="1"/>
  <c r="S99" i="2" s="1"/>
  <c r="F99" i="12"/>
  <c r="B99" i="17"/>
  <c r="C100" i="17"/>
  <c r="D99" i="17"/>
  <c r="F99" i="17"/>
  <c r="J99" i="17" s="1"/>
  <c r="E99" i="17"/>
  <c r="K99" i="17" s="1"/>
  <c r="I98" i="17"/>
  <c r="G98" i="18" s="1"/>
  <c r="H98" i="17"/>
  <c r="P98" i="17"/>
  <c r="L98" i="17"/>
  <c r="N98" i="17" s="1"/>
  <c r="O98" i="17"/>
  <c r="H98" i="18"/>
  <c r="R98" i="17" s="1"/>
  <c r="S98" i="17" s="1"/>
  <c r="F98" i="18"/>
  <c r="B100" i="12"/>
  <c r="D100" i="12"/>
  <c r="C101" i="12"/>
  <c r="G97" i="2"/>
  <c r="P97" i="2"/>
  <c r="H99" i="2"/>
  <c r="I99" i="2"/>
  <c r="G99" i="12" s="1"/>
  <c r="L99" i="2"/>
  <c r="N99" i="2" s="1"/>
  <c r="O99" i="2"/>
  <c r="C100" i="18"/>
  <c r="D99" i="18"/>
  <c r="B99" i="18"/>
  <c r="G98" i="2" l="1"/>
  <c r="P98" i="2"/>
  <c r="C101" i="18"/>
  <c r="B100" i="18"/>
  <c r="D100" i="18"/>
  <c r="D101" i="12"/>
  <c r="C102" i="12"/>
  <c r="B101" i="12"/>
  <c r="G99" i="17"/>
  <c r="B101" i="2"/>
  <c r="C102" i="2"/>
  <c r="D101" i="2"/>
  <c r="F101" i="2"/>
  <c r="J101" i="2" s="1"/>
  <c r="E101" i="2"/>
  <c r="K101" i="2" s="1"/>
  <c r="O99" i="17"/>
  <c r="L99" i="17"/>
  <c r="N99" i="17" s="1"/>
  <c r="I99" i="17"/>
  <c r="G99" i="18" s="1"/>
  <c r="H99" i="17"/>
  <c r="P99" i="17"/>
  <c r="E100" i="17"/>
  <c r="K100" i="17" s="1"/>
  <c r="D100" i="17"/>
  <c r="B100" i="17"/>
  <c r="C101" i="17"/>
  <c r="H100" i="12"/>
  <c r="F100" i="12"/>
  <c r="K100" i="2"/>
  <c r="N100" i="2" s="1"/>
  <c r="F99" i="18"/>
  <c r="H99" i="18"/>
  <c r="R99" i="17" s="1"/>
  <c r="S99" i="17" s="1"/>
  <c r="O100" i="2"/>
  <c r="I100" i="2"/>
  <c r="G100" i="12" s="1"/>
  <c r="L100" i="2"/>
  <c r="H100" i="2"/>
  <c r="R100" i="2"/>
  <c r="S100" i="2" s="1"/>
  <c r="L100" i="17" l="1"/>
  <c r="P100" i="17"/>
  <c r="O100" i="17"/>
  <c r="I100" i="17"/>
  <c r="G100" i="18" s="1"/>
  <c r="H100" i="17"/>
  <c r="F101" i="12"/>
  <c r="H101" i="12"/>
  <c r="R101" i="2" s="1"/>
  <c r="S101" i="2" s="1"/>
  <c r="F100" i="17"/>
  <c r="J100" i="17" s="1"/>
  <c r="N100" i="17" s="1"/>
  <c r="G99" i="2"/>
  <c r="P99" i="2"/>
  <c r="G100" i="17"/>
  <c r="C102" i="18"/>
  <c r="D101" i="18"/>
  <c r="B101" i="18"/>
  <c r="F100" i="18"/>
  <c r="H100" i="18"/>
  <c r="R100" i="17" s="1"/>
  <c r="S100" i="17" s="1"/>
  <c r="O101" i="2"/>
  <c r="L101" i="2"/>
  <c r="N101" i="2" s="1"/>
  <c r="I101" i="2"/>
  <c r="G101" i="12" s="1"/>
  <c r="H101" i="2"/>
  <c r="D102" i="2"/>
  <c r="F102" i="2"/>
  <c r="J102" i="2" s="1"/>
  <c r="B102" i="2"/>
  <c r="E102" i="2"/>
  <c r="K102" i="2" s="1"/>
  <c r="E101" i="17"/>
  <c r="K101" i="17" s="1"/>
  <c r="C102" i="17"/>
  <c r="D101" i="17"/>
  <c r="F101" i="17" s="1"/>
  <c r="J101" i="17" s="1"/>
  <c r="B101" i="17"/>
  <c r="D102" i="12"/>
  <c r="B102" i="12"/>
  <c r="B102" i="17" l="1"/>
  <c r="D102" i="17"/>
  <c r="F102" i="17" s="1"/>
  <c r="J102" i="17" s="1"/>
  <c r="E102" i="17"/>
  <c r="K102" i="17" s="1"/>
  <c r="F101" i="18"/>
  <c r="H101" i="18"/>
  <c r="R101" i="17" s="1"/>
  <c r="S101" i="17" s="1"/>
  <c r="H102" i="12"/>
  <c r="F102" i="12"/>
  <c r="O102" i="2"/>
  <c r="I102" i="2"/>
  <c r="G102" i="12" s="1"/>
  <c r="H102" i="2"/>
  <c r="L102" i="2"/>
  <c r="R102" i="2"/>
  <c r="S102" i="2" s="1"/>
  <c r="G100" i="2"/>
  <c r="P100" i="2"/>
  <c r="G101" i="17"/>
  <c r="D102" i="18"/>
  <c r="B102" i="18"/>
  <c r="N102" i="2"/>
  <c r="O101" i="17"/>
  <c r="H101" i="17"/>
  <c r="L101" i="17"/>
  <c r="N101" i="17" s="1"/>
  <c r="I101" i="17"/>
  <c r="G101" i="18" s="1"/>
  <c r="P101" i="17"/>
  <c r="G101" i="2" l="1"/>
  <c r="P101" i="2"/>
  <c r="G102" i="17"/>
  <c r="H102" i="18"/>
  <c r="R102" i="17" s="1"/>
  <c r="S102" i="17" s="1"/>
  <c r="F102" i="18"/>
  <c r="P102" i="17"/>
  <c r="L102" i="17"/>
  <c r="N102" i="17" s="1"/>
  <c r="H102" i="17"/>
  <c r="O102" i="17"/>
  <c r="I102" i="17"/>
  <c r="G102" i="18" s="1"/>
  <c r="B45" i="1"/>
  <c r="B43" i="1"/>
  <c r="C45" i="1" l="1"/>
  <c r="C43" i="1"/>
  <c r="G102" i="2"/>
  <c r="P102" i="2"/>
  <c r="E2" i="1"/>
  <c r="B46" i="1"/>
  <c r="F34" i="1"/>
  <c r="B27" i="15"/>
  <c r="B44" i="1"/>
  <c r="E2" i="12" s="1"/>
  <c r="B48" i="1"/>
  <c r="E32" i="1" l="1"/>
  <c r="F31" i="1"/>
  <c r="G32" i="1"/>
  <c r="F32" i="1"/>
  <c r="E31" i="1"/>
  <c r="B28" i="15"/>
  <c r="B49" i="1"/>
  <c r="B50" i="1" s="1"/>
  <c r="F35" i="1"/>
  <c r="C44" i="1"/>
  <c r="E2" i="18" s="1"/>
  <c r="I2" i="18" s="1"/>
  <c r="E3" i="18" s="1"/>
  <c r="I3" i="18" s="1"/>
  <c r="E4" i="18" s="1"/>
  <c r="I4" i="18" s="1"/>
  <c r="E5" i="18" s="1"/>
  <c r="I5" i="18" s="1"/>
  <c r="E6" i="18" s="1"/>
  <c r="I6" i="18" s="1"/>
  <c r="E7" i="18" s="1"/>
  <c r="I7" i="18" s="1"/>
  <c r="E8" i="18" s="1"/>
  <c r="I8" i="18" s="1"/>
  <c r="E9" i="18" s="1"/>
  <c r="I9" i="18" s="1"/>
  <c r="E10" i="18" s="1"/>
  <c r="I10" i="18" s="1"/>
  <c r="E11" i="18" s="1"/>
  <c r="I11" i="18" s="1"/>
  <c r="E12" i="18" s="1"/>
  <c r="I12" i="18" s="1"/>
  <c r="E13" i="18" s="1"/>
  <c r="I13" i="18" s="1"/>
  <c r="E14" i="18" s="1"/>
  <c r="I14" i="18" s="1"/>
  <c r="E15" i="18" s="1"/>
  <c r="I15" i="18" s="1"/>
  <c r="E16" i="18" s="1"/>
  <c r="I16" i="18" s="1"/>
  <c r="E17" i="18" s="1"/>
  <c r="I17" i="18" s="1"/>
  <c r="E18" i="18" s="1"/>
  <c r="I18" i="18" s="1"/>
  <c r="E19" i="18" s="1"/>
  <c r="I19" i="18" s="1"/>
  <c r="E20" i="18" s="1"/>
  <c r="I20" i="18" s="1"/>
  <c r="E21" i="18" s="1"/>
  <c r="I21" i="18" s="1"/>
  <c r="E22" i="18" s="1"/>
  <c r="I22" i="18" s="1"/>
  <c r="E23" i="18" s="1"/>
  <c r="I23" i="18" s="1"/>
  <c r="E24" i="18" s="1"/>
  <c r="I24" i="18" s="1"/>
  <c r="E25" i="18" s="1"/>
  <c r="I25" i="18" s="1"/>
  <c r="E26" i="18" s="1"/>
  <c r="I26" i="18" s="1"/>
  <c r="E27" i="18" s="1"/>
  <c r="I27" i="18" s="1"/>
  <c r="E28" i="18" s="1"/>
  <c r="I28" i="18" s="1"/>
  <c r="E29" i="18" s="1"/>
  <c r="I29" i="18" s="1"/>
  <c r="E30" i="18" s="1"/>
  <c r="I30" i="18" s="1"/>
  <c r="E31" i="18" s="1"/>
  <c r="I31" i="18" s="1"/>
  <c r="E32" i="18" s="1"/>
  <c r="I32" i="18" s="1"/>
  <c r="E33" i="18" s="1"/>
  <c r="I33" i="18" s="1"/>
  <c r="E34" i="18" s="1"/>
  <c r="I34" i="18" s="1"/>
  <c r="E35" i="18" s="1"/>
  <c r="I35" i="18" s="1"/>
  <c r="E36" i="18" s="1"/>
  <c r="I36" i="18" s="1"/>
  <c r="E37" i="18" s="1"/>
  <c r="I37" i="18" s="1"/>
  <c r="E38" i="18" s="1"/>
  <c r="I38" i="18" s="1"/>
  <c r="E39" i="18" s="1"/>
  <c r="I39" i="18" s="1"/>
  <c r="E40" i="18" s="1"/>
  <c r="I40" i="18" s="1"/>
  <c r="E41" i="18" s="1"/>
  <c r="I41" i="18" s="1"/>
  <c r="E42" i="18" s="1"/>
  <c r="I42" i="18" s="1"/>
  <c r="E43" i="18" s="1"/>
  <c r="I43" i="18" s="1"/>
  <c r="E44" i="18" s="1"/>
  <c r="I44" i="18" s="1"/>
  <c r="E45" i="18" s="1"/>
  <c r="I45" i="18" s="1"/>
  <c r="E46" i="18" s="1"/>
  <c r="I46" i="18" s="1"/>
  <c r="E47" i="18" s="1"/>
  <c r="I47" i="18" s="1"/>
  <c r="E48" i="18" s="1"/>
  <c r="I48" i="18" s="1"/>
  <c r="E49" i="18" s="1"/>
  <c r="I49" i="18" s="1"/>
  <c r="E50" i="18" s="1"/>
  <c r="I50" i="18" s="1"/>
  <c r="E51" i="18" s="1"/>
  <c r="I51" i="18" s="1"/>
  <c r="E52" i="18" s="1"/>
  <c r="I52" i="18" s="1"/>
  <c r="E53" i="18" s="1"/>
  <c r="I53" i="18" s="1"/>
  <c r="E54" i="18" s="1"/>
  <c r="I54" i="18" s="1"/>
  <c r="E55" i="18" s="1"/>
  <c r="I55" i="18" s="1"/>
  <c r="E56" i="18" s="1"/>
  <c r="I56" i="18" s="1"/>
  <c r="E57" i="18" s="1"/>
  <c r="I57" i="18" s="1"/>
  <c r="E58" i="18" s="1"/>
  <c r="I58" i="18" s="1"/>
  <c r="E59" i="18" s="1"/>
  <c r="I59" i="18" s="1"/>
  <c r="E60" i="18" s="1"/>
  <c r="I60" i="18" s="1"/>
  <c r="E61" i="18" s="1"/>
  <c r="I61" i="18" s="1"/>
  <c r="C48" i="1"/>
  <c r="C49" i="1" s="1"/>
  <c r="C50" i="1" s="1"/>
  <c r="C51" i="1" s="1"/>
  <c r="K2" i="12"/>
  <c r="I2" i="12"/>
  <c r="E3" i="12" s="1"/>
  <c r="E3" i="1"/>
  <c r="C46" i="1"/>
  <c r="E33" i="1" l="1"/>
  <c r="G33" i="1"/>
  <c r="G3" i="1"/>
  <c r="F33" i="1"/>
  <c r="B51" i="1"/>
  <c r="B25" i="15"/>
  <c r="E62" i="18"/>
  <c r="I62" i="18"/>
  <c r="G2" i="1"/>
  <c r="K3" i="12"/>
  <c r="I3" i="12"/>
  <c r="E4" i="12" s="1"/>
  <c r="K4" i="12" l="1"/>
  <c r="I4" i="12"/>
  <c r="E5" i="12" s="1"/>
  <c r="E63" i="18"/>
  <c r="I63" i="18"/>
  <c r="E64" i="18" l="1"/>
  <c r="I64" i="18"/>
  <c r="K5" i="12"/>
  <c r="I5" i="12"/>
  <c r="E6" i="12" s="1"/>
  <c r="K6" i="12" l="1"/>
  <c r="I6" i="12"/>
  <c r="E7" i="12" s="1"/>
  <c r="E65" i="18"/>
  <c r="I65" i="18"/>
  <c r="K7" i="12" l="1"/>
  <c r="I7" i="12"/>
  <c r="E8" i="12" s="1"/>
  <c r="E66" i="18"/>
  <c r="I66" i="18"/>
  <c r="K8" i="12" l="1"/>
  <c r="I8" i="12"/>
  <c r="E9" i="12" s="1"/>
  <c r="E67" i="18"/>
  <c r="I67" i="18"/>
  <c r="E68" i="18" l="1"/>
  <c r="I68" i="18"/>
  <c r="K9" i="12"/>
  <c r="I9" i="12"/>
  <c r="E10" i="12" s="1"/>
  <c r="K10" i="12" l="1"/>
  <c r="I10" i="12"/>
  <c r="E11" i="12" s="1"/>
  <c r="E69" i="18"/>
  <c r="I69" i="18"/>
  <c r="E70" i="18" l="1"/>
  <c r="I70" i="18"/>
  <c r="K11" i="12"/>
  <c r="I11" i="12"/>
  <c r="E12" i="12" s="1"/>
  <c r="K12" i="12" l="1"/>
  <c r="I12" i="12"/>
  <c r="E13" i="12" s="1"/>
  <c r="E71" i="18"/>
  <c r="I71" i="18"/>
  <c r="E72" i="18" l="1"/>
  <c r="I72" i="18"/>
  <c r="K13" i="12"/>
  <c r="I13" i="12"/>
  <c r="E14" i="12" s="1"/>
  <c r="K14" i="12" l="1"/>
  <c r="I14" i="12"/>
  <c r="E15" i="12" s="1"/>
  <c r="E73" i="18"/>
  <c r="I73" i="18"/>
  <c r="E74" i="18" l="1"/>
  <c r="I74" i="18"/>
  <c r="K15" i="12"/>
  <c r="I15" i="12"/>
  <c r="E16" i="12" s="1"/>
  <c r="K16" i="12" l="1"/>
  <c r="I16" i="12"/>
  <c r="E17" i="12" s="1"/>
  <c r="E75" i="18"/>
  <c r="I75" i="18"/>
  <c r="E76" i="18" l="1"/>
  <c r="I76" i="18"/>
  <c r="K17" i="12"/>
  <c r="I17" i="12"/>
  <c r="E18" i="12" s="1"/>
  <c r="K18" i="12" l="1"/>
  <c r="I18" i="12"/>
  <c r="E19" i="12" s="1"/>
  <c r="E77" i="18"/>
  <c r="I77" i="18"/>
  <c r="E78" i="18" l="1"/>
  <c r="I78" i="18"/>
  <c r="K19" i="12"/>
  <c r="I19" i="12"/>
  <c r="E20" i="12" s="1"/>
  <c r="K20" i="12" l="1"/>
  <c r="I20" i="12"/>
  <c r="E21" i="12" s="1"/>
  <c r="E79" i="18"/>
  <c r="I79" i="18"/>
  <c r="E80" i="18" l="1"/>
  <c r="I80" i="18"/>
  <c r="K21" i="12"/>
  <c r="I21" i="12"/>
  <c r="E22" i="12" s="1"/>
  <c r="K22" i="12" l="1"/>
  <c r="I22" i="12"/>
  <c r="E23" i="12" s="1"/>
  <c r="E81" i="18"/>
  <c r="I81" i="18"/>
  <c r="E82" i="18" l="1"/>
  <c r="I82" i="18"/>
  <c r="K23" i="12"/>
  <c r="I23" i="12"/>
  <c r="E24" i="12" s="1"/>
  <c r="K24" i="12" l="1"/>
  <c r="I24" i="12"/>
  <c r="E25" i="12" s="1"/>
  <c r="E83" i="18"/>
  <c r="I83" i="18"/>
  <c r="E84" i="18" l="1"/>
  <c r="I84" i="18"/>
  <c r="K25" i="12"/>
  <c r="I25" i="12"/>
  <c r="E26" i="12" s="1"/>
  <c r="K26" i="12" l="1"/>
  <c r="I26" i="12"/>
  <c r="E27" i="12" s="1"/>
  <c r="E85" i="18"/>
  <c r="I85" i="18"/>
  <c r="E86" i="18" l="1"/>
  <c r="I86" i="18"/>
  <c r="K27" i="12"/>
  <c r="I27" i="12"/>
  <c r="E28" i="12" s="1"/>
  <c r="K28" i="12" l="1"/>
  <c r="I28" i="12"/>
  <c r="E29" i="12" s="1"/>
  <c r="E87" i="18"/>
  <c r="I87" i="18"/>
  <c r="E88" i="18" l="1"/>
  <c r="I88" i="18"/>
  <c r="K29" i="12"/>
  <c r="I29" i="12"/>
  <c r="E30" i="12" s="1"/>
  <c r="K30" i="12" l="1"/>
  <c r="I30" i="12"/>
  <c r="E31" i="12" s="1"/>
  <c r="E89" i="18"/>
  <c r="I89" i="18"/>
  <c r="E90" i="18" l="1"/>
  <c r="I90" i="18"/>
  <c r="K31" i="12"/>
  <c r="I31" i="12"/>
  <c r="E32" i="12" s="1"/>
  <c r="K32" i="12" l="1"/>
  <c r="I32" i="12"/>
  <c r="E33" i="12" s="1"/>
  <c r="E91" i="18"/>
  <c r="I91" i="18"/>
  <c r="E92" i="18" l="1"/>
  <c r="I92" i="18"/>
  <c r="K33" i="12"/>
  <c r="I33" i="12"/>
  <c r="E34" i="12" s="1"/>
  <c r="K34" i="12" l="1"/>
  <c r="I34" i="12"/>
  <c r="E35" i="12" s="1"/>
  <c r="E93" i="18"/>
  <c r="I93" i="18"/>
  <c r="E94" i="18" l="1"/>
  <c r="I94" i="18"/>
  <c r="K35" i="12"/>
  <c r="I35" i="12"/>
  <c r="E36" i="12" s="1"/>
  <c r="K36" i="12" l="1"/>
  <c r="I36" i="12"/>
  <c r="E37" i="12" s="1"/>
  <c r="E95" i="18"/>
  <c r="I95" i="18"/>
  <c r="K37" i="12" l="1"/>
  <c r="I37" i="12"/>
  <c r="E38" i="12" s="1"/>
  <c r="E96" i="18"/>
  <c r="I96" i="18"/>
  <c r="E97" i="18" l="1"/>
  <c r="I97" i="18"/>
  <c r="K38" i="12"/>
  <c r="I38" i="12"/>
  <c r="E39" i="12" s="1"/>
  <c r="K39" i="12" l="1"/>
  <c r="I39" i="12"/>
  <c r="E40" i="12" s="1"/>
  <c r="E98" i="18"/>
  <c r="I98" i="18"/>
  <c r="E99" i="18" l="1"/>
  <c r="I99" i="18"/>
  <c r="K40" i="12"/>
  <c r="I40" i="12"/>
  <c r="E41" i="12" s="1"/>
  <c r="K41" i="12" l="1"/>
  <c r="I41" i="12"/>
  <c r="E42" i="12" s="1"/>
  <c r="E100" i="18"/>
  <c r="I100" i="18"/>
  <c r="E101" i="18" l="1"/>
  <c r="I101" i="18"/>
  <c r="K42" i="12"/>
  <c r="I42" i="12"/>
  <c r="E43" i="12" s="1"/>
  <c r="K43" i="12" l="1"/>
  <c r="I43" i="12"/>
  <c r="E44" i="12" s="1"/>
  <c r="E102" i="18"/>
  <c r="I102" i="18"/>
  <c r="K44" i="12" l="1"/>
  <c r="I44" i="12"/>
  <c r="E45" i="12" s="1"/>
  <c r="K45" i="12" l="1"/>
  <c r="I45" i="12"/>
  <c r="E46" i="12" s="1"/>
  <c r="K46" i="12" l="1"/>
  <c r="I46" i="12"/>
  <c r="E47" i="12" s="1"/>
  <c r="K47" i="12" l="1"/>
  <c r="I47" i="12"/>
  <c r="E48" i="12" s="1"/>
  <c r="K48" i="12" l="1"/>
  <c r="I48" i="12"/>
  <c r="E49" i="12" s="1"/>
  <c r="K49" i="12" l="1"/>
  <c r="I49" i="12"/>
  <c r="E50" i="12" s="1"/>
  <c r="K50" i="12" l="1"/>
  <c r="I50" i="12"/>
  <c r="E51" i="12" s="1"/>
  <c r="K51" i="12" l="1"/>
  <c r="I51" i="12"/>
  <c r="E52" i="12" s="1"/>
  <c r="K52" i="12" l="1"/>
  <c r="I52" i="12"/>
  <c r="E53" i="12" s="1"/>
  <c r="K53" i="12" l="1"/>
  <c r="I53" i="12"/>
  <c r="E54" i="12" s="1"/>
  <c r="K54" i="12" l="1"/>
  <c r="I54" i="12"/>
  <c r="E55" i="12" s="1"/>
  <c r="K55" i="12" l="1"/>
  <c r="I55" i="12"/>
  <c r="E56" i="12" s="1"/>
  <c r="K56" i="12" l="1"/>
  <c r="I56" i="12"/>
  <c r="E57" i="12" s="1"/>
  <c r="K57" i="12" l="1"/>
  <c r="I57" i="12"/>
  <c r="E58" i="12" s="1"/>
  <c r="K58" i="12" l="1"/>
  <c r="I58" i="12"/>
  <c r="E59" i="12" s="1"/>
  <c r="K59" i="12" l="1"/>
  <c r="I59" i="12"/>
  <c r="E60" i="12" s="1"/>
  <c r="K60" i="12" l="1"/>
  <c r="I60" i="12"/>
  <c r="E61" i="12" s="1"/>
  <c r="K61" i="12" l="1"/>
  <c r="I61" i="12"/>
  <c r="E62" i="12" s="1"/>
  <c r="K62" i="12" l="1"/>
  <c r="I62" i="12"/>
  <c r="E63" i="12" s="1"/>
  <c r="K63" i="12" l="1"/>
  <c r="I63" i="12"/>
  <c r="E64" i="12" s="1"/>
  <c r="K64" i="12" l="1"/>
  <c r="I64" i="12"/>
  <c r="E65" i="12" s="1"/>
  <c r="K65" i="12" l="1"/>
  <c r="I65" i="12"/>
  <c r="E66" i="12" s="1"/>
  <c r="K66" i="12" l="1"/>
  <c r="I66" i="12"/>
  <c r="E67" i="12" s="1"/>
  <c r="K67" i="12" l="1"/>
  <c r="I67" i="12"/>
  <c r="E68" i="12" s="1"/>
  <c r="K68" i="12" l="1"/>
  <c r="I68" i="12"/>
  <c r="E69" i="12" s="1"/>
  <c r="K69" i="12" l="1"/>
  <c r="I69" i="12"/>
  <c r="E70" i="12" s="1"/>
  <c r="K70" i="12" l="1"/>
  <c r="I70" i="12"/>
  <c r="E71" i="12" s="1"/>
  <c r="K71" i="12" l="1"/>
  <c r="I71" i="12"/>
  <c r="E72" i="12" l="1"/>
  <c r="K72" i="12" s="1"/>
  <c r="I72" i="12"/>
  <c r="E73" i="12" l="1"/>
  <c r="K73" i="12" s="1"/>
  <c r="I73" i="12"/>
  <c r="E74" i="12" l="1"/>
  <c r="K74" i="12" s="1"/>
  <c r="I74" i="12"/>
  <c r="E75" i="12" l="1"/>
  <c r="K75" i="12" s="1"/>
  <c r="I75" i="12"/>
  <c r="E76" i="12" l="1"/>
  <c r="K76" i="12" s="1"/>
  <c r="I76" i="12"/>
  <c r="E77" i="12" l="1"/>
  <c r="K77" i="12" s="1"/>
  <c r="I77" i="12"/>
  <c r="E78" i="12" l="1"/>
  <c r="K78" i="12" s="1"/>
  <c r="I78" i="12"/>
  <c r="E79" i="12" l="1"/>
  <c r="K79" i="12" s="1"/>
  <c r="I79" i="12"/>
  <c r="E80" i="12" l="1"/>
  <c r="K80" i="12" s="1"/>
  <c r="I80" i="12"/>
  <c r="E81" i="12" l="1"/>
  <c r="K81" i="12" s="1"/>
  <c r="I81" i="12"/>
  <c r="E82" i="12" l="1"/>
  <c r="K82" i="12" s="1"/>
  <c r="I82" i="12"/>
  <c r="E83" i="12" l="1"/>
  <c r="K83" i="12" s="1"/>
  <c r="I83" i="12"/>
  <c r="E84" i="12" l="1"/>
  <c r="K84" i="12" s="1"/>
  <c r="I84" i="12"/>
  <c r="E85" i="12" l="1"/>
  <c r="K85" i="12" s="1"/>
  <c r="I85" i="12"/>
  <c r="E86" i="12" l="1"/>
  <c r="K86" i="12" s="1"/>
  <c r="I86" i="12"/>
  <c r="E87" i="12" l="1"/>
  <c r="K87" i="12" s="1"/>
  <c r="I87" i="12"/>
  <c r="E88" i="12" l="1"/>
  <c r="K88" i="12" s="1"/>
  <c r="I88" i="12"/>
  <c r="E89" i="12" l="1"/>
  <c r="K89" i="12" s="1"/>
  <c r="I89" i="12"/>
  <c r="E90" i="12" l="1"/>
  <c r="K90" i="12" s="1"/>
  <c r="I90" i="12"/>
  <c r="E91" i="12" l="1"/>
  <c r="K91" i="12" s="1"/>
  <c r="I91" i="12"/>
  <c r="E92" i="12" l="1"/>
  <c r="K92" i="12" s="1"/>
  <c r="I92" i="12"/>
  <c r="E93" i="12" l="1"/>
  <c r="K93" i="12" s="1"/>
  <c r="I93" i="12"/>
  <c r="E94" i="12" l="1"/>
  <c r="K94" i="12" s="1"/>
  <c r="I94" i="12"/>
  <c r="E95" i="12" l="1"/>
  <c r="K95" i="12" s="1"/>
  <c r="I95" i="12"/>
  <c r="E96" i="12" l="1"/>
  <c r="K96" i="12" s="1"/>
  <c r="I96" i="12"/>
  <c r="E97" i="12" l="1"/>
  <c r="K97" i="12" s="1"/>
  <c r="I97" i="12"/>
  <c r="E98" i="12" l="1"/>
  <c r="K98" i="12" s="1"/>
  <c r="I98" i="12"/>
  <c r="E99" i="12" l="1"/>
  <c r="K99" i="12" s="1"/>
  <c r="I99" i="12"/>
  <c r="E100" i="12" l="1"/>
  <c r="K100" i="12" s="1"/>
  <c r="I100" i="12"/>
  <c r="E101" i="12" l="1"/>
  <c r="K101" i="12" s="1"/>
  <c r="I101" i="12"/>
  <c r="E102" i="12" l="1"/>
  <c r="K102" i="12" s="1"/>
  <c r="I102" i="12"/>
</calcChain>
</file>

<file path=xl/comments1.xml><?xml version="1.0" encoding="utf-8"?>
<comments xmlns="http://schemas.openxmlformats.org/spreadsheetml/2006/main">
  <authors>
    <author>Tiana</author>
    <author>Yaroslav Semenyuk</author>
  </authors>
  <commentList>
    <comment ref="B32" authorId="0" shapeId="0">
      <text>
        <r>
          <rPr>
            <b/>
            <sz val="9"/>
            <color indexed="81"/>
            <rFont val="Tahoma"/>
            <family val="2"/>
          </rPr>
          <t>Tiana:</t>
        </r>
        <r>
          <rPr>
            <sz val="9"/>
            <color indexed="81"/>
            <rFont val="Tahoma"/>
            <family val="2"/>
          </rPr>
          <t xml:space="preserve">
Input default calculation.
Based on Annual RRSP limit assumption (B34)
</t>
        </r>
      </text>
    </comment>
    <comment ref="B42" authorId="1" shapeId="0">
      <text>
        <r>
          <rPr>
            <b/>
            <sz val="9"/>
            <color indexed="81"/>
            <rFont val="Tahoma"/>
            <family val="2"/>
          </rPr>
          <t>Yaroslav Semenyuk:</t>
        </r>
        <r>
          <rPr>
            <sz val="9"/>
            <color indexed="81"/>
            <rFont val="Tahoma"/>
            <family val="2"/>
          </rPr>
          <t xml:space="preserve">
Total Cashflow starting at Retirement</t>
        </r>
      </text>
    </comment>
    <comment ref="B48" authorId="1" shapeId="0">
      <text>
        <r>
          <rPr>
            <b/>
            <sz val="9"/>
            <color indexed="81"/>
            <rFont val="Tahoma"/>
            <family val="2"/>
          </rPr>
          <t>Yaroslav Semenyuk:</t>
        </r>
        <r>
          <rPr>
            <sz val="9"/>
            <color indexed="81"/>
            <rFont val="Tahoma"/>
            <family val="2"/>
          </rPr>
          <t xml:space="preserve">
Shortfall / Surplus at retirement
</t>
        </r>
      </text>
    </comment>
    <comment ref="B49" authorId="1" shapeId="0">
      <text>
        <r>
          <rPr>
            <b/>
            <sz val="9"/>
            <color indexed="81"/>
            <rFont val="Tahoma"/>
            <family val="2"/>
          </rPr>
          <t>Yaroslav Semenyuk:</t>
        </r>
        <r>
          <rPr>
            <sz val="9"/>
            <color indexed="81"/>
            <rFont val="Tahoma"/>
            <family val="2"/>
          </rPr>
          <t xml:space="preserve">
Increase your monthly contributions by:</t>
        </r>
      </text>
    </comment>
    <comment ref="B50" authorId="1" shapeId="0">
      <text>
        <r>
          <rPr>
            <b/>
            <sz val="9"/>
            <color indexed="81"/>
            <rFont val="Tahoma"/>
            <family val="2"/>
          </rPr>
          <t>Yaroslav Semenyuk:</t>
        </r>
        <r>
          <rPr>
            <sz val="9"/>
            <color indexed="81"/>
            <rFont val="Tahoma"/>
            <family val="2"/>
          </rPr>
          <t xml:space="preserve">
Monthly Contribution Needed</t>
        </r>
      </text>
    </comment>
    <comment ref="B51" authorId="1" shapeId="0">
      <text>
        <r>
          <rPr>
            <b/>
            <sz val="9"/>
            <color indexed="81"/>
            <rFont val="Tahoma"/>
            <family val="2"/>
          </rPr>
          <t>Yaroslav Semenyuk:</t>
        </r>
        <r>
          <rPr>
            <sz val="9"/>
            <color indexed="81"/>
            <rFont val="Tahoma"/>
            <family val="2"/>
          </rPr>
          <t xml:space="preserve">
Annual contribution needed</t>
        </r>
      </text>
    </comment>
    <comment ref="A54" authorId="0" shapeId="0">
      <text>
        <r>
          <rPr>
            <b/>
            <sz val="9"/>
            <color indexed="81"/>
            <rFont val="Tahoma"/>
            <family val="2"/>
          </rPr>
          <t>Tiana:</t>
        </r>
        <r>
          <rPr>
            <sz val="9"/>
            <color indexed="81"/>
            <rFont val="Tahoma"/>
            <family val="2"/>
          </rPr>
          <t xml:space="preserve">
Updated every year
</t>
        </r>
      </text>
    </comment>
    <comment ref="A55" authorId="0" shapeId="0">
      <text>
        <r>
          <rPr>
            <b/>
            <sz val="9"/>
            <color indexed="81"/>
            <rFont val="Tahoma"/>
            <family val="2"/>
          </rPr>
          <t>Tiana:</t>
        </r>
        <r>
          <rPr>
            <sz val="9"/>
            <color indexed="81"/>
            <rFont val="Tahoma"/>
            <family val="2"/>
          </rPr>
          <t xml:space="preserve">
To calculate how much RRSP contribution room you have based on a percentage of income, set by the Government of Canada.</t>
        </r>
      </text>
    </comment>
    <comment ref="B78" authorId="1" shapeId="0">
      <text>
        <r>
          <rPr>
            <b/>
            <sz val="9"/>
            <color indexed="81"/>
            <rFont val="Tahoma"/>
            <family val="2"/>
          </rPr>
          <t>Yaroslav Semenyuk:</t>
        </r>
        <r>
          <rPr>
            <sz val="9"/>
            <color indexed="81"/>
            <rFont val="Tahoma"/>
            <family val="2"/>
          </rPr>
          <t xml:space="preserve">
Manually enter income required for check
</t>
        </r>
      </text>
    </comment>
    <comment ref="C78" authorId="1" shapeId="0">
      <text>
        <r>
          <rPr>
            <b/>
            <sz val="9"/>
            <color indexed="81"/>
            <rFont val="Tahoma"/>
            <family val="2"/>
          </rPr>
          <t>Yaroslav Semenyuk:</t>
        </r>
        <r>
          <rPr>
            <sz val="9"/>
            <color indexed="81"/>
            <rFont val="Tahoma"/>
            <family val="2"/>
          </rPr>
          <t xml:space="preserve">
Manually enter income required for check
</t>
        </r>
      </text>
    </comment>
  </commentList>
</comments>
</file>

<file path=xl/comments2.xml><?xml version="1.0" encoding="utf-8"?>
<comments xmlns="http://schemas.openxmlformats.org/spreadsheetml/2006/main">
  <authors>
    <author>Tiana</author>
  </authors>
  <commentList>
    <comment ref="D1" authorId="0" shapeId="0">
      <text>
        <r>
          <rPr>
            <b/>
            <sz val="9"/>
            <color indexed="81"/>
            <rFont val="Tahoma"/>
            <family val="2"/>
          </rPr>
          <t>Tiana:</t>
        </r>
        <r>
          <rPr>
            <sz val="9"/>
            <color indexed="81"/>
            <rFont val="Tahoma"/>
            <family val="2"/>
          </rPr>
          <t xml:space="preserve">
0 = Before Retirement
1 = At Retirement
2 = Retirement End</t>
        </r>
      </text>
    </comment>
  </commentList>
</comments>
</file>

<file path=xl/comments3.xml><?xml version="1.0" encoding="utf-8"?>
<comments xmlns="http://schemas.openxmlformats.org/spreadsheetml/2006/main">
  <authors>
    <author>Tiana</author>
  </authors>
  <commentList>
    <comment ref="D1" authorId="0" shapeId="0">
      <text>
        <r>
          <rPr>
            <b/>
            <sz val="9"/>
            <color indexed="81"/>
            <rFont val="Tahoma"/>
            <family val="2"/>
          </rPr>
          <t>Tiana:</t>
        </r>
        <r>
          <rPr>
            <sz val="9"/>
            <color indexed="81"/>
            <rFont val="Tahoma"/>
            <family val="2"/>
          </rPr>
          <t xml:space="preserve">
0 = Before Retirement
1 = At Retirement
2 = Retirement End</t>
        </r>
      </text>
    </comment>
  </commentList>
</comments>
</file>

<file path=xl/sharedStrings.xml><?xml version="1.0" encoding="utf-8"?>
<sst xmlns="http://schemas.openxmlformats.org/spreadsheetml/2006/main" count="170" uniqueCount="103">
  <si>
    <t>Current Age</t>
  </si>
  <si>
    <t>Retirement Start Age</t>
  </si>
  <si>
    <t>Years in Retirement</t>
  </si>
  <si>
    <t>Annual Income</t>
  </si>
  <si>
    <t>Target Retirement income</t>
  </si>
  <si>
    <t>Retirement Information</t>
  </si>
  <si>
    <t>Sources of Income</t>
  </si>
  <si>
    <t>Old Age Security</t>
  </si>
  <si>
    <t>CPP/QPP</t>
  </si>
  <si>
    <t>Company Pension</t>
  </si>
  <si>
    <t>Non Reg Investments</t>
  </si>
  <si>
    <t>Other sources of income</t>
  </si>
  <si>
    <t>RRSP Investments</t>
  </si>
  <si>
    <t>Current RRSP Savings</t>
  </si>
  <si>
    <t>Monthly contributions</t>
  </si>
  <si>
    <t>Estimated ROR</t>
  </si>
  <si>
    <t>Annual RRSP Limit</t>
  </si>
  <si>
    <t>Assumptions</t>
  </si>
  <si>
    <t>Inflation rate</t>
  </si>
  <si>
    <t>Backend Calculation</t>
  </si>
  <si>
    <t>Age</t>
  </si>
  <si>
    <t>Stage</t>
  </si>
  <si>
    <t>Beginning Balance</t>
  </si>
  <si>
    <t>Contributions</t>
  </si>
  <si>
    <t>OAS</t>
  </si>
  <si>
    <t>Ending Balance</t>
  </si>
  <si>
    <t>Yrs</t>
  </si>
  <si>
    <t>RRSP contribution room %</t>
  </si>
  <si>
    <t>Backend Assumptions</t>
  </si>
  <si>
    <t>#</t>
  </si>
  <si>
    <t>Description</t>
  </si>
  <si>
    <t>Logic</t>
  </si>
  <si>
    <t>Message</t>
  </si>
  <si>
    <t>When RRSP contribution exceeds annual amount</t>
  </si>
  <si>
    <t>Your annual RRSP contribution exceeds the maximum contribution allowed based on your income entered.</t>
  </si>
  <si>
    <t>Income Needed</t>
  </si>
  <si>
    <r>
      <rPr>
        <b/>
        <u/>
        <sz val="12"/>
        <color theme="1"/>
        <rFont val="Calibri"/>
        <family val="2"/>
        <scheme val="minor"/>
      </rPr>
      <t>Retirement years:</t>
    </r>
    <r>
      <rPr>
        <u/>
        <sz val="12"/>
        <color theme="1"/>
        <rFont val="Calibri"/>
        <family val="2"/>
        <scheme val="minor"/>
      </rPr>
      <t xml:space="preserve"> </t>
    </r>
    <r>
      <rPr>
        <sz val="11"/>
        <color theme="1"/>
        <rFont val="Calibri"/>
        <family val="2"/>
        <scheme val="minor"/>
      </rPr>
      <t xml:space="preserve">
Starts at the beginning of the indicated year of  "Retirement Start Age" and lasts for the amount of years indicated in "Years in Retirement".
</t>
    </r>
    <r>
      <rPr>
        <u/>
        <sz val="11"/>
        <color theme="1"/>
        <rFont val="Calibri"/>
        <family val="2"/>
        <scheme val="minor"/>
      </rPr>
      <t xml:space="preserve">For example: </t>
    </r>
    <r>
      <rPr>
        <sz val="11"/>
        <color theme="1"/>
        <rFont val="Calibri"/>
        <family val="2"/>
        <scheme val="minor"/>
      </rPr>
      <t xml:space="preserve">
Retirement Start Age: 65
Years in Retirement: 30
Retirement will start the first day of age 65, and lasts until the last day of age 94 (30 years)</t>
    </r>
  </si>
  <si>
    <t>RRSP Contribution subjected to Taxes</t>
  </si>
  <si>
    <t>Income Required from Investment</t>
  </si>
  <si>
    <t>Ret Yrs</t>
  </si>
  <si>
    <t>Result Section</t>
  </si>
  <si>
    <t>Total Income
from all sources</t>
  </si>
  <si>
    <t>Annual Income based on Actual Savings:</t>
  </si>
  <si>
    <t>Savings at Retirement:</t>
  </si>
  <si>
    <t>Real Interst Rate (Portfolio)</t>
  </si>
  <si>
    <r>
      <rPr>
        <b/>
        <u/>
        <sz val="11"/>
        <color theme="1"/>
        <rFont val="Calibri"/>
        <family val="2"/>
        <scheme val="minor"/>
      </rPr>
      <t xml:space="preserve">Actual Savings:
</t>
    </r>
    <r>
      <rPr>
        <sz val="11"/>
        <color theme="1"/>
        <rFont val="Calibri"/>
        <family val="2"/>
        <scheme val="minor"/>
      </rPr>
      <t xml:space="preserve">Income calculated based on projected Portfolio amount divided by years in Retirement.  Does not take into account any sources of income. </t>
    </r>
  </si>
  <si>
    <r>
      <rPr>
        <b/>
        <u/>
        <sz val="11"/>
        <color theme="1"/>
        <rFont val="Calibri"/>
        <family val="2"/>
        <scheme val="minor"/>
      </rPr>
      <t>Opening Balance:</t>
    </r>
    <r>
      <rPr>
        <sz val="11"/>
        <color theme="1"/>
        <rFont val="Calibri"/>
        <family val="2"/>
        <scheme val="minor"/>
      </rPr>
      <t xml:space="preserve">
If previous year's ending balance is less than 0, no growth/interest deflicit is applied against it.  It will remain the closing balance at the end of the previous year.</t>
    </r>
  </si>
  <si>
    <t>FV Savings</t>
  </si>
  <si>
    <t>Monthly Contribution Amount needed to meet Goal</t>
  </si>
  <si>
    <t>PV of investment required to meet Desire Income:</t>
  </si>
  <si>
    <t>Value of Recommended Investment Income per year:</t>
  </si>
  <si>
    <t>Input Section</t>
  </si>
  <si>
    <t>NPV of Desired Income:</t>
  </si>
  <si>
    <r>
      <t xml:space="preserve">Result Calculations (Input Tab, E28):
</t>
    </r>
    <r>
      <rPr>
        <sz val="11"/>
        <color theme="1"/>
        <rFont val="Calibri"/>
        <family val="2"/>
        <scheme val="minor"/>
      </rPr>
      <t xml:space="preserve">This calculation is based on user's input, with all variables remaining constant with the exception of the current Portfolio amount at current age.  It determines what is the necessary lumpsum portfolio amount that the user will need right now.  This is calculated by detemining the Present value of the net present value of the Desired Income at Retirement. </t>
    </r>
  </si>
  <si>
    <t>Amount Surplus / Shortfall @65</t>
  </si>
  <si>
    <t>End of year</t>
  </si>
  <si>
    <t>Beginning of year</t>
  </si>
  <si>
    <t>Total Amount RRSP Saved at 65</t>
  </si>
  <si>
    <t>Annuity with RRSP Current Saving</t>
  </si>
  <si>
    <t>FV with all other incomes</t>
  </si>
  <si>
    <t>Shortfall/Surplus</t>
  </si>
  <si>
    <t>FV Needed to meat goal</t>
  </si>
  <si>
    <t>PV Needed at 65 to meat goal</t>
  </si>
  <si>
    <t>Required Goal Check</t>
  </si>
  <si>
    <t>FV of current savings</t>
  </si>
  <si>
    <t>FV of current contributions</t>
  </si>
  <si>
    <t>Scenario</t>
  </si>
  <si>
    <t>Year</t>
  </si>
  <si>
    <t>CPP
 Start</t>
  </si>
  <si>
    <t>OAS 
Start</t>
  </si>
  <si>
    <t>IF(D2=0,IF(Input!$C$19&gt;Input!$C$21,Input!$C$19-Input!$C$21,0),0)</t>
  </si>
  <si>
    <t>Estimated Retirement Income Could be</t>
  </si>
  <si>
    <r>
      <rPr>
        <b/>
        <u/>
        <sz val="12"/>
        <color theme="1"/>
        <rFont val="Calibri"/>
        <family val="2"/>
        <scheme val="minor"/>
      </rPr>
      <t>Taxable Income:</t>
    </r>
    <r>
      <rPr>
        <b/>
        <u/>
        <sz val="11"/>
        <color theme="1"/>
        <rFont val="Calibri"/>
        <family val="2"/>
        <scheme val="minor"/>
      </rPr>
      <t xml:space="preserve">
</t>
    </r>
    <r>
      <rPr>
        <sz val="11"/>
        <color theme="1"/>
        <rFont val="Calibri"/>
        <family val="2"/>
        <scheme val="minor"/>
      </rPr>
      <t>No tax is applied</t>
    </r>
  </si>
  <si>
    <r>
      <t xml:space="preserve">Assumed values that require maintenance 
</t>
    </r>
    <r>
      <rPr>
        <sz val="11"/>
        <color theme="1"/>
        <rFont val="Calibri"/>
        <family val="2"/>
        <scheme val="minor"/>
      </rPr>
      <t>Annual RRSP Limit  (Input Tab, A44)
RRSP contribution room %   (Input Tab, A45)</t>
    </r>
  </si>
  <si>
    <r>
      <rPr>
        <b/>
        <u/>
        <sz val="11"/>
        <color theme="1"/>
        <rFont val="Calibri"/>
        <family val="2"/>
        <scheme val="minor"/>
      </rPr>
      <t>Ending Balance:</t>
    </r>
    <r>
      <rPr>
        <b/>
        <sz val="11"/>
        <color theme="1"/>
        <rFont val="Calibri"/>
        <family val="2"/>
        <scheme val="minor"/>
      </rPr>
      <t xml:space="preserve">
</t>
    </r>
    <r>
      <rPr>
        <sz val="11"/>
        <color theme="1"/>
        <rFont val="Calibri"/>
        <family val="2"/>
        <scheme val="minor"/>
      </rPr>
      <t xml:space="preserve">ROR gain is for the previous year balance, and the contribution will accumulate any ROR gains
For example:
Beginning balance:  100,000
Annual RRSP Contribution: 6,000
Real Rate of Return: (1+Nominal Rate of Return)/(1+Inflation Rate)-1
Real Rate of Return:  3%
</t>
    </r>
    <r>
      <rPr>
        <u/>
        <sz val="11"/>
        <color theme="1"/>
        <rFont val="Calibri"/>
        <family val="2"/>
        <scheme val="minor"/>
      </rPr>
      <t xml:space="preserve">Calculation:
</t>
    </r>
    <r>
      <rPr>
        <sz val="11"/>
        <color theme="1"/>
        <rFont val="Calibri"/>
        <family val="2"/>
        <scheme val="minor"/>
      </rPr>
      <t>100,000 * 1.03 + 6,000 = 109,000
Ending Balance: 109,000</t>
    </r>
  </si>
  <si>
    <t>RRSPs Limit</t>
  </si>
  <si>
    <t>Income Goal</t>
  </si>
  <si>
    <t>Actual Income</t>
  </si>
  <si>
    <t>Use Cases</t>
  </si>
  <si>
    <t>Outputs</t>
  </si>
  <si>
    <t>Actual Savings</t>
  </si>
  <si>
    <t>Savings Goal</t>
  </si>
  <si>
    <t>Shortfall / Surplus</t>
  </si>
  <si>
    <t>Inflation &gt; RoR</t>
  </si>
  <si>
    <t>0 saving goal</t>
  </si>
  <si>
    <r>
      <rPr>
        <b/>
        <u/>
        <sz val="11"/>
        <color theme="1"/>
        <rFont val="Calibri"/>
        <family val="2"/>
        <scheme val="minor"/>
      </rPr>
      <t xml:space="preserve">Result Calculations (Recommended  Increase):
</t>
    </r>
    <r>
      <rPr>
        <sz val="11"/>
        <color theme="1"/>
        <rFont val="Calibri"/>
        <family val="2"/>
        <scheme val="minor"/>
      </rPr>
      <t>This calculation is based on user's input, with all variables remaining constant with the exception of Monthly  Contributions. It deteremines what is the necessary monthly  contribution required to meet Retirement Goal.  This is based on calculating the net present value of the Desire income at retirement and determining the monthly payments required to fill that gap with the users current portfolio amount taken into consideration.</t>
    </r>
  </si>
  <si>
    <t>Current TFSA Savings</t>
  </si>
  <si>
    <t>TFSA contributions</t>
  </si>
  <si>
    <t>RRSP contributions</t>
  </si>
  <si>
    <t>Current Non-Reg Savings</t>
  </si>
  <si>
    <t>Non-Reg contributions</t>
  </si>
  <si>
    <t>CPP Start Age Pimary</t>
  </si>
  <si>
    <t>OAS Start Age Primary</t>
  </si>
  <si>
    <t>CPP Start Age Spouse</t>
  </si>
  <si>
    <t>OAS Start Age Spouse</t>
  </si>
  <si>
    <t>Total Monthly Contributions Needed</t>
  </si>
  <si>
    <t>Spouse</t>
  </si>
  <si>
    <t>Would you like to add a spouse?</t>
  </si>
  <si>
    <t>Scenario Primary</t>
  </si>
  <si>
    <t>Primary Target Retirement Income</t>
  </si>
  <si>
    <t>Primary Percent / $ Flag</t>
  </si>
  <si>
    <t>Yes</t>
  </si>
  <si>
    <t>PV of Recommended Investment at Retirement: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</si>
</sst>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00;[Red]\-&quot;$&quot;#,##0.00"/>
    <numFmt numFmtId="165" formatCode="_-&quot;$&quot;* #,##0.00_-;\-&quot;$&quot;* #,##0.00_-;_-&quot;$&quot;* &quot;-&quot;??_-;_-@_-"/>
    <numFmt numFmtId="166" formatCode="&quot;$&quot;#,##0_);[Red]\(&quot;$&quot;#,##0\)"/>
    <numFmt numFmtId="167" formatCode="&quot;$&quot;#,##0.00_);[Red]\(&quot;$&quot;#,##0.00\)"/>
    <numFmt numFmtId="168" formatCode="_(&quot;$&quot;* #,##0.00_);_(&quot;$&quot;* \(#,##0.00\);_(&quot;$&quot;* &quot;-&quot;??_);_(@_)"/>
    <numFmt numFmtId="169" formatCode="_-&quot;$&quot;* #,##0_-;\-&quot;$&quot;* #,##0_-;_-&quot;$&quot;* &quot;-&quot;??_-;_-@_-"/>
    <numFmt numFmtId="170" formatCode="&quot;$&quot;#,##0.00;[Red]&quot;$&quot;#,##0.00"/>
    <numFmt numFmtId="171" formatCode="&quot;$&quot;#,##0.00"/>
  </numFmts>
  <fonts count="21" x14ac:knownFonts="1">
    <font>
      <sz val="11"/>
      <color theme="1"/>
      <name val="Calibri"/>
      <family val="2"/>
      <scheme val="minor"/>
    </font>
    <font>
      <sz val="11"/>
      <color theme="1"/>
      <name val="Calibri"/>
      <family val="2"/>
      <scheme val="minor"/>
    </font>
    <font>
      <b/>
      <sz val="12"/>
      <color theme="1"/>
      <name val="Calibri"/>
      <family val="2"/>
      <scheme val="minor"/>
    </font>
    <font>
      <sz val="9"/>
      <color indexed="81"/>
      <name val="Tahoma"/>
      <family val="2"/>
    </font>
    <font>
      <b/>
      <sz val="9"/>
      <color indexed="81"/>
      <name val="Tahoma"/>
      <family val="2"/>
    </font>
    <font>
      <b/>
      <sz val="11"/>
      <color theme="1"/>
      <name val="Calibri"/>
      <family val="2"/>
      <scheme val="minor"/>
    </font>
    <font>
      <sz val="11"/>
      <color theme="0"/>
      <name val="Calibri"/>
      <family val="2"/>
      <scheme val="minor"/>
    </font>
    <font>
      <u/>
      <sz val="11"/>
      <color theme="1"/>
      <name val="Calibri"/>
      <family val="2"/>
      <scheme val="minor"/>
    </font>
    <font>
      <b/>
      <u/>
      <sz val="11"/>
      <color theme="1"/>
      <name val="Calibri"/>
      <family val="2"/>
      <scheme val="minor"/>
    </font>
    <font>
      <b/>
      <u/>
      <sz val="12"/>
      <color theme="1"/>
      <name val="Calibri"/>
      <family val="2"/>
      <scheme val="minor"/>
    </font>
    <font>
      <u/>
      <sz val="12"/>
      <color theme="1"/>
      <name val="Calibri"/>
      <family val="2"/>
      <scheme val="minor"/>
    </font>
    <font>
      <b/>
      <sz val="14"/>
      <color theme="1"/>
      <name val="Calibri"/>
      <family val="2"/>
      <scheme val="minor"/>
    </font>
    <font>
      <sz val="11"/>
      <color theme="0" tint="-0.14999847407452621"/>
      <name val="Calibri"/>
      <family val="2"/>
      <scheme val="minor"/>
    </font>
    <font>
      <b/>
      <sz val="11"/>
      <color theme="0" tint="-0.14999847407452621"/>
      <name val="Calibri"/>
      <family val="2"/>
      <scheme val="minor"/>
    </font>
    <font>
      <sz val="11"/>
      <color theme="1"/>
      <name val="Arial"/>
      <family val="2"/>
    </font>
    <font>
      <b/>
      <sz val="11"/>
      <color theme="1"/>
      <name val="Arial"/>
      <family val="2"/>
    </font>
    <font>
      <sz val="11"/>
      <color rgb="FFD8D8D8"/>
      <name val="Calibri"/>
      <family val="2"/>
      <scheme val="minor"/>
    </font>
    <font>
      <b/>
      <sz val="12"/>
      <color rgb="FFD8D8D8"/>
      <name val="Calibri"/>
      <family val="2"/>
      <scheme val="minor"/>
    </font>
    <font>
      <sz val="12"/>
      <color theme="1"/>
      <name val="Calibri"/>
      <family val="2"/>
      <scheme val="minor"/>
    </font>
    <font>
      <sz val="11"/>
      <color rgb="FFFF0000"/>
      <name val="Calibri"/>
      <family val="2"/>
      <scheme val="minor"/>
    </font>
    <font>
      <sz val="8"/>
      <color rgb="FF000000"/>
      <name val="Tahoma"/>
      <family val="2"/>
    </font>
  </fonts>
  <fills count="15">
    <fill>
      <patternFill patternType="none"/>
    </fill>
    <fill>
      <patternFill patternType="gray125"/>
    </fill>
    <fill>
      <patternFill patternType="solid">
        <fgColor rgb="FFFFFFCC"/>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rgb="FFCC9900"/>
        <bgColor indexed="64"/>
      </patternFill>
    </fill>
    <fill>
      <patternFill patternType="solid">
        <fgColor rgb="FF663300"/>
        <bgColor indexed="64"/>
      </patternFill>
    </fill>
    <fill>
      <patternFill patternType="solid">
        <fgColor theme="1" tint="0.14999847407452621"/>
        <bgColor indexed="64"/>
      </patternFill>
    </fill>
    <fill>
      <patternFill patternType="solid">
        <fgColor rgb="FFEAF1DD"/>
        <bgColor indexed="64"/>
      </patternFill>
    </fill>
    <fill>
      <patternFill patternType="solid">
        <fgColor rgb="FFFF0000"/>
        <bgColor indexed="64"/>
      </patternFill>
    </fill>
    <fill>
      <patternFill patternType="solid">
        <fgColor rgb="FFF2DDDC"/>
        <bgColor indexed="64"/>
      </patternFill>
    </fill>
    <fill>
      <patternFill patternType="solid">
        <fgColor rgb="FFBFBFBF"/>
        <bgColor indexed="64"/>
      </patternFill>
    </fill>
    <fill>
      <patternFill patternType="solid">
        <fgColor theme="0" tint="-0.249977111117893"/>
        <bgColor indexed="64"/>
      </patternFill>
    </fill>
    <fill>
      <patternFill patternType="solid">
        <fgColor rgb="FFFF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95">
    <xf numFmtId="0" fontId="0" fillId="0" borderId="0" xfId="0"/>
    <xf numFmtId="0" fontId="0" fillId="0" borderId="1" xfId="0" applyBorder="1"/>
    <xf numFmtId="169" fontId="0" fillId="2" borderId="1" xfId="1" applyNumberFormat="1" applyFont="1" applyFill="1" applyBorder="1"/>
    <xf numFmtId="0" fontId="0" fillId="2" borderId="1" xfId="0" applyFill="1" applyBorder="1" applyAlignment="1">
      <alignment horizontal="center"/>
    </xf>
    <xf numFmtId="0" fontId="0" fillId="0" borderId="0" xfId="0" applyAlignment="1">
      <alignment horizontal="center"/>
    </xf>
    <xf numFmtId="169" fontId="0" fillId="0" borderId="0" xfId="1" applyNumberFormat="1" applyFont="1"/>
    <xf numFmtId="169" fontId="0" fillId="0" borderId="0" xfId="0" applyNumberFormat="1"/>
    <xf numFmtId="164" fontId="0" fillId="0" borderId="0" xfId="0" applyNumberFormat="1"/>
    <xf numFmtId="169" fontId="0" fillId="0" borderId="0" xfId="1" applyNumberFormat="1" applyFont="1" applyFill="1"/>
    <xf numFmtId="0" fontId="0" fillId="0" borderId="0" xfId="0" applyAlignment="1">
      <alignment wrapText="1"/>
    </xf>
    <xf numFmtId="0" fontId="0" fillId="0" borderId="0" xfId="0" applyAlignment="1">
      <alignment horizontal="center" wrapText="1"/>
    </xf>
    <xf numFmtId="0" fontId="11" fillId="0" borderId="0" xfId="0" applyFont="1"/>
    <xf numFmtId="10" fontId="0" fillId="2" borderId="1" xfId="2" applyNumberFormat="1" applyFont="1" applyFill="1" applyBorder="1" applyAlignment="1">
      <alignment horizontal="center"/>
    </xf>
    <xf numFmtId="0" fontId="0" fillId="5" borderId="1" xfId="0" applyFill="1" applyBorder="1"/>
    <xf numFmtId="0" fontId="6" fillId="4" borderId="0" xfId="0" applyFont="1" applyFill="1"/>
    <xf numFmtId="0" fontId="6" fillId="7" borderId="0" xfId="0" applyFont="1" applyFill="1"/>
    <xf numFmtId="0" fontId="6" fillId="8" borderId="0" xfId="0" applyFont="1" applyFill="1"/>
    <xf numFmtId="0" fontId="0" fillId="6" borderId="1" xfId="0" applyFill="1" applyBorder="1" applyAlignment="1">
      <alignment vertical="top" wrapText="1"/>
    </xf>
    <xf numFmtId="169" fontId="0" fillId="6" borderId="1" xfId="1" applyNumberFormat="1" applyFont="1" applyFill="1" applyBorder="1" applyAlignment="1">
      <alignment vertical="top" wrapText="1"/>
    </xf>
    <xf numFmtId="0" fontId="8" fillId="0" borderId="0" xfId="0" applyFont="1" applyAlignment="1">
      <alignment wrapText="1"/>
    </xf>
    <xf numFmtId="167" fontId="0" fillId="0" borderId="0" xfId="0" applyNumberFormat="1"/>
    <xf numFmtId="167" fontId="5" fillId="0" borderId="0" xfId="0" applyNumberFormat="1" applyFont="1"/>
    <xf numFmtId="170" fontId="0" fillId="0" borderId="0" xfId="0" applyNumberFormat="1"/>
    <xf numFmtId="168" fontId="0" fillId="0" borderId="0" xfId="0" applyNumberFormat="1"/>
    <xf numFmtId="10" fontId="12" fillId="0" borderId="4" xfId="2" applyNumberFormat="1" applyFont="1" applyFill="1" applyBorder="1" applyAlignment="1">
      <alignment horizontal="center"/>
    </xf>
    <xf numFmtId="10" fontId="12" fillId="0" borderId="0" xfId="2" applyNumberFormat="1" applyFont="1" applyFill="1" applyBorder="1" applyAlignment="1">
      <alignment horizontal="center"/>
    </xf>
    <xf numFmtId="0" fontId="12" fillId="0" borderId="4" xfId="0" applyFont="1" applyFill="1" applyBorder="1"/>
    <xf numFmtId="167" fontId="12" fillId="0" borderId="0" xfId="0" applyNumberFormat="1" applyFont="1"/>
    <xf numFmtId="164" fontId="12" fillId="0" borderId="0" xfId="0" applyNumberFormat="1" applyFont="1"/>
    <xf numFmtId="0" fontId="12" fillId="0" borderId="0" xfId="0" applyFont="1" applyFill="1" applyAlignment="1">
      <alignment horizontal="center"/>
    </xf>
    <xf numFmtId="0" fontId="12" fillId="0" borderId="0" xfId="0" applyFont="1" applyAlignment="1">
      <alignment horizontal="center"/>
    </xf>
    <xf numFmtId="0" fontId="12" fillId="0" borderId="0" xfId="0" applyFont="1" applyFill="1" applyAlignment="1"/>
    <xf numFmtId="0" fontId="12" fillId="0" borderId="0" xfId="0" applyFont="1" applyFill="1"/>
    <xf numFmtId="164" fontId="12" fillId="0" borderId="0" xfId="0" applyNumberFormat="1" applyFont="1" applyFill="1"/>
    <xf numFmtId="165" fontId="12" fillId="0" borderId="0" xfId="1" applyFont="1" applyFill="1"/>
    <xf numFmtId="167" fontId="12" fillId="0" borderId="0" xfId="0" applyNumberFormat="1" applyFont="1" applyFill="1"/>
    <xf numFmtId="171" fontId="12" fillId="0" borderId="0" xfId="0" applyNumberFormat="1" applyFont="1" applyFill="1"/>
    <xf numFmtId="167" fontId="13" fillId="0" borderId="0" xfId="0" applyNumberFormat="1" applyFont="1" applyFill="1"/>
    <xf numFmtId="164" fontId="13" fillId="0" borderId="0" xfId="0" applyNumberFormat="1" applyFont="1" applyFill="1"/>
    <xf numFmtId="170" fontId="12" fillId="0" borderId="0" xfId="0" applyNumberFormat="1" applyFont="1" applyFill="1"/>
    <xf numFmtId="0" fontId="15" fillId="0" borderId="5" xfId="0" applyFont="1" applyBorder="1" applyAlignment="1">
      <alignment horizontal="center" wrapText="1"/>
    </xf>
    <xf numFmtId="0" fontId="14" fillId="0" borderId="5" xfId="0" applyFont="1" applyBorder="1" applyAlignment="1">
      <alignment horizontal="center" wrapText="1"/>
    </xf>
    <xf numFmtId="166" fontId="14" fillId="0" borderId="5" xfId="0" applyNumberFormat="1" applyFont="1" applyBorder="1" applyAlignment="1">
      <alignment horizontal="right" wrapText="1"/>
    </xf>
    <xf numFmtId="0" fontId="0" fillId="0" borderId="8" xfId="0" applyBorder="1"/>
    <xf numFmtId="0" fontId="0" fillId="9" borderId="0" xfId="0" applyFill="1"/>
    <xf numFmtId="165" fontId="5" fillId="0" borderId="0" xfId="0" applyNumberFormat="1" applyFont="1" applyAlignment="1">
      <alignment horizontal="right"/>
    </xf>
    <xf numFmtId="0" fontId="5" fillId="0" borderId="0" xfId="0" applyFont="1" applyAlignment="1">
      <alignment horizontal="left"/>
    </xf>
    <xf numFmtId="0" fontId="16" fillId="0" borderId="0" xfId="0" applyFont="1" applyFill="1" applyBorder="1"/>
    <xf numFmtId="0" fontId="16" fillId="0" borderId="0" xfId="0" applyFont="1" applyAlignment="1">
      <alignment horizontal="center"/>
    </xf>
    <xf numFmtId="0" fontId="16" fillId="0" borderId="0" xfId="0" applyNumberFormat="1" applyFont="1" applyAlignment="1">
      <alignment horizontal="center"/>
    </xf>
    <xf numFmtId="0" fontId="16" fillId="0" borderId="0" xfId="0" applyFont="1" applyFill="1" applyBorder="1" applyAlignment="1">
      <alignment horizontal="left"/>
    </xf>
    <xf numFmtId="169" fontId="0" fillId="10" borderId="0" xfId="0" applyNumberFormat="1" applyFill="1"/>
    <xf numFmtId="0" fontId="16" fillId="0" borderId="1" xfId="0" applyFont="1" applyBorder="1"/>
    <xf numFmtId="9" fontId="16" fillId="2" borderId="1" xfId="2" applyFont="1" applyFill="1" applyBorder="1" applyAlignment="1">
      <alignment horizontal="center"/>
    </xf>
    <xf numFmtId="169" fontId="16" fillId="0" borderId="1" xfId="1" applyNumberFormat="1" applyFont="1" applyBorder="1"/>
    <xf numFmtId="9" fontId="16" fillId="0" borderId="1" xfId="2" applyFont="1" applyBorder="1"/>
    <xf numFmtId="0" fontId="0" fillId="0" borderId="0" xfId="0" applyAlignment="1">
      <alignment wrapText="1"/>
    </xf>
    <xf numFmtId="165" fontId="0" fillId="6" borderId="1" xfId="1" applyNumberFormat="1" applyFont="1" applyFill="1" applyBorder="1" applyAlignment="1">
      <alignment vertical="top" wrapText="1"/>
    </xf>
    <xf numFmtId="169" fontId="0" fillId="11" borderId="1" xfId="1" applyNumberFormat="1" applyFont="1" applyFill="1" applyBorder="1"/>
    <xf numFmtId="0" fontId="0" fillId="0" borderId="1" xfId="0" applyFont="1" applyBorder="1"/>
    <xf numFmtId="10" fontId="1" fillId="3" borderId="3" xfId="2" applyNumberFormat="1" applyFont="1" applyFill="1" applyBorder="1" applyAlignment="1">
      <alignment horizontal="center"/>
    </xf>
    <xf numFmtId="165" fontId="0" fillId="10" borderId="0" xfId="0" applyNumberFormat="1" applyFont="1" applyFill="1"/>
    <xf numFmtId="165" fontId="0" fillId="11" borderId="1" xfId="0" applyNumberFormat="1" applyFill="1" applyBorder="1"/>
    <xf numFmtId="0" fontId="0" fillId="6" borderId="0" xfId="0" applyFill="1" applyAlignment="1">
      <alignment vertical="top" wrapText="1"/>
    </xf>
    <xf numFmtId="0" fontId="0" fillId="5" borderId="0" xfId="0" applyFill="1" applyAlignment="1">
      <alignment vertical="top" wrapText="1"/>
    </xf>
    <xf numFmtId="0" fontId="18" fillId="0" borderId="0" xfId="0" applyFont="1" applyAlignment="1"/>
    <xf numFmtId="168" fontId="0" fillId="2" borderId="1" xfId="1" applyNumberFormat="1" applyFont="1" applyFill="1" applyBorder="1"/>
    <xf numFmtId="0" fontId="0" fillId="13" borderId="0" xfId="0" applyFill="1"/>
    <xf numFmtId="0" fontId="0" fillId="13" borderId="9" xfId="0" applyFill="1" applyBorder="1"/>
    <xf numFmtId="0" fontId="0" fillId="14" borderId="0" xfId="0" applyFill="1"/>
    <xf numFmtId="0" fontId="0" fillId="14" borderId="10" xfId="0" applyFill="1" applyBorder="1"/>
    <xf numFmtId="168" fontId="0" fillId="14" borderId="10" xfId="0" applyNumberFormat="1" applyFill="1" applyBorder="1"/>
    <xf numFmtId="0" fontId="0" fillId="13" borderId="10" xfId="0" applyFill="1" applyBorder="1"/>
    <xf numFmtId="10" fontId="0" fillId="14" borderId="10" xfId="0" applyNumberFormat="1" applyFill="1" applyBorder="1"/>
    <xf numFmtId="0" fontId="19" fillId="13" borderId="0" xfId="0" applyFont="1" applyFill="1"/>
    <xf numFmtId="0" fontId="19" fillId="13" borderId="10" xfId="0" applyFont="1" applyFill="1" applyBorder="1"/>
    <xf numFmtId="168" fontId="0" fillId="9" borderId="10" xfId="0" applyNumberFormat="1" applyFill="1" applyBorder="1"/>
    <xf numFmtId="168" fontId="19" fillId="9" borderId="11" xfId="0" applyNumberFormat="1" applyFont="1" applyFill="1" applyBorder="1"/>
    <xf numFmtId="169" fontId="0" fillId="12" borderId="0" xfId="0" applyNumberFormat="1" applyFill="1" applyAlignment="1">
      <alignment horizontal="center" vertical="top" wrapText="1"/>
    </xf>
    <xf numFmtId="9" fontId="0" fillId="14" borderId="10" xfId="0" applyNumberFormat="1" applyFill="1" applyBorder="1"/>
    <xf numFmtId="169" fontId="0" fillId="3" borderId="1" xfId="1" applyNumberFormat="1" applyFont="1" applyFill="1" applyBorder="1" applyAlignment="1">
      <alignment horizontal="center"/>
    </xf>
    <xf numFmtId="0" fontId="0" fillId="6" borderId="10" xfId="0" applyFill="1" applyBorder="1" applyAlignment="1">
      <alignment vertical="top" wrapText="1"/>
    </xf>
    <xf numFmtId="165" fontId="0" fillId="0" borderId="0" xfId="0" applyNumberFormat="1"/>
    <xf numFmtId="0" fontId="5" fillId="0" borderId="0" xfId="0" applyFont="1"/>
    <xf numFmtId="168" fontId="5" fillId="0" borderId="0" xfId="0" applyNumberFormat="1" applyFont="1"/>
    <xf numFmtId="0" fontId="0" fillId="0" borderId="0" xfId="0" applyAlignment="1">
      <alignment vertical="top" wrapText="1"/>
    </xf>
    <xf numFmtId="165" fontId="0" fillId="2" borderId="1" xfId="1" applyNumberFormat="1" applyFont="1" applyFill="1" applyBorder="1"/>
    <xf numFmtId="9" fontId="0" fillId="2" borderId="1" xfId="2" applyFont="1" applyFill="1" applyBorder="1"/>
    <xf numFmtId="0" fontId="5" fillId="0" borderId="0" xfId="0" applyFont="1" applyAlignment="1"/>
    <xf numFmtId="0" fontId="17" fillId="0" borderId="2" xfId="0" applyFont="1" applyBorder="1" applyAlignment="1">
      <alignment horizontal="center"/>
    </xf>
    <xf numFmtId="0" fontId="16" fillId="0" borderId="3" xfId="0" applyFont="1" applyBorder="1" applyAlignment="1">
      <alignment horizontal="center"/>
    </xf>
    <xf numFmtId="0" fontId="2" fillId="0" borderId="2" xfId="0" applyFont="1" applyBorder="1" applyAlignment="1">
      <alignment horizontal="center"/>
    </xf>
    <xf numFmtId="0" fontId="0" fillId="0" borderId="3" xfId="0" applyBorder="1" applyAlignment="1">
      <alignment horizontal="center"/>
    </xf>
    <xf numFmtId="0" fontId="15" fillId="0" borderId="6" xfId="0" applyFont="1" applyBorder="1" applyAlignment="1">
      <alignment horizontal="center" wrapText="1"/>
    </xf>
    <xf numFmtId="0" fontId="15" fillId="0" borderId="7" xfId="0" applyFont="1" applyBorder="1" applyAlignment="1">
      <alignment horizontal="center" wrapText="1"/>
    </xf>
  </cellXfs>
  <cellStyles count="3">
    <cellStyle name="Currency" xfId="1" builtinId="4"/>
    <cellStyle name="Normal" xfId="0" builtinId="0"/>
    <cellStyle name="Percent" xfId="2" builtinId="5"/>
  </cellStyles>
  <dxfs count="6">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s>
  <tableStyles count="0" defaultTableStyle="TableStyleMedium2" defaultPivotStyle="PivotStyleLight16"/>
  <colors>
    <mruColors>
      <color rgb="FFE1CF8F"/>
      <color rgb="FFBFBFBF"/>
      <color rgb="FFF2DDDC"/>
      <color rgb="FFD8D8D8"/>
      <color rgb="FFEAF1DD"/>
      <color rgb="FFCC9900"/>
      <color rgb="FF663300"/>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1"/>
          <c:tx>
            <c:strRef>
              <c:f>'Primary Details - Actual'!$C$2:$C$77</c:f>
              <c:strCache>
                <c:ptCount val="7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strCache>
            </c:strRef>
          </c:tx>
          <c:spPr>
            <a:solidFill>
              <a:srgbClr val="C00000"/>
            </a:solidFill>
          </c:spPr>
          <c:invertIfNegative val="0"/>
          <c:cat>
            <c:numRef>
              <c:f>'Primary Details - Actual'!$C$2:$C$77</c:f>
              <c:numCache>
                <c:formatCode>General</c:formatCode>
                <c:ptCount val="7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numCache>
            </c:numRef>
          </c:cat>
          <c:val>
            <c:numRef>
              <c:f>'Primary Details - Actual'!$G$2:$G$77</c:f>
              <c:numCache>
                <c:formatCode>_-"$"* #\ ##0_-;\-"$"* #\ ##0_-;_-"$"* "-"??_-;_-@_-</c:formatCode>
                <c:ptCount val="76"/>
                <c:pt idx="0">
                  <c:v>140000</c:v>
                </c:pt>
                <c:pt idx="1">
                  <c:v>143796.07843137253</c:v>
                </c:pt>
                <c:pt idx="2">
                  <c:v>147629.3733179546</c:v>
                </c:pt>
                <c:pt idx="3">
                  <c:v>151500.24952695414</c:v>
                </c:pt>
                <c:pt idx="4">
                  <c:v>155409.07550270858</c:v>
                </c:pt>
                <c:pt idx="5">
                  <c:v>159356.22330175474</c:v>
                </c:pt>
                <c:pt idx="6">
                  <c:v>163342.06862824253</c:v>
                </c:pt>
                <c:pt idx="7">
                  <c:v>167366.99086969587</c:v>
                </c:pt>
                <c:pt idx="8">
                  <c:v>171431.37313312426</c:v>
                </c:pt>
                <c:pt idx="9">
                  <c:v>175535.60228148822</c:v>
                </c:pt>
                <c:pt idx="10">
                  <c:v>179680.06897052241</c:v>
                </c:pt>
                <c:pt idx="11">
                  <c:v>183865.16768591967</c:v>
                </c:pt>
                <c:pt idx="12">
                  <c:v>188091.29678087967</c:v>
                </c:pt>
                <c:pt idx="13">
                  <c:v>192358.85851402555</c:v>
                </c:pt>
                <c:pt idx="14">
                  <c:v>196668.25908769245</c:v>
                </c:pt>
                <c:pt idx="15">
                  <c:v>201019.9086865914</c:v>
                </c:pt>
                <c:pt idx="16">
                  <c:v>205414.22151685209</c:v>
                </c:pt>
                <c:pt idx="17">
                  <c:v>209851.61584544869</c:v>
                </c:pt>
                <c:pt idx="18">
                  <c:v>214332.51404001191</c:v>
                </c:pt>
                <c:pt idx="19">
                  <c:v>218857.34260903162</c:v>
                </c:pt>
                <c:pt idx="20">
                  <c:v>223426.53224245348</c:v>
                </c:pt>
                <c:pt idx="21">
                  <c:v>228040.5178526736</c:v>
                </c:pt>
                <c:pt idx="22">
                  <c:v>232699.73861593509</c:v>
                </c:pt>
                <c:pt idx="23">
                  <c:v>237404.63801413053</c:v>
                </c:pt>
                <c:pt idx="24">
                  <c:v>242155.66387701416</c:v>
                </c:pt>
                <c:pt idx="25">
                  <c:v>246953.26842482801</c:v>
                </c:pt>
                <c:pt idx="26">
                  <c:v>251797.90831134593</c:v>
                </c:pt>
                <c:pt idx="27">
                  <c:v>256690.04466733951</c:v>
                </c:pt>
                <c:pt idx="28">
                  <c:v>261630.14314447029</c:v>
                </c:pt>
                <c:pt idx="29">
                  <c:v>266618.67395961215</c:v>
                </c:pt>
                <c:pt idx="30">
                  <c:v>271656.11193960835</c:v>
                </c:pt>
                <c:pt idx="31">
                  <c:v>276742.93656646722</c:v>
                </c:pt>
                <c:pt idx="32">
                  <c:v>281879.63202300121</c:v>
                </c:pt>
                <c:pt idx="33">
                  <c:v>287066.68723891297</c:v>
                </c:pt>
                <c:pt idx="34">
                  <c:v>292304.59593733365</c:v>
                </c:pt>
                <c:pt idx="35">
                  <c:v>297593.85668181733</c:v>
                </c:pt>
                <c:pt idx="36">
                  <c:v>302934.97292379593</c:v>
                </c:pt>
                <c:pt idx="37">
                  <c:v>308328.45305049978</c:v>
                </c:pt>
                <c:pt idx="38">
                  <c:v>313774.81043334783</c:v>
                </c:pt>
                <c:pt idx="39">
                  <c:v>319274.56347681204</c:v>
                </c:pt>
                <c:pt idx="40">
                  <c:v>324828.23566776118</c:v>
                </c:pt>
                <c:pt idx="41">
                  <c:v>305944.81366450392</c:v>
                </c:pt>
                <c:pt idx="42">
                  <c:v>287003.43834287568</c:v>
                </c:pt>
                <c:pt idx="43">
                  <c:v>268004.78837887174</c:v>
                </c:pt>
                <c:pt idx="44">
                  <c:v>248949.56132615192</c:v>
                </c:pt>
                <c:pt idx="45">
                  <c:v>229838.47392095864</c:v>
                </c:pt>
                <c:pt idx="46">
                  <c:v>210672.26239119927</c:v>
                </c:pt>
                <c:pt idx="47">
                  <c:v>191451.68276974518</c:v>
                </c:pt>
                <c:pt idx="48">
                  <c:v>172177.51121200045</c:v>
                </c:pt>
                <c:pt idx="49">
                  <c:v>152850.54431779383</c:v>
                </c:pt>
                <c:pt idx="50">
                  <c:v>133471.59945764812</c:v>
                </c:pt>
                <c:pt idx="51">
                  <c:v>114041.51510348207</c:v>
                </c:pt>
                <c:pt idx="52">
                  <c:v>94561.151163800125</c:v>
                </c:pt>
                <c:pt idx="53">
                  <c:v>75031.389323426265</c:v>
                </c:pt>
                <c:pt idx="54">
                  <c:v>55453.133387839021</c:v>
                </c:pt>
                <c:pt idx="55">
                  <c:v>35827.309632164965</c:v>
                </c:pt>
                <c:pt idx="56">
                  <c:v>16154.867154889087</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er>
        <c:ser>
          <c:idx val="1"/>
          <c:order val="0"/>
          <c:tx>
            <c:strRef>
              <c:f>'Primary Details - Hypothetical'!$C$2:$C$77</c:f>
              <c:strCache>
                <c:ptCount val="7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strCache>
            </c:strRef>
          </c:tx>
          <c:spPr>
            <a:solidFill>
              <a:srgbClr val="CC9900"/>
            </a:solidFill>
            <a:ln w="25400">
              <a:noFill/>
            </a:ln>
          </c:spPr>
          <c:invertIfNegative val="0"/>
          <c:cat>
            <c:numRef>
              <c:f>'Primary Details - Actual'!$C$2:$C$77</c:f>
              <c:numCache>
                <c:formatCode>General</c:formatCode>
                <c:ptCount val="7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numCache>
            </c:numRef>
          </c:cat>
          <c:val>
            <c:numRef>
              <c:f>'Primary Details - Hypothetical'!$K$2:$K$77</c:f>
              <c:numCache>
                <c:formatCode>_-"$"* #\ ##0_-;\-"$"* #\ ##0_-;_-"$"* "-"??_-;_-@_-</c:formatCode>
                <c:ptCount val="76"/>
                <c:pt idx="0">
                  <c:v>133135.70775647205</c:v>
                </c:pt>
                <c:pt idx="1">
                  <c:v>134440.95979330019</c:v>
                </c:pt>
                <c:pt idx="2">
                  <c:v>135759.0084187247</c:v>
                </c:pt>
                <c:pt idx="3">
                  <c:v>137089.97908949648</c:v>
                </c:pt>
                <c:pt idx="4">
                  <c:v>138433.99849233471</c:v>
                </c:pt>
                <c:pt idx="5">
                  <c:v>139791.19455598504</c:v>
                </c:pt>
                <c:pt idx="6">
                  <c:v>141161.69646339666</c:v>
                </c:pt>
                <c:pt idx="7">
                  <c:v>142545.6346640182</c:v>
                </c:pt>
                <c:pt idx="8">
                  <c:v>143943.14088621445</c:v>
                </c:pt>
                <c:pt idx="9">
                  <c:v>145354.34814980478</c:v>
                </c:pt>
                <c:pt idx="10">
                  <c:v>146779.39077872442</c:v>
                </c:pt>
                <c:pt idx="11">
                  <c:v>148218.40441380994</c:v>
                </c:pt>
                <c:pt idx="12">
                  <c:v>149671.52602571005</c:v>
                </c:pt>
                <c:pt idx="13">
                  <c:v>151138.89392792285</c:v>
                </c:pt>
                <c:pt idx="14">
                  <c:v>152620.64778996128</c:v>
                </c:pt>
                <c:pt idx="15">
                  <c:v>154116.92865064714</c:v>
                </c:pt>
                <c:pt idx="16">
                  <c:v>155627.87893153582</c:v>
                </c:pt>
                <c:pt idx="17">
                  <c:v>157153.6424504724</c:v>
                </c:pt>
                <c:pt idx="18">
                  <c:v>158694.36443528091</c:v>
                </c:pt>
                <c:pt idx="19">
                  <c:v>160250.19153758758</c:v>
                </c:pt>
                <c:pt idx="20">
                  <c:v>161821.27184677962</c:v>
                </c:pt>
                <c:pt idx="21">
                  <c:v>163407.75490410102</c:v>
                </c:pt>
                <c:pt idx="22">
                  <c:v>165009.79171688634</c:v>
                </c:pt>
                <c:pt idx="23">
                  <c:v>166627.53477293422</c:v>
                </c:pt>
                <c:pt idx="24">
                  <c:v>168261.13805502179</c:v>
                </c:pt>
                <c:pt idx="25">
                  <c:v>169910.75705556123</c:v>
                </c:pt>
                <c:pt idx="26">
                  <c:v>171576.54879140007</c:v>
                </c:pt>
                <c:pt idx="27">
                  <c:v>173258.67181876671</c:v>
                </c:pt>
                <c:pt idx="28">
                  <c:v>174957.28624836245</c:v>
                </c:pt>
                <c:pt idx="29">
                  <c:v>176672.55376060127</c:v>
                </c:pt>
                <c:pt idx="30">
                  <c:v>178404.6376209993</c:v>
                </c:pt>
                <c:pt idx="31">
                  <c:v>180153.70269571501</c:v>
                </c:pt>
                <c:pt idx="32">
                  <c:v>181919.9154672416</c:v>
                </c:pt>
                <c:pt idx="33">
                  <c:v>183703.44405025378</c:v>
                </c:pt>
                <c:pt idx="34">
                  <c:v>185504.45820760925</c:v>
                </c:pt>
                <c:pt idx="35">
                  <c:v>187323.12936650735</c:v>
                </c:pt>
                <c:pt idx="36">
                  <c:v>189159.63063480641</c:v>
                </c:pt>
                <c:pt idx="37">
                  <c:v>191014.13681750058</c:v>
                </c:pt>
                <c:pt idx="38">
                  <c:v>192886.82443335839</c:v>
                </c:pt>
                <c:pt idx="39">
                  <c:v>194777.87173172459</c:v>
                </c:pt>
                <c:pt idx="40">
                  <c:v>196687.45870948659</c:v>
                </c:pt>
                <c:pt idx="41">
                  <c:v>198615.76712820702</c:v>
                </c:pt>
                <c:pt idx="42">
                  <c:v>200562.98053142469</c:v>
                </c:pt>
                <c:pt idx="43">
                  <c:v>202529.28426212491</c:v>
                </c:pt>
                <c:pt idx="44">
                  <c:v>204514.86548038104</c:v>
                </c:pt>
                <c:pt idx="45">
                  <c:v>206519.91318116907</c:v>
                </c:pt>
                <c:pt idx="46">
                  <c:v>208544.61821235696</c:v>
                </c:pt>
                <c:pt idx="47">
                  <c:v>210589.17329287023</c:v>
                </c:pt>
                <c:pt idx="48">
                  <c:v>212653.77303103567</c:v>
                </c:pt>
                <c:pt idx="49">
                  <c:v>214738.6139431046</c:v>
                </c:pt>
                <c:pt idx="50">
                  <c:v>216843.89447195857</c:v>
                </c:pt>
                <c:pt idx="51">
                  <c:v>218969.81500599737</c:v>
                </c:pt>
                <c:pt idx="52">
                  <c:v>221116.57789821297</c:v>
                </c:pt>
                <c:pt idx="53">
                  <c:v>223284.38748545034</c:v>
                </c:pt>
                <c:pt idx="54">
                  <c:v>225473.45010785671</c:v>
                </c:pt>
                <c:pt idx="55">
                  <c:v>227683.97412852198</c:v>
                </c:pt>
                <c:pt idx="56">
                  <c:v>229916.16995331136</c:v>
                </c:pt>
                <c:pt idx="57">
                  <c:v>228607.02828723381</c:v>
                </c:pt>
                <c:pt idx="58">
                  <c:v>211120.46767497677</c:v>
                </c:pt>
                <c:pt idx="59">
                  <c:v>193612.59166545063</c:v>
                </c:pt>
                <c:pt idx="60">
                  <c:v>176084.6630633045</c:v>
                </c:pt>
                <c:pt idx="61">
                  <c:v>158537.97148283239</c:v>
                </c:pt>
                <c:pt idx="62">
                  <c:v>140973.83375227576</c:v>
                </c:pt>
                <c:pt idx="63">
                  <c:v>123393.59432347649</c:v>
                </c:pt>
                <c:pt idx="64">
                  <c:v>105798.62568694678</c:v>
                </c:pt>
                <c:pt idx="65">
                  <c:v>88190.328792422515</c:v>
                </c:pt>
                <c:pt idx="66">
                  <c:v>70570.133474967646</c:v>
                </c:pt>
                <c:pt idx="67">
                  <c:v>52939.498886698355</c:v>
                </c:pt>
                <c:pt idx="68">
                  <c:v>35299.913934195894</c:v>
                </c:pt>
                <c:pt idx="69">
                  <c:v>17652.897721678317</c:v>
                </c:pt>
                <c:pt idx="70">
                  <c:v>0</c:v>
                </c:pt>
                <c:pt idx="71">
                  <c:v>0</c:v>
                </c:pt>
                <c:pt idx="72">
                  <c:v>0</c:v>
                </c:pt>
                <c:pt idx="73">
                  <c:v>0</c:v>
                </c:pt>
                <c:pt idx="74">
                  <c:v>0</c:v>
                </c:pt>
                <c:pt idx="75">
                  <c:v>0</c:v>
                </c:pt>
              </c:numCache>
            </c:numRef>
          </c:val>
        </c:ser>
        <c:dLbls>
          <c:showLegendKey val="0"/>
          <c:showVal val="0"/>
          <c:showCatName val="0"/>
          <c:showSerName val="0"/>
          <c:showPercent val="0"/>
          <c:showBubbleSize val="0"/>
        </c:dLbls>
        <c:gapWidth val="150"/>
        <c:overlap val="100"/>
        <c:axId val="404992416"/>
        <c:axId val="404994768"/>
      </c:barChart>
      <c:catAx>
        <c:axId val="404992416"/>
        <c:scaling>
          <c:orientation val="minMax"/>
        </c:scaling>
        <c:delete val="0"/>
        <c:axPos val="b"/>
        <c:numFmt formatCode="General" sourceLinked="1"/>
        <c:majorTickMark val="out"/>
        <c:minorTickMark val="none"/>
        <c:tickLblPos val="nextTo"/>
        <c:txPr>
          <a:bodyPr/>
          <a:lstStyle/>
          <a:p>
            <a:pPr>
              <a:defRPr lang="en-CA"/>
            </a:pPr>
            <a:endParaRPr lang="fr-FR"/>
          </a:p>
        </c:txPr>
        <c:crossAx val="404994768"/>
        <c:crosses val="autoZero"/>
        <c:auto val="1"/>
        <c:lblAlgn val="ctr"/>
        <c:lblOffset val="100"/>
        <c:tickLblSkip val="5"/>
        <c:tickMarkSkip val="1"/>
        <c:noMultiLvlLbl val="0"/>
      </c:catAx>
      <c:valAx>
        <c:axId val="404994768"/>
        <c:scaling>
          <c:orientation val="minMax"/>
        </c:scaling>
        <c:delete val="0"/>
        <c:axPos val="l"/>
        <c:majorGridlines/>
        <c:numFmt formatCode="_-&quot;$&quot;* #\ ##0_-;\-&quot;$&quot;* #\ ##0_-;_-&quot;$&quot;* &quot;-&quot;??_-;_-@_-" sourceLinked="1"/>
        <c:majorTickMark val="out"/>
        <c:minorTickMark val="none"/>
        <c:tickLblPos val="nextTo"/>
        <c:txPr>
          <a:bodyPr/>
          <a:lstStyle/>
          <a:p>
            <a:pPr>
              <a:defRPr lang="en-CA"/>
            </a:pPr>
            <a:endParaRPr lang="fr-FR"/>
          </a:p>
        </c:txPr>
        <c:crossAx val="404992416"/>
        <c:crosses val="autoZero"/>
        <c:crossBetween val="between"/>
      </c:valAx>
    </c:plotArea>
    <c:plotVisOnly val="1"/>
    <c:dispBlanksAs val="zero"/>
    <c:showDLblsOverMax val="0"/>
  </c:chart>
  <c:printSettings>
    <c:headerFooter/>
    <c:pageMargins b="0.75000000000000544" l="0.70000000000000062" r="0.70000000000000062" t="0.75000000000000544" header="0.30000000000000032" footer="0.30000000000000032"/>
    <c:pageSetup/>
  </c:printSettings>
</c:chartSpac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checked="Checked" firstButton="1" fmlaLink="$B$70"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firstButton="1" fmlaLink="$B$73" lockText="1" noThreeD="1"/>
</file>

<file path=xl/ctrlProps/ctrlProp6.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13607</xdr:colOff>
      <xdr:row>3</xdr:row>
      <xdr:rowOff>40822</xdr:rowOff>
    </xdr:from>
    <xdr:to>
      <xdr:col>7</xdr:col>
      <xdr:colOff>1</xdr:colOff>
      <xdr:row>29</xdr:row>
      <xdr:rowOff>176893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3505200</xdr:colOff>
          <xdr:row>9</xdr:row>
          <xdr:rowOff>9525</xdr:rowOff>
        </xdr:from>
        <xdr:to>
          <xdr:col>1</xdr:col>
          <xdr:colOff>1438275</xdr:colOff>
          <xdr:row>10</xdr:row>
          <xdr:rowOff>0</xdr:rowOff>
        </xdr:to>
        <xdr:sp macro="" textlink="">
          <xdr:nvSpPr>
            <xdr:cNvPr id="1074" name="Group Box 50" hidden="1">
              <a:extLst>
                <a:ext uri="{63B3BB69-23CF-44E3-9099-C40C66FF867C}">
                  <a14:compatExt spid="_x0000_s107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9</xdr:row>
          <xdr:rowOff>85725</xdr:rowOff>
        </xdr:from>
        <xdr:to>
          <xdr:col>1</xdr:col>
          <xdr:colOff>638175</xdr:colOff>
          <xdr:row>9</xdr:row>
          <xdr:rowOff>371475</xdr:rowOff>
        </xdr:to>
        <xdr:sp macro="" textlink="">
          <xdr:nvSpPr>
            <xdr:cNvPr id="1075" name="Option Button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A" sz="800" b="0" i="0" u="none" strike="noStrike" baseline="0">
                  <a:solidFill>
                    <a:srgbClr val="000000"/>
                  </a:solidFill>
                  <a:latin typeface="Tahoma"/>
                  <a:ea typeface="Tahoma"/>
                  <a:cs typeface="Tahoma"/>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762000</xdr:colOff>
          <xdr:row>9</xdr:row>
          <xdr:rowOff>123825</xdr:rowOff>
        </xdr:from>
        <xdr:to>
          <xdr:col>1</xdr:col>
          <xdr:colOff>1181100</xdr:colOff>
          <xdr:row>9</xdr:row>
          <xdr:rowOff>342900</xdr:rowOff>
        </xdr:to>
        <xdr:sp macro="" textlink="">
          <xdr:nvSpPr>
            <xdr:cNvPr id="1076" name="Option Button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A"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9525</xdr:rowOff>
        </xdr:from>
        <xdr:to>
          <xdr:col>2</xdr:col>
          <xdr:colOff>1476375</xdr:colOff>
          <xdr:row>10</xdr:row>
          <xdr:rowOff>9525</xdr:rowOff>
        </xdr:to>
        <xdr:sp macro="" textlink="">
          <xdr:nvSpPr>
            <xdr:cNvPr id="1078" name="Group Box 54" hidden="1">
              <a:extLst>
                <a:ext uri="{63B3BB69-23CF-44E3-9099-C40C66FF867C}">
                  <a14:compatExt spid="_x0000_s107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9</xdr:row>
          <xdr:rowOff>114300</xdr:rowOff>
        </xdr:from>
        <xdr:to>
          <xdr:col>2</xdr:col>
          <xdr:colOff>428625</xdr:colOff>
          <xdr:row>9</xdr:row>
          <xdr:rowOff>333375</xdr:rowOff>
        </xdr:to>
        <xdr:sp macro="" textlink="">
          <xdr:nvSpPr>
            <xdr:cNvPr id="1079" name="Option Button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A" sz="800" b="0" i="0" u="none" strike="noStrike" baseline="0">
                  <a:solidFill>
                    <a:srgbClr val="000000"/>
                  </a:solidFill>
                  <a:latin typeface="Tahoma"/>
                  <a:ea typeface="Tahoma"/>
                  <a:cs typeface="Tahoma"/>
                </a:rPr>
                <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781050</xdr:colOff>
          <xdr:row>9</xdr:row>
          <xdr:rowOff>123825</xdr:rowOff>
        </xdr:from>
        <xdr:to>
          <xdr:col>2</xdr:col>
          <xdr:colOff>1123950</xdr:colOff>
          <xdr:row>9</xdr:row>
          <xdr:rowOff>342900</xdr:rowOff>
        </xdr:to>
        <xdr:sp macro="" textlink="">
          <xdr:nvSpPr>
            <xdr:cNvPr id="1080" name="Option Button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A" sz="800" b="0" i="0" u="none" strike="noStrike" baseline="0">
                  <a:solidFill>
                    <a:srgbClr val="000000"/>
                  </a:solidFill>
                  <a:latin typeface="Tahoma"/>
                  <a:ea typeface="Tahoma"/>
                  <a:cs typeface="Tahoma"/>
                </a:rPr>
                <a:t>%</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J90"/>
  <sheetViews>
    <sheetView tabSelected="1" zoomScale="70" zoomScaleNormal="70" workbookViewId="0">
      <selection activeCell="A46" sqref="A46"/>
    </sheetView>
  </sheetViews>
  <sheetFormatPr defaultRowHeight="15" x14ac:dyDescent="0.25"/>
  <cols>
    <col min="1" max="1" width="52.7109375" customWidth="1"/>
    <col min="2" max="2" width="21.7109375" customWidth="1"/>
    <col min="3" max="3" width="22.28515625" customWidth="1"/>
    <col min="4" max="4" width="20.5703125" customWidth="1"/>
    <col min="5" max="5" width="30.42578125" customWidth="1"/>
    <col min="6" max="6" width="41.140625" customWidth="1"/>
    <col min="7" max="7" width="70.140625" customWidth="1"/>
    <col min="8" max="8" width="13.5703125" bestFit="1" customWidth="1"/>
    <col min="10" max="10" width="11" bestFit="1" customWidth="1"/>
  </cols>
  <sheetData>
    <row r="1" spans="1:8" x14ac:dyDescent="0.25">
      <c r="A1" s="88" t="s">
        <v>51</v>
      </c>
      <c r="B1" s="88"/>
      <c r="E1" s="88" t="s">
        <v>40</v>
      </c>
      <c r="F1" s="88"/>
      <c r="G1" s="88"/>
    </row>
    <row r="2" spans="1:8" ht="18.75" customHeight="1" x14ac:dyDescent="0.3">
      <c r="A2" s="83" t="s">
        <v>97</v>
      </c>
      <c r="B2" s="3" t="s">
        <v>101</v>
      </c>
      <c r="E2" s="11" t="str">
        <f>"You will need to save " &amp;TEXT(B45,"$#,###")&amp;" for your retirement"</f>
        <v>You will need to save $521515,694 for your retirement</v>
      </c>
      <c r="G2" s="85" t="str">
        <f>IF(F34=1,"To make up for your shortfall, you can contribute: "&amp;TEXT(B50,"$#,###")&amp;" monthly",IF(F34=2,"Congratulations. You are on track to reach your retirement savings goal.",IF(F34=3,"Congratulations. You are on track to reach your retirement savings goal.")))</f>
        <v>To make up for your shortfall, you can contribute: $533,369 monthly</v>
      </c>
      <c r="H2" s="85"/>
    </row>
    <row r="3" spans="1:8" ht="18.75" x14ac:dyDescent="0.3">
      <c r="A3" s="91" t="s">
        <v>5</v>
      </c>
      <c r="B3" s="92"/>
      <c r="C3" s="83" t="s">
        <v>96</v>
      </c>
      <c r="E3" s="11" t="str">
        <f>IF(B2="No","","Your spouse will need to save " &amp;TEXT(C45,"$#,###")&amp;" for their retirement")</f>
        <v>Your spouse will need to save $650522,469 for their retirement</v>
      </c>
      <c r="G3" s="85" t="str">
        <f>IF(B2="No","",IF(F35=1,"Your spouce can make up for the shortfall, by contributing: "&amp;TEXT(C50,"$#,###")&amp;" monthly",IF(F35=2,"Congratulations. You are on track to reach your retirement savings goal.",IF(F35=3,"Congratulations. You are on track to reach your retirement savings goal."))))</f>
        <v>Your spouce can make up for the shortfall, by contributing: $752,025 monthly</v>
      </c>
      <c r="H3" s="85"/>
    </row>
    <row r="4" spans="1:8" ht="15" customHeight="1" x14ac:dyDescent="0.25">
      <c r="A4" s="1" t="s">
        <v>0</v>
      </c>
      <c r="B4" s="3">
        <v>25</v>
      </c>
      <c r="C4" s="3">
        <v>25</v>
      </c>
      <c r="G4" s="85"/>
      <c r="H4" s="85"/>
    </row>
    <row r="5" spans="1:8" x14ac:dyDescent="0.25">
      <c r="A5" s="1" t="s">
        <v>1</v>
      </c>
      <c r="B5" s="3">
        <v>65</v>
      </c>
      <c r="C5" s="3">
        <v>65</v>
      </c>
      <c r="G5" s="85"/>
      <c r="H5" s="85"/>
    </row>
    <row r="6" spans="1:8" ht="15.75" x14ac:dyDescent="0.25">
      <c r="A6" s="1" t="s">
        <v>2</v>
      </c>
      <c r="B6" s="3">
        <v>30</v>
      </c>
      <c r="C6" s="3">
        <v>20</v>
      </c>
      <c r="G6" s="65"/>
      <c r="H6" s="65"/>
    </row>
    <row r="7" spans="1:8" ht="15.75" x14ac:dyDescent="0.25">
      <c r="A7" s="1" t="s">
        <v>3</v>
      </c>
      <c r="B7" s="2">
        <v>55000</v>
      </c>
      <c r="C7" s="2">
        <v>100000</v>
      </c>
      <c r="G7" s="65"/>
      <c r="H7" s="65"/>
    </row>
    <row r="8" spans="1:8" ht="15.75" x14ac:dyDescent="0.25">
      <c r="A8" s="1" t="s">
        <v>4</v>
      </c>
      <c r="B8" s="2">
        <v>35000</v>
      </c>
      <c r="C8" s="2">
        <v>35000</v>
      </c>
      <c r="F8" s="65"/>
    </row>
    <row r="9" spans="1:8" ht="15" customHeight="1" x14ac:dyDescent="0.25">
      <c r="B9" s="87">
        <v>0.7</v>
      </c>
      <c r="C9" s="87">
        <v>0.5</v>
      </c>
      <c r="F9" s="65"/>
    </row>
    <row r="10" spans="1:8" ht="34.5" customHeight="1" x14ac:dyDescent="0.25">
      <c r="F10" s="65"/>
    </row>
    <row r="11" spans="1:8" ht="15.75" x14ac:dyDescent="0.25">
      <c r="A11" s="91" t="s">
        <v>6</v>
      </c>
      <c r="B11" s="92"/>
      <c r="C11" s="84" t="s">
        <v>96</v>
      </c>
    </row>
    <row r="12" spans="1:8" x14ac:dyDescent="0.25">
      <c r="A12" s="59" t="s">
        <v>7</v>
      </c>
      <c r="B12" s="86">
        <v>6846.24</v>
      </c>
      <c r="C12" s="86">
        <v>6846.24</v>
      </c>
    </row>
    <row r="13" spans="1:8" x14ac:dyDescent="0.25">
      <c r="A13" s="59" t="s">
        <v>8</v>
      </c>
      <c r="B13" s="2">
        <v>6000</v>
      </c>
      <c r="C13" s="2">
        <v>6000</v>
      </c>
    </row>
    <row r="14" spans="1:8" x14ac:dyDescent="0.25">
      <c r="A14" s="59" t="s">
        <v>9</v>
      </c>
      <c r="B14" s="66">
        <v>100</v>
      </c>
      <c r="C14" s="66">
        <v>100</v>
      </c>
    </row>
    <row r="15" spans="1:8" x14ac:dyDescent="0.25">
      <c r="A15" s="59" t="s">
        <v>10</v>
      </c>
      <c r="B15" s="66">
        <v>100</v>
      </c>
      <c r="C15" s="66">
        <v>100</v>
      </c>
    </row>
    <row r="16" spans="1:8" x14ac:dyDescent="0.25">
      <c r="A16" s="59" t="s">
        <v>11</v>
      </c>
      <c r="B16" s="66">
        <v>100</v>
      </c>
      <c r="C16" s="66">
        <v>100</v>
      </c>
    </row>
    <row r="18" spans="1:10" ht="15.75" x14ac:dyDescent="0.25">
      <c r="A18" s="91" t="s">
        <v>12</v>
      </c>
      <c r="B18" s="92"/>
      <c r="C18" s="83" t="s">
        <v>96</v>
      </c>
    </row>
    <row r="19" spans="1:10" x14ac:dyDescent="0.25">
      <c r="A19" s="1" t="s">
        <v>13</v>
      </c>
      <c r="B19" s="2">
        <v>50000</v>
      </c>
      <c r="C19" s="2">
        <v>50000</v>
      </c>
    </row>
    <row r="20" spans="1:10" x14ac:dyDescent="0.25">
      <c r="A20" s="1" t="s">
        <v>88</v>
      </c>
      <c r="B20" s="2">
        <v>100</v>
      </c>
      <c r="C20" s="2">
        <v>100</v>
      </c>
    </row>
    <row r="21" spans="1:10" x14ac:dyDescent="0.25">
      <c r="B21" s="80">
        <f>B20*12</f>
        <v>1200</v>
      </c>
      <c r="C21" s="80">
        <f>C20*12</f>
        <v>1200</v>
      </c>
    </row>
    <row r="22" spans="1:10" x14ac:dyDescent="0.25">
      <c r="A22" s="1" t="s">
        <v>86</v>
      </c>
      <c r="B22" s="2">
        <v>50000</v>
      </c>
      <c r="C22" s="2">
        <v>50000</v>
      </c>
    </row>
    <row r="23" spans="1:10" x14ac:dyDescent="0.25">
      <c r="A23" s="1" t="s">
        <v>87</v>
      </c>
      <c r="B23" s="2">
        <v>100</v>
      </c>
      <c r="C23" s="2">
        <v>100</v>
      </c>
    </row>
    <row r="24" spans="1:10" x14ac:dyDescent="0.25">
      <c r="B24" s="80">
        <f>B23*12</f>
        <v>1200</v>
      </c>
      <c r="C24" s="80">
        <f>C23*12</f>
        <v>1200</v>
      </c>
      <c r="J24" s="6"/>
    </row>
    <row r="25" spans="1:10" x14ac:dyDescent="0.25">
      <c r="A25" s="1" t="s">
        <v>89</v>
      </c>
      <c r="B25" s="2">
        <v>40000</v>
      </c>
      <c r="C25" s="2">
        <v>40000</v>
      </c>
    </row>
    <row r="26" spans="1:10" x14ac:dyDescent="0.25">
      <c r="A26" s="1" t="s">
        <v>90</v>
      </c>
      <c r="B26" s="2">
        <v>0</v>
      </c>
      <c r="C26" s="2">
        <v>0</v>
      </c>
    </row>
    <row r="27" spans="1:10" x14ac:dyDescent="0.25">
      <c r="B27" s="80">
        <f>B26*12</f>
        <v>0</v>
      </c>
      <c r="C27" s="80">
        <f>C26*12</f>
        <v>0</v>
      </c>
    </row>
    <row r="28" spans="1:10" ht="15" customHeight="1" x14ac:dyDescent="0.25"/>
    <row r="29" spans="1:10" ht="15.75" customHeight="1" x14ac:dyDescent="0.25"/>
    <row r="30" spans="1:10" ht="15" customHeight="1" x14ac:dyDescent="0.25">
      <c r="A30" s="1" t="s">
        <v>15</v>
      </c>
      <c r="B30" s="12">
        <v>0.03</v>
      </c>
    </row>
    <row r="31" spans="1:10" x14ac:dyDescent="0.25">
      <c r="A31" s="1" t="s">
        <v>16</v>
      </c>
      <c r="B31" s="2">
        <v>23820</v>
      </c>
      <c r="E31" s="15" t="str">
        <f>IF(F34=8,"Income Goal","Savings Goal")</f>
        <v>Savings Goal</v>
      </c>
      <c r="F31" s="14" t="str">
        <f>IF(F34=8,"Actual Income","Actual Savings")</f>
        <v>Actual Savings</v>
      </c>
      <c r="G31" s="16" t="s">
        <v>60</v>
      </c>
    </row>
    <row r="32" spans="1:10" ht="30" x14ac:dyDescent="0.25">
      <c r="B32" s="80">
        <f ca="1">MIN(B54,B7*B55)</f>
        <v>9900</v>
      </c>
      <c r="E32" s="63" t="str">
        <f>IF($F$34=8,"Yearly",TEXT($B$45,"$#,###") &amp;" will yield an annual income of "&amp;TEXT($B$46,"$#,###")&amp;" over " &amp;TEXT($B$6,"#") &amp;" years.")</f>
        <v>$521515,694 will yield an annual income of $19954,28 over 30 years.</v>
      </c>
      <c r="F32" s="64" t="str">
        <f>IF($F$34=8,"Yearly",TEXT($B$40,"$#,###") &amp;" will yield an annual income of " &amp;TEXT($B$41,"$#,###")&amp;" over " &amp;TEXT($B$6,"#") &amp;" years.")</f>
        <v>$324828,236 will yield an annual income of $12428,607 over 30 years.</v>
      </c>
      <c r="G32" s="78" t="str">
        <f>IF($F$34=8,"Yearly",IF($F$34=0," ",TEXT(ROUND($B$47-$B$45,0),"$#,###")))</f>
        <v>-$196687,</v>
      </c>
    </row>
    <row r="33" spans="1:7" ht="30" customHeight="1" x14ac:dyDescent="0.25">
      <c r="A33" s="91" t="s">
        <v>17</v>
      </c>
      <c r="B33" s="92"/>
      <c r="E33" s="63" t="str">
        <f>IF(B2="No","",IF($F$35=8,"Yearly",TEXT($C$45,"$#,###") &amp;" will yield an annual income of "&amp;TEXT($C$46,"$#,###")&amp;" over " &amp;TEXT($C$6,"#") &amp;" years."))</f>
        <v>$650522,469 will yield an annual income of $35628,48 over 20 years.</v>
      </c>
      <c r="F33" s="64" t="str">
        <f>IF(B2="No","",IF($F$35=8,"Yearly",TEXT($C$40,"$#,###") &amp;" will yield an annual income of " &amp;TEXT($C$41,"$#,###")&amp;" over " &amp;TEXT($C$6,"#") &amp;" years."))</f>
        <v>$324828,236 will yield an annual income of $17790,525 over 20 years.</v>
      </c>
      <c r="G33" s="78" t="str">
        <f>IF(B2="No","",IF($F$35=8,"Yearly",IF($F$34=0," ",TEXT(ROUND($C$47-$C$45,0),"$#,###"))))</f>
        <v>-$325694,</v>
      </c>
    </row>
    <row r="34" spans="1:7" x14ac:dyDescent="0.25">
      <c r="A34" s="1" t="s">
        <v>18</v>
      </c>
      <c r="B34" s="12">
        <v>0.02</v>
      </c>
      <c r="E34" s="45" t="s">
        <v>98</v>
      </c>
      <c r="F34" s="46">
        <f>IF(B43&gt;B47,1,IF(B43=B47,3,2))</f>
        <v>1</v>
      </c>
    </row>
    <row r="35" spans="1:7" x14ac:dyDescent="0.25">
      <c r="A35" s="52"/>
      <c r="B35" s="53"/>
      <c r="E35" s="45" t="str">
        <f>IF(B2="No","","Scenario Spouse")</f>
        <v>Scenario Spouse</v>
      </c>
      <c r="F35" s="46">
        <f>IF(B2="No","",IF(C43&gt;C47,1,IF(C43=C47,3,2)))</f>
        <v>1</v>
      </c>
    </row>
    <row r="36" spans="1:7" x14ac:dyDescent="0.25">
      <c r="A36" s="52"/>
      <c r="B36" s="53"/>
      <c r="C36" s="6"/>
    </row>
    <row r="37" spans="1:7" x14ac:dyDescent="0.25">
      <c r="A37" s="52"/>
      <c r="B37" s="53"/>
      <c r="C37" s="23"/>
    </row>
    <row r="38" spans="1:7" x14ac:dyDescent="0.25">
      <c r="C38" s="23"/>
    </row>
    <row r="39" spans="1:7" ht="15.75" x14ac:dyDescent="0.25">
      <c r="A39" s="91" t="s">
        <v>19</v>
      </c>
      <c r="B39" s="92"/>
      <c r="C39" s="83" t="s">
        <v>96</v>
      </c>
    </row>
    <row r="40" spans="1:7" x14ac:dyDescent="0.25">
      <c r="A40" s="13" t="s">
        <v>43</v>
      </c>
      <c r="B40" s="58">
        <f>VLOOKUP(0,'Primary Details - Actual'!B2:G102,6)</f>
        <v>324828.23566776118</v>
      </c>
      <c r="C40" s="58">
        <f>VLOOKUP(0,'Spouse Details - Actual'!B2:G102,6)</f>
        <v>324828.23566776118</v>
      </c>
    </row>
    <row r="41" spans="1:7" x14ac:dyDescent="0.25">
      <c r="A41" s="13" t="s">
        <v>42</v>
      </c>
      <c r="B41" s="62">
        <f>PMT(B56,B6,-B40,0,1)</f>
        <v>12428.607128232044</v>
      </c>
      <c r="C41" s="62">
        <f>PMT($B$56,C6,-C40,0,1)</f>
        <v>17790.524994404361</v>
      </c>
    </row>
    <row r="42" spans="1:7" x14ac:dyDescent="0.25">
      <c r="A42" s="13" t="s">
        <v>71</v>
      </c>
      <c r="B42" s="61">
        <f>B41+B12+B13+B14+B15+B16</f>
        <v>25574.847128232046</v>
      </c>
      <c r="C42" s="61">
        <f>C41+C12+C13+C14+C15+C16</f>
        <v>30936.764994404359</v>
      </c>
    </row>
    <row r="43" spans="1:7" x14ac:dyDescent="0.25">
      <c r="A43" s="17" t="s">
        <v>52</v>
      </c>
      <c r="B43" s="18">
        <f>MAX(-SUM('Primary Details - Actual'!S:S),0)</f>
        <v>521515.69437724643</v>
      </c>
      <c r="C43" s="18">
        <f>MAX(-SUM('Spouse Details - Actual'!S:S),0)</f>
        <v>650522.46857501287</v>
      </c>
    </row>
    <row r="44" spans="1:7" x14ac:dyDescent="0.25">
      <c r="A44" s="17" t="s">
        <v>49</v>
      </c>
      <c r="B44" s="18">
        <f>MAX(PV(B56,B5-B4,B21+B24+B27,-B43,1),0)</f>
        <v>273135.70775647205</v>
      </c>
      <c r="C44" s="18">
        <f>MAX(PV($B$56,C5-C4,C21+C24+C27,-C43,1),0)</f>
        <v>360459.05974287214</v>
      </c>
    </row>
    <row r="45" spans="1:7" x14ac:dyDescent="0.25">
      <c r="A45" s="17" t="s">
        <v>102</v>
      </c>
      <c r="B45" s="18">
        <f>MAX(-SUM('Primary Details - Actual'!S:S),0)</f>
        <v>521515.69437724643</v>
      </c>
      <c r="C45" s="18">
        <f>MAX(-SUM('Spouse Details - Actual'!S:S),0)</f>
        <v>650522.46857501287</v>
      </c>
    </row>
    <row r="46" spans="1:7" x14ac:dyDescent="0.25">
      <c r="A46" s="17" t="s">
        <v>50</v>
      </c>
      <c r="B46" s="18">
        <f>PMT(B56,B6,-B45,0,1)</f>
        <v>19954.28033926064</v>
      </c>
      <c r="C46" s="18">
        <f>PMT($B$56,C6,-C45,0,1)</f>
        <v>35628.479811227233</v>
      </c>
    </row>
    <row r="47" spans="1:7" x14ac:dyDescent="0.25">
      <c r="A47" s="17" t="s">
        <v>47</v>
      </c>
      <c r="B47" s="18">
        <f>FV(B56,B5-B4,-B21-B24-B27,-B19-B22-B25,1)</f>
        <v>324828.23566775996</v>
      </c>
      <c r="C47" s="18">
        <f>FV($B$56,C5-C4,-C21-C24-C27,-C19-C22-C25,1)</f>
        <v>324828.23566775996</v>
      </c>
    </row>
    <row r="48" spans="1:7" x14ac:dyDescent="0.25">
      <c r="A48" s="17" t="s">
        <v>60</v>
      </c>
      <c r="B48" s="18">
        <f>B40-B43</f>
        <v>-196687.45870948525</v>
      </c>
      <c r="C48" s="18">
        <f>C40-C43</f>
        <v>-325694.23290725169</v>
      </c>
      <c r="E48" s="21"/>
      <c r="F48" s="21"/>
    </row>
    <row r="49" spans="1:5" x14ac:dyDescent="0.25">
      <c r="A49" s="17" t="s">
        <v>48</v>
      </c>
      <c r="B49" s="57">
        <f>PMT(B56,B5-B4,0,B48,1)/12</f>
        <v>333.36901290997378</v>
      </c>
      <c r="C49" s="57">
        <f>PMT($B$56,C5-C4,0,C48,1)/12</f>
        <v>552.02485022257031</v>
      </c>
    </row>
    <row r="50" spans="1:5" x14ac:dyDescent="0.25">
      <c r="A50" s="81" t="s">
        <v>95</v>
      </c>
      <c r="B50" s="82">
        <f>B49+B20+B23+B26</f>
        <v>533.36901290997378</v>
      </c>
      <c r="C50" s="82">
        <f>C49+C20+C23+C26</f>
        <v>752.02485022257031</v>
      </c>
    </row>
    <row r="51" spans="1:5" x14ac:dyDescent="0.25">
      <c r="B51" s="51">
        <f>B50*12</f>
        <v>6400.4281549196858</v>
      </c>
      <c r="C51" s="51">
        <f>C50*12</f>
        <v>9024.2982026708432</v>
      </c>
    </row>
    <row r="52" spans="1:5" x14ac:dyDescent="0.25">
      <c r="C52" s="23"/>
    </row>
    <row r="53" spans="1:5" ht="15.75" x14ac:dyDescent="0.25">
      <c r="A53" s="89" t="s">
        <v>28</v>
      </c>
      <c r="B53" s="90"/>
    </row>
    <row r="54" spans="1:5" x14ac:dyDescent="0.25">
      <c r="A54" s="52" t="s">
        <v>16</v>
      </c>
      <c r="B54" s="54">
        <f ca="1">VLOOKUP(YEAR(NOW()),MISC!C4:D35,2,0)</f>
        <v>24270</v>
      </c>
      <c r="C54" s="7"/>
      <c r="D54" s="20"/>
    </row>
    <row r="55" spans="1:5" x14ac:dyDescent="0.25">
      <c r="A55" s="52" t="s">
        <v>27</v>
      </c>
      <c r="B55" s="55">
        <v>0.18</v>
      </c>
    </row>
    <row r="56" spans="1:5" x14ac:dyDescent="0.25">
      <c r="A56" s="59" t="s">
        <v>44</v>
      </c>
      <c r="B56" s="60">
        <f>(1+B30)/(1+$B$34)-1</f>
        <v>9.8039215686274161E-3</v>
      </c>
    </row>
    <row r="57" spans="1:5" x14ac:dyDescent="0.25">
      <c r="A57" s="26"/>
      <c r="B57" s="24"/>
      <c r="E57" s="20"/>
    </row>
    <row r="58" spans="1:5" x14ac:dyDescent="0.25">
      <c r="A58" s="47"/>
      <c r="B58" s="25"/>
      <c r="E58" s="20"/>
    </row>
    <row r="59" spans="1:5" x14ac:dyDescent="0.25">
      <c r="A59" s="50" t="s">
        <v>91</v>
      </c>
      <c r="B59" s="48">
        <f>IF(AND($B$5&gt;=60,$B$5&lt;=70),$B$5,IF(B5&lt;60,60,IF(B5&gt;70,70,0)))</f>
        <v>65</v>
      </c>
      <c r="E59" s="20"/>
    </row>
    <row r="60" spans="1:5" x14ac:dyDescent="0.25">
      <c r="A60" s="50" t="s">
        <v>92</v>
      </c>
      <c r="B60" s="49">
        <f>MIN(67,B5)</f>
        <v>65</v>
      </c>
      <c r="E60" s="20"/>
    </row>
    <row r="61" spans="1:5" x14ac:dyDescent="0.25">
      <c r="A61" s="50" t="s">
        <v>93</v>
      </c>
      <c r="B61" s="48">
        <v>65</v>
      </c>
    </row>
    <row r="62" spans="1:5" x14ac:dyDescent="0.25">
      <c r="A62" s="50" t="s">
        <v>94</v>
      </c>
      <c r="B62" s="49">
        <v>65</v>
      </c>
    </row>
    <row r="67" spans="1:5" x14ac:dyDescent="0.25">
      <c r="E67" s="22"/>
    </row>
    <row r="69" spans="1:5" x14ac:dyDescent="0.25">
      <c r="A69" s="32" t="s">
        <v>99</v>
      </c>
      <c r="B69" s="32">
        <f>IF(B70=2,B9*B7,B8)</f>
        <v>35000</v>
      </c>
    </row>
    <row r="70" spans="1:5" x14ac:dyDescent="0.25">
      <c r="A70" s="32" t="s">
        <v>100</v>
      </c>
      <c r="B70" s="32">
        <v>1</v>
      </c>
      <c r="D70" s="20"/>
    </row>
    <row r="71" spans="1:5" x14ac:dyDescent="0.25">
      <c r="D71" s="7"/>
    </row>
    <row r="72" spans="1:5" x14ac:dyDescent="0.25">
      <c r="A72" s="32" t="s">
        <v>99</v>
      </c>
      <c r="B72" s="32">
        <f>IF(B73=2,C9*C7,C8)</f>
        <v>50000</v>
      </c>
    </row>
    <row r="73" spans="1:5" x14ac:dyDescent="0.25">
      <c r="A73" s="32" t="s">
        <v>100</v>
      </c>
      <c r="B73" s="32">
        <v>2</v>
      </c>
      <c r="D73" s="23"/>
    </row>
    <row r="74" spans="1:5" x14ac:dyDescent="0.25">
      <c r="D74" s="23"/>
    </row>
    <row r="75" spans="1:5" x14ac:dyDescent="0.25">
      <c r="A75" s="28"/>
      <c r="B75" s="27"/>
      <c r="C75" s="27"/>
    </row>
    <row r="76" spans="1:5" x14ac:dyDescent="0.25">
      <c r="A76" s="31"/>
      <c r="B76" s="31" t="s">
        <v>56</v>
      </c>
      <c r="C76" s="32" t="s">
        <v>55</v>
      </c>
    </row>
    <row r="77" spans="1:5" x14ac:dyDescent="0.25">
      <c r="A77" s="32"/>
      <c r="B77" s="33"/>
      <c r="C77" s="32"/>
    </row>
    <row r="78" spans="1:5" x14ac:dyDescent="0.25">
      <c r="A78" s="32" t="s">
        <v>61</v>
      </c>
      <c r="B78" s="34">
        <f>FV(B56,B6,-49850,0,1)</f>
        <v>1745854.570143369</v>
      </c>
      <c r="C78" s="35">
        <f>FV(B56,B6,-49850,0,0)</f>
        <v>1728904.5257730451</v>
      </c>
    </row>
    <row r="79" spans="1:5" x14ac:dyDescent="0.25">
      <c r="A79" s="33" t="s">
        <v>62</v>
      </c>
      <c r="B79" s="33">
        <f>B78/(1+B56)^B6</f>
        <v>1302856.1753517431</v>
      </c>
      <c r="C79" s="36">
        <f>C78/(1+B56)^B6</f>
        <v>1290207.0862706583</v>
      </c>
    </row>
    <row r="80" spans="1:5" x14ac:dyDescent="0.25">
      <c r="A80" s="33" t="s">
        <v>63</v>
      </c>
      <c r="B80" s="37">
        <f>PMT(B56,B6,-B79,0,1)</f>
        <v>49849.999999999738</v>
      </c>
      <c r="C80" s="37">
        <f>PMT(B56,B6,-C79,0,0)</f>
        <v>49849.999999999753</v>
      </c>
    </row>
    <row r="81" spans="1:3" x14ac:dyDescent="0.25">
      <c r="A81" s="32"/>
      <c r="B81" s="32"/>
      <c r="C81" s="33"/>
    </row>
    <row r="82" spans="1:3" x14ac:dyDescent="0.25">
      <c r="A82" s="32"/>
      <c r="B82" s="32"/>
      <c r="C82" s="33"/>
    </row>
    <row r="83" spans="1:3" x14ac:dyDescent="0.25">
      <c r="A83" s="33" t="s">
        <v>64</v>
      </c>
      <c r="B83" s="33">
        <f>FV(B56,B5-B4,0,-B19-B22-B25,1)</f>
        <v>206828.39099557421</v>
      </c>
      <c r="C83" s="33">
        <f>FV(B56,B5-B4,0,-B19-B22-B25,0)</f>
        <v>206828.39099557421</v>
      </c>
    </row>
    <row r="84" spans="1:3" x14ac:dyDescent="0.25">
      <c r="A84" s="33" t="s">
        <v>65</v>
      </c>
      <c r="B84" s="33">
        <f>FV(B56,B5-B4,-B21-B24-B27,0,1)</f>
        <v>117999.84467218575</v>
      </c>
      <c r="C84" s="33">
        <f>FV(B56,B5-B4,-B21-B24-B27,0,0)</f>
        <v>116854.21511226162</v>
      </c>
    </row>
    <row r="85" spans="1:3" x14ac:dyDescent="0.25">
      <c r="A85" s="33" t="s">
        <v>57</v>
      </c>
      <c r="B85" s="33">
        <f>SUM(B83:B84)</f>
        <v>324828.23566775996</v>
      </c>
      <c r="C85" s="33">
        <f>SUM(C83:C84)</f>
        <v>323682.60610783583</v>
      </c>
    </row>
    <row r="86" spans="1:3" x14ac:dyDescent="0.25">
      <c r="A86" s="33" t="s">
        <v>58</v>
      </c>
      <c r="B86" s="38">
        <f>PMT(B56,B6,-B85,0,1)</f>
        <v>12428.607128231995</v>
      </c>
      <c r="C86" s="37">
        <f>PMT(B56,B6,-C85,0,1)</f>
        <v>12384.772947113117</v>
      </c>
    </row>
    <row r="87" spans="1:3" x14ac:dyDescent="0.25">
      <c r="A87" s="32"/>
      <c r="B87" s="32"/>
      <c r="C87" s="32"/>
    </row>
    <row r="88" spans="1:3" x14ac:dyDescent="0.25">
      <c r="A88" s="33" t="s">
        <v>59</v>
      </c>
      <c r="B88" s="35">
        <f>FV(B56,B6,-(B15+B14+B13+B12+B16),-B85,1)</f>
        <v>895686.33379221591</v>
      </c>
      <c r="C88" s="35">
        <f>FV(B56,B6,-(B15+B14+B13+B12+B16),-C85,1)</f>
        <v>894151.16618068353</v>
      </c>
    </row>
    <row r="89" spans="1:3" x14ac:dyDescent="0.25">
      <c r="A89" s="33"/>
      <c r="B89" s="32"/>
      <c r="C89" s="32"/>
    </row>
    <row r="90" spans="1:3" x14ac:dyDescent="0.25">
      <c r="A90" s="33" t="s">
        <v>54</v>
      </c>
      <c r="B90" s="39">
        <f>B85-B79</f>
        <v>-978027.9396839831</v>
      </c>
      <c r="C90" s="39">
        <f>C85-C79</f>
        <v>-966524.48016282241</v>
      </c>
    </row>
  </sheetData>
  <sheetProtection selectLockedCells="1" selectUnlockedCells="1"/>
  <mergeCells count="8">
    <mergeCell ref="A1:B1"/>
    <mergeCell ref="E1:G1"/>
    <mergeCell ref="A53:B53"/>
    <mergeCell ref="A3:B3"/>
    <mergeCell ref="A11:B11"/>
    <mergeCell ref="A18:B18"/>
    <mergeCell ref="A33:B33"/>
    <mergeCell ref="A39:B39"/>
  </mergeCells>
  <conditionalFormatting sqref="C39:C51 C11:C16 C18:C27 C3:C8">
    <cfRule type="expression" dxfId="5" priority="10">
      <formula>$B$2="No"</formula>
    </cfRule>
  </conditionalFormatting>
  <conditionalFormatting sqref="B8">
    <cfRule type="expression" dxfId="4" priority="15">
      <formula>$B$70=2</formula>
    </cfRule>
  </conditionalFormatting>
  <conditionalFormatting sqref="B9">
    <cfRule type="expression" dxfId="3" priority="16">
      <formula>$B$70=1</formula>
    </cfRule>
  </conditionalFormatting>
  <conditionalFormatting sqref="C9">
    <cfRule type="expression" dxfId="2" priority="3">
      <formula>$B$2="No"</formula>
    </cfRule>
    <cfRule type="expression" dxfId="1" priority="4">
      <formula>$B$73=1</formula>
    </cfRule>
  </conditionalFormatting>
  <conditionalFormatting sqref="C8">
    <cfRule type="expression" dxfId="0" priority="1">
      <formula>$B$73=2</formula>
    </cfRule>
  </conditionalFormatting>
  <dataValidations count="2">
    <dataValidation allowBlank="1" showInputMessage="1" showErrorMessage="1" errorTitle="Retirement Age" error="Retirement Age between 25 and 80 must be greater than Current Age" sqref="B5"/>
    <dataValidation type="list" allowBlank="1" showInputMessage="1" showErrorMessage="1" sqref="B2">
      <formula1>"Yes,No"</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74" r:id="rId4" name="Group Box 50">
              <controlPr defaultSize="0" autoFill="0" autoPict="0">
                <anchor moveWithCells="1">
                  <from>
                    <xdr:col>0</xdr:col>
                    <xdr:colOff>3505200</xdr:colOff>
                    <xdr:row>9</xdr:row>
                    <xdr:rowOff>9525</xdr:rowOff>
                  </from>
                  <to>
                    <xdr:col>1</xdr:col>
                    <xdr:colOff>1438275</xdr:colOff>
                    <xdr:row>10</xdr:row>
                    <xdr:rowOff>0</xdr:rowOff>
                  </to>
                </anchor>
              </controlPr>
            </control>
          </mc:Choice>
        </mc:AlternateContent>
        <mc:AlternateContent xmlns:mc="http://schemas.openxmlformats.org/markup-compatibility/2006">
          <mc:Choice Requires="x14">
            <control shapeId="1075" r:id="rId5" name="Option Button 51">
              <controlPr defaultSize="0" autoFill="0" autoLine="0" autoPict="0">
                <anchor moveWithCells="1">
                  <from>
                    <xdr:col>1</xdr:col>
                    <xdr:colOff>114300</xdr:colOff>
                    <xdr:row>9</xdr:row>
                    <xdr:rowOff>85725</xdr:rowOff>
                  </from>
                  <to>
                    <xdr:col>1</xdr:col>
                    <xdr:colOff>638175</xdr:colOff>
                    <xdr:row>9</xdr:row>
                    <xdr:rowOff>371475</xdr:rowOff>
                  </to>
                </anchor>
              </controlPr>
            </control>
          </mc:Choice>
        </mc:AlternateContent>
        <mc:AlternateContent xmlns:mc="http://schemas.openxmlformats.org/markup-compatibility/2006">
          <mc:Choice Requires="x14">
            <control shapeId="1076" r:id="rId6" name="Option Button 52">
              <controlPr defaultSize="0" autoFill="0" autoLine="0" autoPict="0">
                <anchor moveWithCells="1">
                  <from>
                    <xdr:col>1</xdr:col>
                    <xdr:colOff>762000</xdr:colOff>
                    <xdr:row>9</xdr:row>
                    <xdr:rowOff>123825</xdr:rowOff>
                  </from>
                  <to>
                    <xdr:col>1</xdr:col>
                    <xdr:colOff>1181100</xdr:colOff>
                    <xdr:row>9</xdr:row>
                    <xdr:rowOff>342900</xdr:rowOff>
                  </to>
                </anchor>
              </controlPr>
            </control>
          </mc:Choice>
        </mc:AlternateContent>
        <mc:AlternateContent xmlns:mc="http://schemas.openxmlformats.org/markup-compatibility/2006">
          <mc:Choice Requires="x14">
            <control shapeId="1078" r:id="rId7" name="Group Box 54">
              <controlPr defaultSize="0" autoFill="0" autoPict="0">
                <anchor moveWithCells="1">
                  <from>
                    <xdr:col>2</xdr:col>
                    <xdr:colOff>0</xdr:colOff>
                    <xdr:row>9</xdr:row>
                    <xdr:rowOff>9525</xdr:rowOff>
                  </from>
                  <to>
                    <xdr:col>2</xdr:col>
                    <xdr:colOff>1476375</xdr:colOff>
                    <xdr:row>10</xdr:row>
                    <xdr:rowOff>9525</xdr:rowOff>
                  </to>
                </anchor>
              </controlPr>
            </control>
          </mc:Choice>
        </mc:AlternateContent>
        <mc:AlternateContent xmlns:mc="http://schemas.openxmlformats.org/markup-compatibility/2006">
          <mc:Choice Requires="x14">
            <control shapeId="1079" r:id="rId8" name="Option Button 55">
              <controlPr defaultSize="0" autoFill="0" autoLine="0" autoPict="0">
                <anchor moveWithCells="1">
                  <from>
                    <xdr:col>2</xdr:col>
                    <xdr:colOff>76200</xdr:colOff>
                    <xdr:row>9</xdr:row>
                    <xdr:rowOff>114300</xdr:rowOff>
                  </from>
                  <to>
                    <xdr:col>2</xdr:col>
                    <xdr:colOff>428625</xdr:colOff>
                    <xdr:row>9</xdr:row>
                    <xdr:rowOff>333375</xdr:rowOff>
                  </to>
                </anchor>
              </controlPr>
            </control>
          </mc:Choice>
        </mc:AlternateContent>
        <mc:AlternateContent xmlns:mc="http://schemas.openxmlformats.org/markup-compatibility/2006">
          <mc:Choice Requires="x14">
            <control shapeId="1080" r:id="rId9" name="Option Button 56">
              <controlPr defaultSize="0" autoFill="0" autoLine="0" autoPict="0">
                <anchor moveWithCells="1">
                  <from>
                    <xdr:col>2</xdr:col>
                    <xdr:colOff>781050</xdr:colOff>
                    <xdr:row>9</xdr:row>
                    <xdr:rowOff>123825</xdr:rowOff>
                  </from>
                  <to>
                    <xdr:col>2</xdr:col>
                    <xdr:colOff>1123950</xdr:colOff>
                    <xdr:row>9</xdr:row>
                    <xdr:rowOff>342900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S102"/>
  <sheetViews>
    <sheetView zoomScale="85" zoomScaleNormal="85" workbookViewId="0">
      <pane xSplit="4" ySplit="1" topLeftCell="E2" activePane="bottomRight" state="frozen"/>
      <selection pane="topRight" activeCell="E1" sqref="E1"/>
      <selection pane="bottomLeft" activeCell="A2" sqref="A2"/>
      <selection pane="bottomRight" activeCell="C29" sqref="C29"/>
    </sheetView>
  </sheetViews>
  <sheetFormatPr defaultRowHeight="15" x14ac:dyDescent="0.25"/>
  <cols>
    <col min="1" max="1" width="6.28515625" style="4" bestFit="1" customWidth="1"/>
    <col min="2" max="2" width="4" style="4" bestFit="1" customWidth="1"/>
    <col min="3" max="3" width="4.42578125" style="4" bestFit="1" customWidth="1"/>
    <col min="4" max="4" width="5.85546875" style="4" bestFit="1" customWidth="1"/>
    <col min="5" max="6" width="5.85546875" style="4" customWidth="1"/>
    <col min="7" max="7" width="12.5703125" bestFit="1" customWidth="1"/>
    <col min="8" max="8" width="13.7109375" customWidth="1"/>
    <col min="9" max="9" width="15.28515625" bestFit="1" customWidth="1"/>
    <col min="10" max="10" width="16.140625" customWidth="1"/>
    <col min="11" max="11" width="15.7109375" bestFit="1" customWidth="1"/>
    <col min="12" max="12" width="14" customWidth="1"/>
    <col min="13" max="13" width="17.42578125" hidden="1" customWidth="1"/>
    <col min="14" max="16" width="17.42578125" customWidth="1"/>
    <col min="17" max="17" width="7.85546875" style="4" customWidth="1"/>
    <col min="18" max="18" width="13.85546875" customWidth="1"/>
  </cols>
  <sheetData>
    <row r="1" spans="1:19" ht="33" customHeight="1" x14ac:dyDescent="0.25">
      <c r="A1" s="4" t="s">
        <v>26</v>
      </c>
      <c r="B1" s="10" t="s">
        <v>39</v>
      </c>
      <c r="C1" s="4" t="s">
        <v>20</v>
      </c>
      <c r="D1" s="4" t="s">
        <v>21</v>
      </c>
      <c r="E1" s="10" t="s">
        <v>68</v>
      </c>
      <c r="F1" s="10" t="s">
        <v>69</v>
      </c>
      <c r="G1" s="10" t="s">
        <v>22</v>
      </c>
      <c r="H1" s="4" t="s">
        <v>23</v>
      </c>
      <c r="I1" s="4" t="s">
        <v>35</v>
      </c>
      <c r="J1" s="4" t="s">
        <v>24</v>
      </c>
      <c r="K1" s="4" t="s">
        <v>8</v>
      </c>
      <c r="L1" s="10" t="s">
        <v>11</v>
      </c>
      <c r="M1" s="10" t="s">
        <v>37</v>
      </c>
      <c r="N1" s="10" t="s">
        <v>41</v>
      </c>
      <c r="O1" s="10" t="s">
        <v>38</v>
      </c>
      <c r="P1" s="10" t="s">
        <v>25</v>
      </c>
      <c r="Q1" s="10"/>
    </row>
    <row r="2" spans="1:19" x14ac:dyDescent="0.25">
      <c r="A2" s="4">
        <v>1</v>
      </c>
      <c r="B2" s="4" t="str">
        <f>IF(C2&gt;=Input!$B$5,C2-Input!$B$5,"")</f>
        <v/>
      </c>
      <c r="C2" s="4">
        <f>Input!B4</f>
        <v>25</v>
      </c>
      <c r="D2" s="4">
        <f>IF(C2&lt;Input!$B$5,0,IF(AND(C2&gt;=Input!$B$5,C2&lt;Input!$B$5+Input!$B$6),1,2))</f>
        <v>0</v>
      </c>
      <c r="E2" s="4">
        <f>IF(C2&gt;=Input!$B$59,1,0)</f>
        <v>0</v>
      </c>
      <c r="F2" s="4">
        <f>IF(AND(C2&gt;=Input!$B$60,D2=1),1,0)</f>
        <v>0</v>
      </c>
      <c r="G2" s="5">
        <f>Input!B19+Input!B22+Input!B25</f>
        <v>140000</v>
      </c>
      <c r="H2" s="5">
        <f>IF(D2=0,Input!$B$21+Input!$B$24+Input!$B$27,0)</f>
        <v>2400</v>
      </c>
      <c r="I2" s="5">
        <f>IF(D2=1,Input!$B$69,0)</f>
        <v>0</v>
      </c>
      <c r="J2" s="5">
        <f>IF(F2=1,FV(Input!$B$56,'Primary Details - Actual'!B2,,-Input!$B$12),0)</f>
        <v>0</v>
      </c>
      <c r="K2" s="5">
        <f>IF(E2=1,FV(Input!$B$56,'Primary Details - Actual'!B2,,-Input!$B$13),0)</f>
        <v>0</v>
      </c>
      <c r="L2" s="5">
        <f>IF(D2=1,Input!$B$16+Input!$B$14+Input!$B$15,0)</f>
        <v>0</v>
      </c>
      <c r="M2" s="8" t="s">
        <v>70</v>
      </c>
      <c r="N2" s="8">
        <f>J2+K2+L2</f>
        <v>0</v>
      </c>
      <c r="O2" s="5">
        <f>IF(D2=1,I2-J2-K2-L2,0)</f>
        <v>0</v>
      </c>
      <c r="P2" s="5">
        <f>G2+H2-O2</f>
        <v>142400</v>
      </c>
      <c r="R2" s="7" t="e">
        <f>IF(PV(Input!$B$56,'Primary Details - Hypothetical'!B2,0,'Primary Details - Hypothetical'!H2,1),0,PV(Input!$B$56,'Primary Details - Hypothetical'!B2,0,'Primary Details - Hypothetical'!H2,1))</f>
        <v>#VALUE!</v>
      </c>
      <c r="S2">
        <f t="shared" ref="S2:S33" si="0">IFERROR(R2,0)</f>
        <v>0</v>
      </c>
    </row>
    <row r="3" spans="1:19" x14ac:dyDescent="0.25">
      <c r="A3" s="4">
        <f>A2+1</f>
        <v>2</v>
      </c>
      <c r="B3" s="4" t="str">
        <f>IF(C3&gt;=Input!$B$5,C3-Input!$B$5,"")</f>
        <v/>
      </c>
      <c r="C3" s="4">
        <f>C2+1</f>
        <v>26</v>
      </c>
      <c r="D3" s="4">
        <f>IF(C3&lt;Input!$B$5,0,IF(AND(C3&gt;=Input!$B$5,C3&lt;Input!$B$5+Input!$B$6),1,2))</f>
        <v>0</v>
      </c>
      <c r="E3" s="4">
        <f>IF(C3&gt;=Input!$B$59,1,0)</f>
        <v>0</v>
      </c>
      <c r="F3" s="4">
        <f>IF(AND(C3&gt;=Input!$B$60,D3=1),1,0)</f>
        <v>0</v>
      </c>
      <c r="G3" s="5">
        <f>IF(OR(P2&lt;0,D3=2),0,P2*(1+Input!$B$56))</f>
        <v>143796.07843137253</v>
      </c>
      <c r="H3" s="5">
        <f>IF(D3=0,Input!$B$21+Input!$B$24+Input!$B$27,0)</f>
        <v>2400</v>
      </c>
      <c r="I3" s="5">
        <f>IF(D3=1,Input!$B$69,0)</f>
        <v>0</v>
      </c>
      <c r="J3" s="5">
        <f>IF(F3=1,FV(Input!$B$56,'Primary Details - Actual'!B3,,-Input!$B$12),0)</f>
        <v>0</v>
      </c>
      <c r="K3" s="5">
        <f>IF(E3=1,FV(Input!$B$56,'Primary Details - Actual'!B3,,-Input!$B$13),0)</f>
        <v>0</v>
      </c>
      <c r="L3" s="5">
        <f>IF(D3=1,Input!$B$16+Input!$B$14+Input!$B$15,0)</f>
        <v>0</v>
      </c>
      <c r="M3" s="8"/>
      <c r="N3" s="8">
        <f t="shared" ref="N3:N66" si="1">J3+K3+L3</f>
        <v>0</v>
      </c>
      <c r="O3" s="5">
        <f t="shared" ref="O3:O66" si="2">IF(D3=1,I3-J3-K3-L3,0)</f>
        <v>0</v>
      </c>
      <c r="P3" s="5">
        <f t="shared" ref="P3:P34" si="3">IF(D3=2,P2,G3+H3-O3)</f>
        <v>146196.07843137253</v>
      </c>
      <c r="R3" s="7" t="e">
        <f>PV(Input!$B$56,'Primary Details - Hypothetical'!B3,0,'Primary Details - Hypothetical'!H3,1)</f>
        <v>#VALUE!</v>
      </c>
      <c r="S3">
        <f t="shared" si="0"/>
        <v>0</v>
      </c>
    </row>
    <row r="4" spans="1:19" x14ac:dyDescent="0.25">
      <c r="A4" s="4">
        <f t="shared" ref="A4:A67" si="4">A3+1</f>
        <v>3</v>
      </c>
      <c r="B4" s="4" t="str">
        <f>IF(C4&gt;=Input!$B$5,C4-Input!$B$5,"")</f>
        <v/>
      </c>
      <c r="C4" s="4">
        <f t="shared" ref="C4:C67" si="5">C3+1</f>
        <v>27</v>
      </c>
      <c r="D4" s="4">
        <f>IF(C4&lt;Input!$B$5,0,IF(AND(C4&gt;=Input!$B$5,C4&lt;Input!$B$5+Input!$B$6),1,2))</f>
        <v>0</v>
      </c>
      <c r="E4" s="4">
        <f>IF(C4&gt;=Input!$B$59,1,0)</f>
        <v>0</v>
      </c>
      <c r="F4" s="4">
        <f>IF(AND(C4&gt;=Input!$B$60,D4=1),1,0)</f>
        <v>0</v>
      </c>
      <c r="G4" s="5">
        <f>IF(OR(P3&lt;0,D4=2),0,P3*(1+Input!$B$56))</f>
        <v>147629.3733179546</v>
      </c>
      <c r="H4" s="5">
        <f>IF(D4=0,Input!$B$21+Input!$B$24+Input!$B$27,0)</f>
        <v>2400</v>
      </c>
      <c r="I4" s="5">
        <f>IF(D4=1,Input!$B$69,0)</f>
        <v>0</v>
      </c>
      <c r="J4" s="5">
        <f>IF(F4=1,FV(Input!$B$56,'Primary Details - Actual'!B4,,-Input!$B$12),0)</f>
        <v>0</v>
      </c>
      <c r="K4" s="5">
        <f>IF(E4=1,FV(Input!$B$56,'Primary Details - Actual'!B4,,-Input!$B$13),0)</f>
        <v>0</v>
      </c>
      <c r="L4" s="5">
        <f>IF(D4=1,Input!$B$16+Input!$B$14+Input!$B$15,0)</f>
        <v>0</v>
      </c>
      <c r="M4" s="8"/>
      <c r="N4" s="8">
        <f t="shared" si="1"/>
        <v>0</v>
      </c>
      <c r="O4" s="5">
        <f t="shared" si="2"/>
        <v>0</v>
      </c>
      <c r="P4" s="5">
        <f t="shared" si="3"/>
        <v>150029.3733179546</v>
      </c>
      <c r="R4" s="7" t="e">
        <f>PV(Input!$B$56,'Primary Details - Hypothetical'!B4,0,'Primary Details - Hypothetical'!H4,1)</f>
        <v>#VALUE!</v>
      </c>
      <c r="S4">
        <f t="shared" si="0"/>
        <v>0</v>
      </c>
    </row>
    <row r="5" spans="1:19" x14ac:dyDescent="0.25">
      <c r="A5" s="4">
        <f t="shared" si="4"/>
        <v>4</v>
      </c>
      <c r="B5" s="4" t="str">
        <f>IF(C5&gt;=Input!$B$5,C5-Input!$B$5,"")</f>
        <v/>
      </c>
      <c r="C5" s="4">
        <f t="shared" si="5"/>
        <v>28</v>
      </c>
      <c r="D5" s="4">
        <f>IF(C5&lt;Input!$B$5,0,IF(AND(C5&gt;=Input!$B$5,C5&lt;Input!$B$5+Input!$B$6),1,2))</f>
        <v>0</v>
      </c>
      <c r="E5" s="4">
        <f>IF(C5&gt;=Input!$B$59,1,0)</f>
        <v>0</v>
      </c>
      <c r="F5" s="4">
        <f>IF(AND(C5&gt;=Input!$B$60,D5=1),1,0)</f>
        <v>0</v>
      </c>
      <c r="G5" s="5">
        <f>IF(OR(P4&lt;0,D5=2),0,P4*(1+Input!$B$56))</f>
        <v>151500.24952695414</v>
      </c>
      <c r="H5" s="5">
        <f>IF(D5=0,Input!$B$21+Input!$B$24+Input!$B$27,0)</f>
        <v>2400</v>
      </c>
      <c r="I5" s="5">
        <f>IF(D5=1,Input!$B$69,0)</f>
        <v>0</v>
      </c>
      <c r="J5" s="5">
        <f>IF(F5=1,FV(Input!$B$56,'Primary Details - Actual'!B5,,-Input!$B$12),0)</f>
        <v>0</v>
      </c>
      <c r="K5" s="5">
        <f>IF(E5=1,FV(Input!$B$56,'Primary Details - Actual'!B5,,-Input!$B$13),0)</f>
        <v>0</v>
      </c>
      <c r="L5" s="5">
        <f>IF(D5=1,Input!$B$16+Input!$B$14+Input!$B$15,0)</f>
        <v>0</v>
      </c>
      <c r="M5" s="8"/>
      <c r="N5" s="8">
        <f t="shared" si="1"/>
        <v>0</v>
      </c>
      <c r="O5" s="5">
        <f t="shared" si="2"/>
        <v>0</v>
      </c>
      <c r="P5" s="5">
        <f t="shared" si="3"/>
        <v>153900.24952695414</v>
      </c>
      <c r="R5" s="7" t="e">
        <f>PV(Input!$B$56,'Primary Details - Hypothetical'!B5,0,'Primary Details - Hypothetical'!H5,1)</f>
        <v>#VALUE!</v>
      </c>
      <c r="S5">
        <f t="shared" si="0"/>
        <v>0</v>
      </c>
    </row>
    <row r="6" spans="1:19" x14ac:dyDescent="0.25">
      <c r="A6" s="4">
        <f t="shared" si="4"/>
        <v>5</v>
      </c>
      <c r="B6" s="4" t="str">
        <f>IF(C6&gt;=Input!$B$5,C6-Input!$B$5,"")</f>
        <v/>
      </c>
      <c r="C6" s="4">
        <f t="shared" si="5"/>
        <v>29</v>
      </c>
      <c r="D6" s="4">
        <f>IF(C6&lt;Input!$B$5,0,IF(AND(C6&gt;=Input!$B$5,C6&lt;Input!$B$5+Input!$B$6),1,2))</f>
        <v>0</v>
      </c>
      <c r="E6" s="4">
        <f>IF(C6&gt;=Input!$B$59,1,0)</f>
        <v>0</v>
      </c>
      <c r="F6" s="4">
        <f>IF(AND(C6&gt;=Input!$B$60,D6=1),1,0)</f>
        <v>0</v>
      </c>
      <c r="G6" s="5">
        <f>IF(OR(P5&lt;0,D6=2),0,P5*(1+Input!$B$56))</f>
        <v>155409.07550270858</v>
      </c>
      <c r="H6" s="5">
        <f>IF(D6=0,Input!$B$21+Input!$B$24+Input!$B$27,0)</f>
        <v>2400</v>
      </c>
      <c r="I6" s="5">
        <f>IF(D6=1,Input!$B$69,0)</f>
        <v>0</v>
      </c>
      <c r="J6" s="5">
        <f>IF(F6=1,FV(Input!$B$56,'Primary Details - Actual'!B6,,-Input!$B$12),0)</f>
        <v>0</v>
      </c>
      <c r="K6" s="5">
        <f>IF(E6=1,FV(Input!$B$56,'Primary Details - Actual'!B6,,-Input!$B$13),0)</f>
        <v>0</v>
      </c>
      <c r="L6" s="5">
        <f>IF(D6=1,Input!$B$16+Input!$B$14+Input!$B$15,0)</f>
        <v>0</v>
      </c>
      <c r="M6" s="8"/>
      <c r="N6" s="8">
        <f t="shared" si="1"/>
        <v>0</v>
      </c>
      <c r="O6" s="5">
        <f t="shared" si="2"/>
        <v>0</v>
      </c>
      <c r="P6" s="5">
        <f t="shared" si="3"/>
        <v>157809.07550270858</v>
      </c>
      <c r="R6" s="7" t="e">
        <f>PV(Input!$B$56,'Primary Details - Hypothetical'!B6,0,'Primary Details - Hypothetical'!H6,1)</f>
        <v>#VALUE!</v>
      </c>
      <c r="S6">
        <f t="shared" si="0"/>
        <v>0</v>
      </c>
    </row>
    <row r="7" spans="1:19" x14ac:dyDescent="0.25">
      <c r="A7" s="4">
        <f t="shared" si="4"/>
        <v>6</v>
      </c>
      <c r="B7" s="4" t="str">
        <f>IF(C7&gt;=Input!$B$5,C7-Input!$B$5,"")</f>
        <v/>
      </c>
      <c r="C7" s="4">
        <f t="shared" si="5"/>
        <v>30</v>
      </c>
      <c r="D7" s="4">
        <f>IF(C7&lt;Input!$B$5,0,IF(AND(C7&gt;=Input!$B$5,C7&lt;Input!$B$5+Input!$B$6),1,2))</f>
        <v>0</v>
      </c>
      <c r="E7" s="4">
        <f>IF(C7&gt;=Input!$B$59,1,0)</f>
        <v>0</v>
      </c>
      <c r="F7" s="4">
        <f>IF(AND(C7&gt;=Input!$B$60,D7=1),1,0)</f>
        <v>0</v>
      </c>
      <c r="G7" s="5">
        <f>IF(OR(P6&lt;0,D7=2),0,P6*(1+Input!$B$56))</f>
        <v>159356.22330175474</v>
      </c>
      <c r="H7" s="5">
        <f>IF(D7=0,Input!$B$21+Input!$B$24+Input!$B$27,0)</f>
        <v>2400</v>
      </c>
      <c r="I7" s="5">
        <f>IF(D7=1,Input!$B$69,0)</f>
        <v>0</v>
      </c>
      <c r="J7" s="5">
        <f>IF(F7=1,FV(Input!$B$56,'Primary Details - Actual'!B7,,-Input!$B$12),0)</f>
        <v>0</v>
      </c>
      <c r="K7" s="5">
        <f>IF(E7=1,FV(Input!$B$56,'Primary Details - Actual'!B7,,-Input!$B$13),0)</f>
        <v>0</v>
      </c>
      <c r="L7" s="5">
        <f>IF(D7=1,Input!$B$16+Input!$B$14+Input!$B$15,0)</f>
        <v>0</v>
      </c>
      <c r="M7" s="8"/>
      <c r="N7" s="8">
        <f t="shared" si="1"/>
        <v>0</v>
      </c>
      <c r="O7" s="5">
        <f t="shared" si="2"/>
        <v>0</v>
      </c>
      <c r="P7" s="5">
        <f t="shared" si="3"/>
        <v>161756.22330175474</v>
      </c>
      <c r="R7" s="7" t="e">
        <f>PV(Input!$B$56,'Primary Details - Hypothetical'!B7,0,'Primary Details - Hypothetical'!H7,1)</f>
        <v>#VALUE!</v>
      </c>
      <c r="S7">
        <f t="shared" si="0"/>
        <v>0</v>
      </c>
    </row>
    <row r="8" spans="1:19" x14ac:dyDescent="0.25">
      <c r="A8" s="4">
        <f t="shared" si="4"/>
        <v>7</v>
      </c>
      <c r="B8" s="4" t="str">
        <f>IF(C8&gt;=Input!$B$5,C8-Input!$B$5,"")</f>
        <v/>
      </c>
      <c r="C8" s="4">
        <f t="shared" si="5"/>
        <v>31</v>
      </c>
      <c r="D8" s="4">
        <f>IF(C8&lt;Input!$B$5,0,IF(AND(C8&gt;=Input!$B$5,C8&lt;Input!$B$5+Input!$B$6),1,2))</f>
        <v>0</v>
      </c>
      <c r="E8" s="4">
        <f>IF(C8&gt;=Input!$B$59,1,0)</f>
        <v>0</v>
      </c>
      <c r="F8" s="4">
        <f>IF(AND(C8&gt;=Input!$B$60,D8=1),1,0)</f>
        <v>0</v>
      </c>
      <c r="G8" s="5">
        <f>IF(OR(P7&lt;0,D8=2),0,P7*(1+Input!$B$56))</f>
        <v>163342.06862824253</v>
      </c>
      <c r="H8" s="5">
        <f>IF(D8=0,Input!$B$21+Input!$B$24+Input!$B$27,0)</f>
        <v>2400</v>
      </c>
      <c r="I8" s="5">
        <f>IF(D8=1,Input!$B$69,0)</f>
        <v>0</v>
      </c>
      <c r="J8" s="5">
        <f>IF(F8=1,FV(Input!$B$56,'Primary Details - Actual'!B8,,-Input!$B$12),0)</f>
        <v>0</v>
      </c>
      <c r="K8" s="5">
        <f>IF(E8=1,FV(Input!$B$56,'Primary Details - Actual'!B8,,-Input!$B$13),0)</f>
        <v>0</v>
      </c>
      <c r="L8" s="5">
        <f>IF(D8=1,Input!$B$16+Input!$B$14+Input!$B$15,0)</f>
        <v>0</v>
      </c>
      <c r="M8" s="8"/>
      <c r="N8" s="8">
        <f t="shared" si="1"/>
        <v>0</v>
      </c>
      <c r="O8" s="5">
        <f t="shared" si="2"/>
        <v>0</v>
      </c>
      <c r="P8" s="5">
        <f t="shared" si="3"/>
        <v>165742.06862824253</v>
      </c>
      <c r="R8" s="7" t="e">
        <f>PV(Input!$B$56,'Primary Details - Hypothetical'!B8,0,'Primary Details - Hypothetical'!H8,1)</f>
        <v>#VALUE!</v>
      </c>
      <c r="S8">
        <f t="shared" si="0"/>
        <v>0</v>
      </c>
    </row>
    <row r="9" spans="1:19" x14ac:dyDescent="0.25">
      <c r="A9" s="4">
        <f t="shared" si="4"/>
        <v>8</v>
      </c>
      <c r="B9" s="4" t="str">
        <f>IF(C9&gt;=Input!$B$5,C9-Input!$B$5,"")</f>
        <v/>
      </c>
      <c r="C9" s="4">
        <f t="shared" si="5"/>
        <v>32</v>
      </c>
      <c r="D9" s="4">
        <f>IF(C9&lt;Input!$B$5,0,IF(AND(C9&gt;=Input!$B$5,C9&lt;Input!$B$5+Input!$B$6),1,2))</f>
        <v>0</v>
      </c>
      <c r="E9" s="4">
        <f>IF(C9&gt;=Input!$B$59,1,0)</f>
        <v>0</v>
      </c>
      <c r="F9" s="4">
        <f>IF(AND(C9&gt;=Input!$B$60,D9=1),1,0)</f>
        <v>0</v>
      </c>
      <c r="G9" s="5">
        <f>IF(OR(P8&lt;0,D9=2),0,P8*(1+Input!$B$56))</f>
        <v>167366.99086969587</v>
      </c>
      <c r="H9" s="5">
        <f>IF(D9=0,Input!$B$21+Input!$B$24+Input!$B$27,0)</f>
        <v>2400</v>
      </c>
      <c r="I9" s="5">
        <f>IF(D9=1,Input!$B$69,0)</f>
        <v>0</v>
      </c>
      <c r="J9" s="5">
        <f>IF(F9=1,FV(Input!$B$56,'Primary Details - Actual'!B9,,-Input!$B$12),0)</f>
        <v>0</v>
      </c>
      <c r="K9" s="5">
        <f>IF(E9=1,FV(Input!$B$56,'Primary Details - Actual'!B9,,-Input!$B$13),0)</f>
        <v>0</v>
      </c>
      <c r="L9" s="5">
        <f>IF(D9=1,Input!$B$16+Input!$B$14+Input!$B$15,0)</f>
        <v>0</v>
      </c>
      <c r="M9" s="8"/>
      <c r="N9" s="8">
        <f t="shared" si="1"/>
        <v>0</v>
      </c>
      <c r="O9" s="5">
        <f t="shared" si="2"/>
        <v>0</v>
      </c>
      <c r="P9" s="5">
        <f t="shared" si="3"/>
        <v>169766.99086969587</v>
      </c>
      <c r="R9" s="7" t="e">
        <f>PV(Input!$B$56,'Primary Details - Hypothetical'!B9,0,'Primary Details - Hypothetical'!H9,1)</f>
        <v>#VALUE!</v>
      </c>
      <c r="S9">
        <f t="shared" si="0"/>
        <v>0</v>
      </c>
    </row>
    <row r="10" spans="1:19" x14ac:dyDescent="0.25">
      <c r="A10" s="4">
        <f t="shared" si="4"/>
        <v>9</v>
      </c>
      <c r="B10" s="4" t="str">
        <f>IF(C10&gt;=Input!$B$5,C10-Input!$B$5,"")</f>
        <v/>
      </c>
      <c r="C10" s="4">
        <f t="shared" si="5"/>
        <v>33</v>
      </c>
      <c r="D10" s="4">
        <f>IF(C10&lt;Input!$B$5,0,IF(AND(C10&gt;=Input!$B$5,C10&lt;Input!$B$5+Input!$B$6),1,2))</f>
        <v>0</v>
      </c>
      <c r="E10" s="4">
        <f>IF(C10&gt;=Input!$B$59,1,0)</f>
        <v>0</v>
      </c>
      <c r="F10" s="4">
        <f>IF(AND(C10&gt;=Input!$B$60,D10=1),1,0)</f>
        <v>0</v>
      </c>
      <c r="G10" s="5">
        <f>IF(OR(P9&lt;0,D10=2),0,P9*(1+Input!$B$56))</f>
        <v>171431.37313312426</v>
      </c>
      <c r="H10" s="5">
        <f>IF(D10=0,Input!$B$21+Input!$B$24+Input!$B$27,0)</f>
        <v>2400</v>
      </c>
      <c r="I10" s="5">
        <f>IF(D10=1,Input!$B$69,0)</f>
        <v>0</v>
      </c>
      <c r="J10" s="5">
        <f>IF(F10=1,FV(Input!$B$56,'Primary Details - Actual'!B10,,-Input!$B$12),0)</f>
        <v>0</v>
      </c>
      <c r="K10" s="5">
        <f>IF(E10=1,FV(Input!$B$56,'Primary Details - Actual'!B10,,-Input!$B$13),0)</f>
        <v>0</v>
      </c>
      <c r="L10" s="5">
        <f>IF(D10=1,Input!$B$16+Input!$B$14+Input!$B$15,0)</f>
        <v>0</v>
      </c>
      <c r="M10" s="8"/>
      <c r="N10" s="8">
        <f t="shared" si="1"/>
        <v>0</v>
      </c>
      <c r="O10" s="5">
        <f t="shared" si="2"/>
        <v>0</v>
      </c>
      <c r="P10" s="5">
        <f t="shared" si="3"/>
        <v>173831.37313312426</v>
      </c>
      <c r="R10" s="7" t="e">
        <f>PV(Input!$B$56,'Primary Details - Hypothetical'!B10,0,'Primary Details - Hypothetical'!H10,1)</f>
        <v>#VALUE!</v>
      </c>
      <c r="S10">
        <f t="shared" si="0"/>
        <v>0</v>
      </c>
    </row>
    <row r="11" spans="1:19" x14ac:dyDescent="0.25">
      <c r="A11" s="4">
        <f t="shared" si="4"/>
        <v>10</v>
      </c>
      <c r="B11" s="4" t="str">
        <f>IF(C11&gt;=Input!$B$5,C11-Input!$B$5,"")</f>
        <v/>
      </c>
      <c r="C11" s="4">
        <f t="shared" si="5"/>
        <v>34</v>
      </c>
      <c r="D11" s="4">
        <f>IF(C11&lt;Input!$B$5,0,IF(AND(C11&gt;=Input!$B$5,C11&lt;Input!$B$5+Input!$B$6),1,2))</f>
        <v>0</v>
      </c>
      <c r="E11" s="4">
        <f>IF(C11&gt;=Input!$B$59,1,0)</f>
        <v>0</v>
      </c>
      <c r="F11" s="4">
        <f>IF(AND(C11&gt;=Input!$B$60,D11=1),1,0)</f>
        <v>0</v>
      </c>
      <c r="G11" s="5">
        <f>IF(OR(P10&lt;0,D11=2),0,P10*(1+Input!$B$56))</f>
        <v>175535.60228148822</v>
      </c>
      <c r="H11" s="5">
        <f>IF(D11=0,Input!$B$21+Input!$B$24+Input!$B$27,0)</f>
        <v>2400</v>
      </c>
      <c r="I11" s="5">
        <f>IF(D11=1,Input!$B$69,0)</f>
        <v>0</v>
      </c>
      <c r="J11" s="5">
        <f>IF(F11=1,FV(Input!$B$56,'Primary Details - Actual'!B11,,-Input!$B$12),0)</f>
        <v>0</v>
      </c>
      <c r="K11" s="5">
        <f>IF(E11=1,FV(Input!$B$56,'Primary Details - Actual'!B11,,-Input!$B$13),0)</f>
        <v>0</v>
      </c>
      <c r="L11" s="5">
        <f>IF(D11=1,Input!$B$16+Input!$B$14+Input!$B$15,0)</f>
        <v>0</v>
      </c>
      <c r="M11" s="8"/>
      <c r="N11" s="8">
        <f t="shared" si="1"/>
        <v>0</v>
      </c>
      <c r="O11" s="5">
        <f t="shared" si="2"/>
        <v>0</v>
      </c>
      <c r="P11" s="5">
        <f t="shared" si="3"/>
        <v>177935.60228148822</v>
      </c>
      <c r="R11" s="7" t="e">
        <f>PV(Input!$B$56,'Primary Details - Hypothetical'!B11,0,'Primary Details - Hypothetical'!H11,1)</f>
        <v>#VALUE!</v>
      </c>
      <c r="S11">
        <f t="shared" si="0"/>
        <v>0</v>
      </c>
    </row>
    <row r="12" spans="1:19" x14ac:dyDescent="0.25">
      <c r="A12" s="4">
        <f t="shared" si="4"/>
        <v>11</v>
      </c>
      <c r="B12" s="4" t="str">
        <f>IF(C12&gt;=Input!$B$5,C12-Input!$B$5,"")</f>
        <v/>
      </c>
      <c r="C12" s="4">
        <f t="shared" si="5"/>
        <v>35</v>
      </c>
      <c r="D12" s="4">
        <f>IF(C12&lt;Input!$B$5,0,IF(AND(C12&gt;=Input!$B$5,C12&lt;Input!$B$5+Input!$B$6),1,2))</f>
        <v>0</v>
      </c>
      <c r="E12" s="4">
        <f>IF(C12&gt;=Input!$B$59,1,0)</f>
        <v>0</v>
      </c>
      <c r="F12" s="4">
        <f>IF(AND(C12&gt;=Input!$B$60,D12=1),1,0)</f>
        <v>0</v>
      </c>
      <c r="G12" s="5">
        <f>IF(OR(P11&lt;0,D12=2),0,P11*(1+Input!$B$56))</f>
        <v>179680.06897052241</v>
      </c>
      <c r="H12" s="5">
        <f>IF(D12=0,Input!$B$21+Input!$B$24+Input!$B$27,0)</f>
        <v>2400</v>
      </c>
      <c r="I12" s="5">
        <f>IF(D12=1,Input!$B$69,0)</f>
        <v>0</v>
      </c>
      <c r="J12" s="5">
        <f>IF(F12=1,FV(Input!$B$56,'Primary Details - Actual'!B12,,-Input!$B$12),0)</f>
        <v>0</v>
      </c>
      <c r="K12" s="5">
        <f>IF(E12=1,FV(Input!$B$56,'Primary Details - Actual'!B12,,-Input!$B$13),0)</f>
        <v>0</v>
      </c>
      <c r="L12" s="5">
        <f>IF(D12=1,Input!$B$16+Input!$B$14+Input!$B$15,0)</f>
        <v>0</v>
      </c>
      <c r="M12" s="8"/>
      <c r="N12" s="8">
        <f t="shared" si="1"/>
        <v>0</v>
      </c>
      <c r="O12" s="5">
        <f t="shared" si="2"/>
        <v>0</v>
      </c>
      <c r="P12" s="5">
        <f t="shared" si="3"/>
        <v>182080.06897052241</v>
      </c>
      <c r="R12" s="7" t="e">
        <f>PV(Input!$B$56,'Primary Details - Hypothetical'!B12,0,'Primary Details - Hypothetical'!H12,1)</f>
        <v>#VALUE!</v>
      </c>
      <c r="S12">
        <f t="shared" si="0"/>
        <v>0</v>
      </c>
    </row>
    <row r="13" spans="1:19" x14ac:dyDescent="0.25">
      <c r="A13" s="4">
        <f t="shared" si="4"/>
        <v>12</v>
      </c>
      <c r="B13" s="4" t="str">
        <f>IF(C13&gt;=Input!$B$5,C13-Input!$B$5,"")</f>
        <v/>
      </c>
      <c r="C13" s="4">
        <f t="shared" si="5"/>
        <v>36</v>
      </c>
      <c r="D13" s="4">
        <f>IF(C13&lt;Input!$B$5,0,IF(AND(C13&gt;=Input!$B$5,C13&lt;Input!$B$5+Input!$B$6),1,2))</f>
        <v>0</v>
      </c>
      <c r="E13" s="4">
        <f>IF(C13&gt;=Input!$B$59,1,0)</f>
        <v>0</v>
      </c>
      <c r="F13" s="4">
        <f>IF(AND(C13&gt;=Input!$B$60,D13=1),1,0)</f>
        <v>0</v>
      </c>
      <c r="G13" s="5">
        <f>IF(OR(P12&lt;0,D13=2),0,P12*(1+Input!$B$56))</f>
        <v>183865.16768591967</v>
      </c>
      <c r="H13" s="5">
        <f>IF(D13=0,Input!$B$21+Input!$B$24+Input!$B$27,0)</f>
        <v>2400</v>
      </c>
      <c r="I13" s="5">
        <f>IF(D13=1,Input!$B$69,0)</f>
        <v>0</v>
      </c>
      <c r="J13" s="5">
        <f>IF(F13=1,FV(Input!$B$56,'Primary Details - Actual'!B13,,-Input!$B$12),0)</f>
        <v>0</v>
      </c>
      <c r="K13" s="5">
        <f>IF(E13=1,FV(Input!$B$56,'Primary Details - Actual'!B13,,-Input!$B$13),0)</f>
        <v>0</v>
      </c>
      <c r="L13" s="5">
        <f>IF(D13=1,Input!$B$16+Input!$B$14+Input!$B$15,0)</f>
        <v>0</v>
      </c>
      <c r="M13" s="8"/>
      <c r="N13" s="8">
        <f t="shared" si="1"/>
        <v>0</v>
      </c>
      <c r="O13" s="5">
        <f t="shared" si="2"/>
        <v>0</v>
      </c>
      <c r="P13" s="5">
        <f t="shared" si="3"/>
        <v>186265.16768591967</v>
      </c>
      <c r="R13" s="7" t="e">
        <f>PV(Input!$B$56,'Primary Details - Hypothetical'!B13,0,'Primary Details - Hypothetical'!H13,1)</f>
        <v>#VALUE!</v>
      </c>
      <c r="S13">
        <f t="shared" si="0"/>
        <v>0</v>
      </c>
    </row>
    <row r="14" spans="1:19" x14ac:dyDescent="0.25">
      <c r="A14" s="4">
        <f t="shared" si="4"/>
        <v>13</v>
      </c>
      <c r="B14" s="4" t="str">
        <f>IF(C14&gt;=Input!$B$5,C14-Input!$B$5,"")</f>
        <v/>
      </c>
      <c r="C14" s="4">
        <f t="shared" si="5"/>
        <v>37</v>
      </c>
      <c r="D14" s="4">
        <f>IF(C14&lt;Input!$B$5,0,IF(AND(C14&gt;=Input!$B$5,C14&lt;Input!$B$5+Input!$B$6),1,2))</f>
        <v>0</v>
      </c>
      <c r="E14" s="4">
        <f>IF(C14&gt;=Input!$B$59,1,0)</f>
        <v>0</v>
      </c>
      <c r="F14" s="4">
        <f>IF(AND(C14&gt;=Input!$B$60,D14=1),1,0)</f>
        <v>0</v>
      </c>
      <c r="G14" s="5">
        <f>IF(OR(P13&lt;0,D14=2),0,P13*(1+Input!$B$56))</f>
        <v>188091.29678087967</v>
      </c>
      <c r="H14" s="5">
        <f>IF(D14=0,Input!$B$21+Input!$B$24+Input!$B$27,0)</f>
        <v>2400</v>
      </c>
      <c r="I14" s="5">
        <f>IF(D14=1,Input!$B$69,0)</f>
        <v>0</v>
      </c>
      <c r="J14" s="5">
        <f>IF(F14=1,FV(Input!$B$56,'Primary Details - Actual'!B14,,-Input!$B$12),0)</f>
        <v>0</v>
      </c>
      <c r="K14" s="5">
        <f>IF(E14=1,FV(Input!$B$56,'Primary Details - Actual'!B14,,-Input!$B$13),0)</f>
        <v>0</v>
      </c>
      <c r="L14" s="5">
        <f>IF(D14=1,Input!$B$16+Input!$B$14+Input!$B$15,0)</f>
        <v>0</v>
      </c>
      <c r="M14" s="8"/>
      <c r="N14" s="8">
        <f t="shared" si="1"/>
        <v>0</v>
      </c>
      <c r="O14" s="5">
        <f t="shared" si="2"/>
        <v>0</v>
      </c>
      <c r="P14" s="5">
        <f t="shared" si="3"/>
        <v>190491.29678087967</v>
      </c>
      <c r="R14" s="7" t="e">
        <f>PV(Input!$B$56,'Primary Details - Hypothetical'!B14,0,'Primary Details - Hypothetical'!H14,1)</f>
        <v>#VALUE!</v>
      </c>
      <c r="S14">
        <f t="shared" si="0"/>
        <v>0</v>
      </c>
    </row>
    <row r="15" spans="1:19" x14ac:dyDescent="0.25">
      <c r="A15" s="4">
        <f t="shared" si="4"/>
        <v>14</v>
      </c>
      <c r="B15" s="4" t="str">
        <f>IF(C15&gt;=Input!$B$5,C15-Input!$B$5,"")</f>
        <v/>
      </c>
      <c r="C15" s="4">
        <f t="shared" si="5"/>
        <v>38</v>
      </c>
      <c r="D15" s="4">
        <f>IF(C15&lt;Input!$B$5,0,IF(AND(C15&gt;=Input!$B$5,C15&lt;Input!$B$5+Input!$B$6),1,2))</f>
        <v>0</v>
      </c>
      <c r="E15" s="4">
        <f>IF(C15&gt;=Input!$B$59,1,0)</f>
        <v>0</v>
      </c>
      <c r="F15" s="4">
        <f>IF(AND(C15&gt;=Input!$B$60,D15=1),1,0)</f>
        <v>0</v>
      </c>
      <c r="G15" s="5">
        <f>IF(OR(P14&lt;0,D15=2),0,P14*(1+Input!$B$56))</f>
        <v>192358.85851402555</v>
      </c>
      <c r="H15" s="5">
        <f>IF(D15=0,Input!$B$21+Input!$B$24+Input!$B$27,0)</f>
        <v>2400</v>
      </c>
      <c r="I15" s="5">
        <f>IF(D15=1,Input!$B$69,0)</f>
        <v>0</v>
      </c>
      <c r="J15" s="5">
        <f>IF(F15=1,FV(Input!$B$56,'Primary Details - Actual'!B15,,-Input!$B$12),0)</f>
        <v>0</v>
      </c>
      <c r="K15" s="5">
        <f>IF(E15=1,FV(Input!$B$56,'Primary Details - Actual'!B15,,-Input!$B$13),0)</f>
        <v>0</v>
      </c>
      <c r="L15" s="5">
        <f>IF(D15=1,Input!$B$16+Input!$B$14+Input!$B$15,0)</f>
        <v>0</v>
      </c>
      <c r="M15" s="8"/>
      <c r="N15" s="8">
        <f t="shared" si="1"/>
        <v>0</v>
      </c>
      <c r="O15" s="5">
        <f t="shared" si="2"/>
        <v>0</v>
      </c>
      <c r="P15" s="5">
        <f t="shared" si="3"/>
        <v>194758.85851402555</v>
      </c>
      <c r="R15" s="7" t="e">
        <f>PV(Input!$B$56,'Primary Details - Hypothetical'!B15,0,'Primary Details - Hypothetical'!H15,1)</f>
        <v>#VALUE!</v>
      </c>
      <c r="S15">
        <f t="shared" si="0"/>
        <v>0</v>
      </c>
    </row>
    <row r="16" spans="1:19" x14ac:dyDescent="0.25">
      <c r="A16" s="4">
        <f t="shared" si="4"/>
        <v>15</v>
      </c>
      <c r="B16" s="4" t="str">
        <f>IF(C16&gt;=Input!$B$5,C16-Input!$B$5,"")</f>
        <v/>
      </c>
      <c r="C16" s="4">
        <f t="shared" si="5"/>
        <v>39</v>
      </c>
      <c r="D16" s="4">
        <f>IF(C16&lt;Input!$B$5,0,IF(AND(C16&gt;=Input!$B$5,C16&lt;Input!$B$5+Input!$B$6),1,2))</f>
        <v>0</v>
      </c>
      <c r="E16" s="4">
        <f>IF(C16&gt;=Input!$B$59,1,0)</f>
        <v>0</v>
      </c>
      <c r="F16" s="4">
        <f>IF(AND(C16&gt;=Input!$B$60,D16=1),1,0)</f>
        <v>0</v>
      </c>
      <c r="G16" s="5">
        <f>IF(OR(P15&lt;0,D16=2),0,P15*(1+Input!$B$56))</f>
        <v>196668.25908769245</v>
      </c>
      <c r="H16" s="5">
        <f>IF(D16=0,Input!$B$21+Input!$B$24+Input!$B$27,0)</f>
        <v>2400</v>
      </c>
      <c r="I16" s="5">
        <f>IF(D16=1,Input!$B$69,0)</f>
        <v>0</v>
      </c>
      <c r="J16" s="5">
        <f>IF(F16=1,FV(Input!$B$56,'Primary Details - Actual'!B16,,-Input!$B$12),0)</f>
        <v>0</v>
      </c>
      <c r="K16" s="5">
        <f>IF(E16=1,FV(Input!$B$56,'Primary Details - Actual'!B16,,-Input!$B$13),0)</f>
        <v>0</v>
      </c>
      <c r="L16" s="5">
        <f>IF(D16=1,Input!$B$16+Input!$B$14+Input!$B$15,0)</f>
        <v>0</v>
      </c>
      <c r="M16" s="8"/>
      <c r="N16" s="8">
        <f t="shared" si="1"/>
        <v>0</v>
      </c>
      <c r="O16" s="5">
        <f t="shared" si="2"/>
        <v>0</v>
      </c>
      <c r="P16" s="5">
        <f t="shared" si="3"/>
        <v>199068.25908769245</v>
      </c>
      <c r="R16" s="7" t="e">
        <f>PV(Input!$B$56,'Primary Details - Hypothetical'!B16,0,'Primary Details - Hypothetical'!H16,1)</f>
        <v>#VALUE!</v>
      </c>
      <c r="S16">
        <f t="shared" si="0"/>
        <v>0</v>
      </c>
    </row>
    <row r="17" spans="1:19" x14ac:dyDescent="0.25">
      <c r="A17" s="4">
        <f t="shared" si="4"/>
        <v>16</v>
      </c>
      <c r="B17" s="4" t="str">
        <f>IF(C17&gt;=Input!$B$5,C17-Input!$B$5,"")</f>
        <v/>
      </c>
      <c r="C17" s="4">
        <f t="shared" si="5"/>
        <v>40</v>
      </c>
      <c r="D17" s="4">
        <f>IF(C17&lt;Input!$B$5,0,IF(AND(C17&gt;=Input!$B$5,C17&lt;Input!$B$5+Input!$B$6),1,2))</f>
        <v>0</v>
      </c>
      <c r="E17" s="4">
        <f>IF(C17&gt;=Input!$B$59,1,0)</f>
        <v>0</v>
      </c>
      <c r="F17" s="4">
        <f>IF(AND(C17&gt;=Input!$B$60,D17=1),1,0)</f>
        <v>0</v>
      </c>
      <c r="G17" s="5">
        <f>IF(OR(P16&lt;0,D17=2),0,P16*(1+Input!$B$56))</f>
        <v>201019.9086865914</v>
      </c>
      <c r="H17" s="5">
        <f>IF(D17=0,Input!$B$21+Input!$B$24+Input!$B$27,0)</f>
        <v>2400</v>
      </c>
      <c r="I17" s="5">
        <f>IF(D17=1,Input!$B$69,0)</f>
        <v>0</v>
      </c>
      <c r="J17" s="5">
        <f>IF(F17=1,FV(Input!$B$56,'Primary Details - Actual'!B17,,-Input!$B$12),0)</f>
        <v>0</v>
      </c>
      <c r="K17" s="5">
        <f>IF(E17=1,FV(Input!$B$56,'Primary Details - Actual'!B17,,-Input!$B$13),0)</f>
        <v>0</v>
      </c>
      <c r="L17" s="5">
        <f>IF(D17=1,Input!$B$16+Input!$B$14+Input!$B$15,0)</f>
        <v>0</v>
      </c>
      <c r="M17" s="8"/>
      <c r="N17" s="8">
        <f t="shared" si="1"/>
        <v>0</v>
      </c>
      <c r="O17" s="5">
        <f t="shared" si="2"/>
        <v>0</v>
      </c>
      <c r="P17" s="5">
        <f t="shared" si="3"/>
        <v>203419.9086865914</v>
      </c>
      <c r="R17" s="7" t="e">
        <f>PV(Input!$B$56,'Primary Details - Hypothetical'!B17,0,'Primary Details - Hypothetical'!H17,1)</f>
        <v>#VALUE!</v>
      </c>
      <c r="S17">
        <f t="shared" si="0"/>
        <v>0</v>
      </c>
    </row>
    <row r="18" spans="1:19" x14ac:dyDescent="0.25">
      <c r="A18" s="4">
        <f t="shared" si="4"/>
        <v>17</v>
      </c>
      <c r="B18" s="4" t="str">
        <f>IF(C18&gt;=Input!$B$5,C18-Input!$B$5,"")</f>
        <v/>
      </c>
      <c r="C18" s="4">
        <f t="shared" si="5"/>
        <v>41</v>
      </c>
      <c r="D18" s="4">
        <f>IF(C18&lt;Input!$B$5,0,IF(AND(C18&gt;=Input!$B$5,C18&lt;Input!$B$5+Input!$B$6),1,2))</f>
        <v>0</v>
      </c>
      <c r="E18" s="4">
        <f>IF(C18&gt;=Input!$B$59,1,0)</f>
        <v>0</v>
      </c>
      <c r="F18" s="4">
        <f>IF(AND(C18&gt;=Input!$B$60,D18=1),1,0)</f>
        <v>0</v>
      </c>
      <c r="G18" s="5">
        <f>IF(OR(P17&lt;0,D18=2),0,P17*(1+Input!$B$56))</f>
        <v>205414.22151685209</v>
      </c>
      <c r="H18" s="5">
        <f>IF(D18=0,Input!$B$21+Input!$B$24+Input!$B$27,0)</f>
        <v>2400</v>
      </c>
      <c r="I18" s="5">
        <f>IF(D18=1,Input!$B$69,0)</f>
        <v>0</v>
      </c>
      <c r="J18" s="5">
        <f>IF(F18=1,FV(Input!$B$56,'Primary Details - Actual'!B18,,-Input!$B$12),0)</f>
        <v>0</v>
      </c>
      <c r="K18" s="5">
        <f>IF(E18=1,FV(Input!$B$56,'Primary Details - Actual'!B18,,-Input!$B$13),0)</f>
        <v>0</v>
      </c>
      <c r="L18" s="5">
        <f>IF(D18=1,Input!$B$16+Input!$B$14+Input!$B$15,0)</f>
        <v>0</v>
      </c>
      <c r="M18" s="8"/>
      <c r="N18" s="8">
        <f t="shared" si="1"/>
        <v>0</v>
      </c>
      <c r="O18" s="5">
        <f t="shared" si="2"/>
        <v>0</v>
      </c>
      <c r="P18" s="5">
        <f t="shared" si="3"/>
        <v>207814.22151685209</v>
      </c>
      <c r="R18" s="7" t="e">
        <f>PV(Input!$B$56,'Primary Details - Hypothetical'!B18,0,'Primary Details - Hypothetical'!H18,1)</f>
        <v>#VALUE!</v>
      </c>
      <c r="S18">
        <f t="shared" si="0"/>
        <v>0</v>
      </c>
    </row>
    <row r="19" spans="1:19" x14ac:dyDescent="0.25">
      <c r="A19" s="4">
        <f t="shared" si="4"/>
        <v>18</v>
      </c>
      <c r="B19" s="4" t="str">
        <f>IF(C19&gt;=Input!$B$5,C19-Input!$B$5,"")</f>
        <v/>
      </c>
      <c r="C19" s="4">
        <f t="shared" si="5"/>
        <v>42</v>
      </c>
      <c r="D19" s="4">
        <f>IF(C19&lt;Input!$B$5,0,IF(AND(C19&gt;=Input!$B$5,C19&lt;Input!$B$5+Input!$B$6),1,2))</f>
        <v>0</v>
      </c>
      <c r="E19" s="4">
        <f>IF(C19&gt;=Input!$B$59,1,0)</f>
        <v>0</v>
      </c>
      <c r="F19" s="4">
        <f>IF(AND(C19&gt;=Input!$B$60,D19=1),1,0)</f>
        <v>0</v>
      </c>
      <c r="G19" s="5">
        <f>IF(OR(P18&lt;0,D19=2),0,P18*(1+Input!$B$56))</f>
        <v>209851.61584544869</v>
      </c>
      <c r="H19" s="5">
        <f>IF(D19=0,Input!$B$21+Input!$B$24+Input!$B$27,0)</f>
        <v>2400</v>
      </c>
      <c r="I19" s="5">
        <f>IF(D19=1,Input!$B$69,0)</f>
        <v>0</v>
      </c>
      <c r="J19" s="5">
        <f>IF(F19=1,FV(Input!$B$56,'Primary Details - Actual'!B19,,-Input!$B$12),0)</f>
        <v>0</v>
      </c>
      <c r="K19" s="5">
        <f>IF(E19=1,FV(Input!$B$56,'Primary Details - Actual'!B19,,-Input!$B$13),0)</f>
        <v>0</v>
      </c>
      <c r="L19" s="5">
        <f>IF(D19=1,Input!$B$16+Input!$B$14+Input!$B$15,0)</f>
        <v>0</v>
      </c>
      <c r="M19" s="8"/>
      <c r="N19" s="8">
        <f t="shared" si="1"/>
        <v>0</v>
      </c>
      <c r="O19" s="5">
        <f t="shared" si="2"/>
        <v>0</v>
      </c>
      <c r="P19" s="5">
        <f t="shared" si="3"/>
        <v>212251.61584544869</v>
      </c>
      <c r="R19" s="7" t="e">
        <f>PV(Input!$B$56,'Primary Details - Hypothetical'!B19,0,'Primary Details - Hypothetical'!H19,1)</f>
        <v>#VALUE!</v>
      </c>
      <c r="S19">
        <f t="shared" si="0"/>
        <v>0</v>
      </c>
    </row>
    <row r="20" spans="1:19" x14ac:dyDescent="0.25">
      <c r="A20" s="4">
        <f t="shared" si="4"/>
        <v>19</v>
      </c>
      <c r="B20" s="4" t="str">
        <f>IF(C20&gt;=Input!$B$5,C20-Input!$B$5,"")</f>
        <v/>
      </c>
      <c r="C20" s="4">
        <f t="shared" si="5"/>
        <v>43</v>
      </c>
      <c r="D20" s="4">
        <f>IF(C20&lt;Input!$B$5,0,IF(AND(C20&gt;=Input!$B$5,C20&lt;Input!$B$5+Input!$B$6),1,2))</f>
        <v>0</v>
      </c>
      <c r="E20" s="4">
        <f>IF(C20&gt;=Input!$B$59,1,0)</f>
        <v>0</v>
      </c>
      <c r="F20" s="4">
        <f>IF(AND(C20&gt;=Input!$B$60,D20=1),1,0)</f>
        <v>0</v>
      </c>
      <c r="G20" s="5">
        <f>IF(OR(P19&lt;0,D20=2),0,P19*(1+Input!$B$56))</f>
        <v>214332.51404001191</v>
      </c>
      <c r="H20" s="5">
        <f>IF(D20=0,Input!$B$21+Input!$B$24+Input!$B$27,0)</f>
        <v>2400</v>
      </c>
      <c r="I20" s="5">
        <f>IF(D20=1,Input!$B$69,0)</f>
        <v>0</v>
      </c>
      <c r="J20" s="5">
        <f>IF(F20=1,FV(Input!$B$56,'Primary Details - Actual'!B20,,-Input!$B$12),0)</f>
        <v>0</v>
      </c>
      <c r="K20" s="5">
        <f>IF(E20=1,FV(Input!$B$56,'Primary Details - Actual'!B20,,-Input!$B$13),0)</f>
        <v>0</v>
      </c>
      <c r="L20" s="5">
        <f>IF(D20=1,Input!$B$16+Input!$B$14+Input!$B$15,0)</f>
        <v>0</v>
      </c>
      <c r="M20" s="8"/>
      <c r="N20" s="8">
        <f t="shared" si="1"/>
        <v>0</v>
      </c>
      <c r="O20" s="5">
        <f t="shared" si="2"/>
        <v>0</v>
      </c>
      <c r="P20" s="5">
        <f t="shared" si="3"/>
        <v>216732.51404001191</v>
      </c>
      <c r="R20" s="7" t="e">
        <f>PV(Input!$B$56,'Primary Details - Hypothetical'!B20,0,'Primary Details - Hypothetical'!H20,1)</f>
        <v>#VALUE!</v>
      </c>
      <c r="S20">
        <f t="shared" si="0"/>
        <v>0</v>
      </c>
    </row>
    <row r="21" spans="1:19" x14ac:dyDescent="0.25">
      <c r="A21" s="4">
        <f t="shared" si="4"/>
        <v>20</v>
      </c>
      <c r="B21" s="4" t="str">
        <f>IF(C21&gt;=Input!$B$5,C21-Input!$B$5,"")</f>
        <v/>
      </c>
      <c r="C21" s="4">
        <f t="shared" si="5"/>
        <v>44</v>
      </c>
      <c r="D21" s="4">
        <f>IF(C21&lt;Input!$B$5,0,IF(AND(C21&gt;=Input!$B$5,C21&lt;Input!$B$5+Input!$B$6),1,2))</f>
        <v>0</v>
      </c>
      <c r="E21" s="4">
        <f>IF(C21&gt;=Input!$B$59,1,0)</f>
        <v>0</v>
      </c>
      <c r="F21" s="4">
        <f>IF(AND(C21&gt;=Input!$B$60,D21=1),1,0)</f>
        <v>0</v>
      </c>
      <c r="G21" s="5">
        <f>IF(OR(P20&lt;0,D21=2),0,P20*(1+Input!$B$56))</f>
        <v>218857.34260903162</v>
      </c>
      <c r="H21" s="5">
        <f>IF(D21=0,Input!$B$21+Input!$B$24+Input!$B$27,0)</f>
        <v>2400</v>
      </c>
      <c r="I21" s="5">
        <f>IF(D21=1,Input!$B$69,0)</f>
        <v>0</v>
      </c>
      <c r="J21" s="5">
        <f>IF(F21=1,FV(Input!$B$56,'Primary Details - Actual'!B21,,-Input!$B$12),0)</f>
        <v>0</v>
      </c>
      <c r="K21" s="5">
        <f>IF(E21=1,FV(Input!$B$56,'Primary Details - Actual'!B21,,-Input!$B$13),0)</f>
        <v>0</v>
      </c>
      <c r="L21" s="5">
        <f>IF(D21=1,Input!$B$16+Input!$B$14+Input!$B$15,0)</f>
        <v>0</v>
      </c>
      <c r="M21" s="8"/>
      <c r="N21" s="8">
        <f t="shared" si="1"/>
        <v>0</v>
      </c>
      <c r="O21" s="5">
        <f t="shared" si="2"/>
        <v>0</v>
      </c>
      <c r="P21" s="5">
        <f t="shared" si="3"/>
        <v>221257.34260903162</v>
      </c>
      <c r="R21" s="7" t="e">
        <f>PV(Input!$B$56,'Primary Details - Hypothetical'!B21,0,'Primary Details - Hypothetical'!H21,1)</f>
        <v>#VALUE!</v>
      </c>
      <c r="S21">
        <f t="shared" si="0"/>
        <v>0</v>
      </c>
    </row>
    <row r="22" spans="1:19" x14ac:dyDescent="0.25">
      <c r="A22" s="4">
        <f t="shared" si="4"/>
        <v>21</v>
      </c>
      <c r="B22" s="4" t="str">
        <f>IF(C22&gt;=Input!$B$5,C22-Input!$B$5,"")</f>
        <v/>
      </c>
      <c r="C22" s="4">
        <f t="shared" si="5"/>
        <v>45</v>
      </c>
      <c r="D22" s="4">
        <f>IF(C22&lt;Input!$B$5,0,IF(AND(C22&gt;=Input!$B$5,C22&lt;Input!$B$5+Input!$B$6),1,2))</f>
        <v>0</v>
      </c>
      <c r="E22" s="4">
        <f>IF(C22&gt;=Input!$B$59,1,0)</f>
        <v>0</v>
      </c>
      <c r="F22" s="4">
        <f>IF(AND(C22&gt;=Input!$B$60,D22=1),1,0)</f>
        <v>0</v>
      </c>
      <c r="G22" s="5">
        <f>IF(OR(P21&lt;0,D22=2),0,P21*(1+Input!$B$56))</f>
        <v>223426.53224245348</v>
      </c>
      <c r="H22" s="5">
        <f>IF(D22=0,Input!$B$21+Input!$B$24+Input!$B$27,0)</f>
        <v>2400</v>
      </c>
      <c r="I22" s="5">
        <f>IF(D22=1,Input!$B$69,0)</f>
        <v>0</v>
      </c>
      <c r="J22" s="5">
        <f>IF(F22=1,FV(Input!$B$56,'Primary Details - Actual'!B22,,-Input!$B$12),0)</f>
        <v>0</v>
      </c>
      <c r="K22" s="5">
        <f>IF(E22=1,FV(Input!$B$56,'Primary Details - Actual'!B22,,-Input!$B$13),0)</f>
        <v>0</v>
      </c>
      <c r="L22" s="5">
        <f>IF(D22=1,Input!$B$16+Input!$B$14+Input!$B$15,0)</f>
        <v>0</v>
      </c>
      <c r="M22" s="8"/>
      <c r="N22" s="8">
        <f t="shared" si="1"/>
        <v>0</v>
      </c>
      <c r="O22" s="5">
        <f t="shared" si="2"/>
        <v>0</v>
      </c>
      <c r="P22" s="5">
        <f t="shared" si="3"/>
        <v>225826.53224245348</v>
      </c>
      <c r="R22" s="7" t="e">
        <f>PV(Input!$B$56,'Primary Details - Hypothetical'!B22,0,'Primary Details - Hypothetical'!H22,1)</f>
        <v>#VALUE!</v>
      </c>
      <c r="S22">
        <f t="shared" si="0"/>
        <v>0</v>
      </c>
    </row>
    <row r="23" spans="1:19" x14ac:dyDescent="0.25">
      <c r="A23" s="4">
        <f t="shared" si="4"/>
        <v>22</v>
      </c>
      <c r="B23" s="4" t="str">
        <f>IF(C23&gt;=Input!$B$5,C23-Input!$B$5,"")</f>
        <v/>
      </c>
      <c r="C23" s="4">
        <f t="shared" si="5"/>
        <v>46</v>
      </c>
      <c r="D23" s="4">
        <f>IF(C23&lt;Input!$B$5,0,IF(AND(C23&gt;=Input!$B$5,C23&lt;Input!$B$5+Input!$B$6),1,2))</f>
        <v>0</v>
      </c>
      <c r="E23" s="4">
        <f>IF(C23&gt;=Input!$B$59,1,0)</f>
        <v>0</v>
      </c>
      <c r="F23" s="4">
        <f>IF(AND(C23&gt;=Input!$B$60,D23=1),1,0)</f>
        <v>0</v>
      </c>
      <c r="G23" s="5">
        <f>IF(OR(P22&lt;0,D23=2),0,P22*(1+Input!$B$56))</f>
        <v>228040.5178526736</v>
      </c>
      <c r="H23" s="5">
        <f>IF(D23=0,Input!$B$21+Input!$B$24+Input!$B$27,0)</f>
        <v>2400</v>
      </c>
      <c r="I23" s="5">
        <f>IF(D23=1,Input!$B$69,0)</f>
        <v>0</v>
      </c>
      <c r="J23" s="5">
        <f>IF(F23=1,FV(Input!$B$56,'Primary Details - Actual'!B23,,-Input!$B$12),0)</f>
        <v>0</v>
      </c>
      <c r="K23" s="5">
        <f>IF(E23=1,FV(Input!$B$56,'Primary Details - Actual'!B23,,-Input!$B$13),0)</f>
        <v>0</v>
      </c>
      <c r="L23" s="5">
        <f>IF(D23=1,Input!$B$16+Input!$B$14+Input!$B$15,0)</f>
        <v>0</v>
      </c>
      <c r="M23" s="8"/>
      <c r="N23" s="8">
        <f t="shared" si="1"/>
        <v>0</v>
      </c>
      <c r="O23" s="5">
        <f t="shared" si="2"/>
        <v>0</v>
      </c>
      <c r="P23" s="5">
        <f t="shared" si="3"/>
        <v>230440.5178526736</v>
      </c>
      <c r="R23" s="7" t="e">
        <f>PV(Input!$B$56,'Primary Details - Hypothetical'!B23,0,'Primary Details - Hypothetical'!H23,1)</f>
        <v>#VALUE!</v>
      </c>
      <c r="S23">
        <f t="shared" si="0"/>
        <v>0</v>
      </c>
    </row>
    <row r="24" spans="1:19" x14ac:dyDescent="0.25">
      <c r="A24" s="4">
        <f t="shared" si="4"/>
        <v>23</v>
      </c>
      <c r="B24" s="4" t="str">
        <f>IF(C24&gt;=Input!$B$5,C24-Input!$B$5,"")</f>
        <v/>
      </c>
      <c r="C24" s="4">
        <f t="shared" si="5"/>
        <v>47</v>
      </c>
      <c r="D24" s="4">
        <f>IF(C24&lt;Input!$B$5,0,IF(AND(C24&gt;=Input!$B$5,C24&lt;Input!$B$5+Input!$B$6),1,2))</f>
        <v>0</v>
      </c>
      <c r="E24" s="4">
        <f>IF(C24&gt;=Input!$B$59,1,0)</f>
        <v>0</v>
      </c>
      <c r="F24" s="4">
        <f>IF(AND(C24&gt;=Input!$B$60,D24=1),1,0)</f>
        <v>0</v>
      </c>
      <c r="G24" s="5">
        <f>IF(OR(P23&lt;0,D24=2),0,P23*(1+Input!$B$56))</f>
        <v>232699.73861593509</v>
      </c>
      <c r="H24" s="5">
        <f>IF(D24=0,Input!$B$21+Input!$B$24+Input!$B$27,0)</f>
        <v>2400</v>
      </c>
      <c r="I24" s="5">
        <f>IF(D24=1,Input!$B$69,0)</f>
        <v>0</v>
      </c>
      <c r="J24" s="5">
        <f>IF(F24=1,FV(Input!$B$56,'Primary Details - Actual'!B24,,-Input!$B$12),0)</f>
        <v>0</v>
      </c>
      <c r="K24" s="5">
        <f>IF(E24=1,FV(Input!$B$56,'Primary Details - Actual'!B24,,-Input!$B$13),0)</f>
        <v>0</v>
      </c>
      <c r="L24" s="5">
        <f>IF(D24=1,Input!$B$16+Input!$B$14+Input!$B$15,0)</f>
        <v>0</v>
      </c>
      <c r="M24" s="8"/>
      <c r="N24" s="8">
        <f t="shared" si="1"/>
        <v>0</v>
      </c>
      <c r="O24" s="5">
        <f t="shared" si="2"/>
        <v>0</v>
      </c>
      <c r="P24" s="5">
        <f t="shared" si="3"/>
        <v>235099.73861593509</v>
      </c>
      <c r="R24" s="7" t="e">
        <f>PV(Input!$B$56,'Primary Details - Hypothetical'!B24,0,'Primary Details - Hypothetical'!H24,1)</f>
        <v>#VALUE!</v>
      </c>
      <c r="S24">
        <f t="shared" si="0"/>
        <v>0</v>
      </c>
    </row>
    <row r="25" spans="1:19" x14ac:dyDescent="0.25">
      <c r="A25" s="4">
        <f t="shared" si="4"/>
        <v>24</v>
      </c>
      <c r="B25" s="4" t="str">
        <f>IF(C25&gt;=Input!$B$5,C25-Input!$B$5,"")</f>
        <v/>
      </c>
      <c r="C25" s="4">
        <f t="shared" si="5"/>
        <v>48</v>
      </c>
      <c r="D25" s="4">
        <f>IF(C25&lt;Input!$B$5,0,IF(AND(C25&gt;=Input!$B$5,C25&lt;Input!$B$5+Input!$B$6),1,2))</f>
        <v>0</v>
      </c>
      <c r="E25" s="4">
        <f>IF(C25&gt;=Input!$B$59,1,0)</f>
        <v>0</v>
      </c>
      <c r="F25" s="4">
        <f>IF(AND(C25&gt;=Input!$B$60,D25=1),1,0)</f>
        <v>0</v>
      </c>
      <c r="G25" s="5">
        <f>IF(OR(P24&lt;0,D25=2),0,P24*(1+Input!$B$56))</f>
        <v>237404.63801413053</v>
      </c>
      <c r="H25" s="5">
        <f>IF(D25=0,Input!$B$21+Input!$B$24+Input!$B$27,0)</f>
        <v>2400</v>
      </c>
      <c r="I25" s="5">
        <f>IF(D25=1,Input!$B$69,0)</f>
        <v>0</v>
      </c>
      <c r="J25" s="5">
        <f>IF(F25=1,FV(Input!$B$56,'Primary Details - Actual'!B25,,-Input!$B$12),0)</f>
        <v>0</v>
      </c>
      <c r="K25" s="5">
        <f>IF(E25=1,FV(Input!$B$56,'Primary Details - Actual'!B25,,-Input!$B$13),0)</f>
        <v>0</v>
      </c>
      <c r="L25" s="5">
        <f>IF(D25=1,Input!$B$16+Input!$B$14+Input!$B$15,0)</f>
        <v>0</v>
      </c>
      <c r="M25" s="8"/>
      <c r="N25" s="8">
        <f t="shared" si="1"/>
        <v>0</v>
      </c>
      <c r="O25" s="5">
        <f t="shared" si="2"/>
        <v>0</v>
      </c>
      <c r="P25" s="5">
        <f t="shared" si="3"/>
        <v>239804.63801413053</v>
      </c>
      <c r="R25" s="7" t="e">
        <f>PV(Input!$B$56,'Primary Details - Hypothetical'!B25,0,'Primary Details - Hypothetical'!H25,1)</f>
        <v>#VALUE!</v>
      </c>
      <c r="S25">
        <f t="shared" si="0"/>
        <v>0</v>
      </c>
    </row>
    <row r="26" spans="1:19" x14ac:dyDescent="0.25">
      <c r="A26" s="4">
        <f t="shared" si="4"/>
        <v>25</v>
      </c>
      <c r="B26" s="4" t="str">
        <f>IF(C26&gt;=Input!$B$5,C26-Input!$B$5,"")</f>
        <v/>
      </c>
      <c r="C26" s="4">
        <f t="shared" si="5"/>
        <v>49</v>
      </c>
      <c r="D26" s="4">
        <f>IF(C26&lt;Input!$B$5,0,IF(AND(C26&gt;=Input!$B$5,C26&lt;Input!$B$5+Input!$B$6),1,2))</f>
        <v>0</v>
      </c>
      <c r="E26" s="4">
        <f>IF(C26&gt;=Input!$B$59,1,0)</f>
        <v>0</v>
      </c>
      <c r="F26" s="4">
        <f>IF(AND(C26&gt;=Input!$B$60,D26=1),1,0)</f>
        <v>0</v>
      </c>
      <c r="G26" s="5">
        <f>IF(OR(P25&lt;0,D26=2),0,P25*(1+Input!$B$56))</f>
        <v>242155.66387701416</v>
      </c>
      <c r="H26" s="5">
        <f>IF(D26=0,Input!$B$21+Input!$B$24+Input!$B$27,0)</f>
        <v>2400</v>
      </c>
      <c r="I26" s="5">
        <f>IF(D26=1,Input!$B$69,0)</f>
        <v>0</v>
      </c>
      <c r="J26" s="5">
        <f>IF(F26=1,FV(Input!$B$56,'Primary Details - Actual'!B26,,-Input!$B$12),0)</f>
        <v>0</v>
      </c>
      <c r="K26" s="5">
        <f>IF(E26=1,FV(Input!$B$56,'Primary Details - Actual'!B26,,-Input!$B$13),0)</f>
        <v>0</v>
      </c>
      <c r="L26" s="5">
        <f>IF(D26=1,Input!$B$16+Input!$B$14+Input!$B$15,0)</f>
        <v>0</v>
      </c>
      <c r="M26" s="8"/>
      <c r="N26" s="8">
        <f t="shared" si="1"/>
        <v>0</v>
      </c>
      <c r="O26" s="5">
        <f t="shared" si="2"/>
        <v>0</v>
      </c>
      <c r="P26" s="5">
        <f t="shared" si="3"/>
        <v>244555.66387701416</v>
      </c>
      <c r="R26" s="7" t="e">
        <f>PV(Input!$B$56,'Primary Details - Hypothetical'!B26,0,'Primary Details - Hypothetical'!H26,1)</f>
        <v>#VALUE!</v>
      </c>
      <c r="S26">
        <f t="shared" si="0"/>
        <v>0</v>
      </c>
    </row>
    <row r="27" spans="1:19" x14ac:dyDescent="0.25">
      <c r="A27" s="4">
        <f t="shared" si="4"/>
        <v>26</v>
      </c>
      <c r="B27" s="4" t="str">
        <f>IF(C27&gt;=Input!$B$5,C27-Input!$B$5,"")</f>
        <v/>
      </c>
      <c r="C27" s="4">
        <f t="shared" si="5"/>
        <v>50</v>
      </c>
      <c r="D27" s="4">
        <f>IF(C27&lt;Input!$B$5,0,IF(AND(C27&gt;=Input!$B$5,C27&lt;Input!$B$5+Input!$B$6),1,2))</f>
        <v>0</v>
      </c>
      <c r="E27" s="4">
        <f>IF(C27&gt;=Input!$B$59,1,0)</f>
        <v>0</v>
      </c>
      <c r="F27" s="4">
        <f>IF(AND(C27&gt;=Input!$B$60,D27=1),1,0)</f>
        <v>0</v>
      </c>
      <c r="G27" s="5">
        <f>IF(OR(P26&lt;0,D27=2),0,P26*(1+Input!$B$56))</f>
        <v>246953.26842482801</v>
      </c>
      <c r="H27" s="5">
        <f>IF(D27=0,Input!$B$21+Input!$B$24+Input!$B$27,0)</f>
        <v>2400</v>
      </c>
      <c r="I27" s="5">
        <f>IF(D27=1,Input!$B$69,0)</f>
        <v>0</v>
      </c>
      <c r="J27" s="5">
        <f>IF(F27=1,FV(Input!$B$56,'Primary Details - Actual'!B27,,-Input!$B$12),0)</f>
        <v>0</v>
      </c>
      <c r="K27" s="5">
        <f>IF(E27=1,FV(Input!$B$56,'Primary Details - Actual'!B27,,-Input!$B$13),0)</f>
        <v>0</v>
      </c>
      <c r="L27" s="5">
        <f>IF(D27=1,Input!$B$16+Input!$B$14+Input!$B$15,0)</f>
        <v>0</v>
      </c>
      <c r="M27" s="8"/>
      <c r="N27" s="8">
        <f t="shared" si="1"/>
        <v>0</v>
      </c>
      <c r="O27" s="5">
        <f t="shared" si="2"/>
        <v>0</v>
      </c>
      <c r="P27" s="5">
        <f t="shared" si="3"/>
        <v>249353.26842482801</v>
      </c>
      <c r="R27" s="7" t="e">
        <f>PV(Input!$B$56,'Primary Details - Hypothetical'!B27,0,'Primary Details - Hypothetical'!H27,1)</f>
        <v>#VALUE!</v>
      </c>
      <c r="S27">
        <f t="shared" si="0"/>
        <v>0</v>
      </c>
    </row>
    <row r="28" spans="1:19" x14ac:dyDescent="0.25">
      <c r="A28" s="4">
        <f t="shared" si="4"/>
        <v>27</v>
      </c>
      <c r="B28" s="4" t="str">
        <f>IF(C28&gt;=Input!$B$5,C28-Input!$B$5,"")</f>
        <v/>
      </c>
      <c r="C28" s="4">
        <f t="shared" si="5"/>
        <v>51</v>
      </c>
      <c r="D28" s="4">
        <f>IF(C28&lt;Input!$B$5,0,IF(AND(C28&gt;=Input!$B$5,C28&lt;Input!$B$5+Input!$B$6),1,2))</f>
        <v>0</v>
      </c>
      <c r="E28" s="4">
        <f>IF(C28&gt;=Input!$B$59,1,0)</f>
        <v>0</v>
      </c>
      <c r="F28" s="4">
        <f>IF(AND(C28&gt;=Input!$B$60,D28=1),1,0)</f>
        <v>0</v>
      </c>
      <c r="G28" s="5">
        <f>IF(OR(P27&lt;0,D28=2),0,P27*(1+Input!$B$56))</f>
        <v>251797.90831134593</v>
      </c>
      <c r="H28" s="5">
        <f>IF(D28=0,Input!$B$21+Input!$B$24+Input!$B$27,0)</f>
        <v>2400</v>
      </c>
      <c r="I28" s="5">
        <f>IF(D28=1,Input!$B$69,0)</f>
        <v>0</v>
      </c>
      <c r="J28" s="5">
        <f>IF(F28=1,FV(Input!$B$56,'Primary Details - Actual'!B28,,-Input!$B$12),0)</f>
        <v>0</v>
      </c>
      <c r="K28" s="5">
        <f>IF(E28=1,FV(Input!$B$56,'Primary Details - Actual'!B28,,-Input!$B$13),0)</f>
        <v>0</v>
      </c>
      <c r="L28" s="5">
        <f>IF(D28=1,Input!$B$16+Input!$B$14+Input!$B$15,0)</f>
        <v>0</v>
      </c>
      <c r="M28" s="8"/>
      <c r="N28" s="8">
        <f t="shared" si="1"/>
        <v>0</v>
      </c>
      <c r="O28" s="5">
        <f t="shared" si="2"/>
        <v>0</v>
      </c>
      <c r="P28" s="5">
        <f t="shared" si="3"/>
        <v>254197.90831134593</v>
      </c>
      <c r="R28" s="7" t="e">
        <f>PV(Input!$B$56,'Primary Details - Hypothetical'!B28,0,'Primary Details - Hypothetical'!H28,1)</f>
        <v>#VALUE!</v>
      </c>
      <c r="S28">
        <f t="shared" si="0"/>
        <v>0</v>
      </c>
    </row>
    <row r="29" spans="1:19" x14ac:dyDescent="0.25">
      <c r="A29" s="4">
        <f t="shared" si="4"/>
        <v>28</v>
      </c>
      <c r="B29" s="4" t="str">
        <f>IF(C29&gt;=Input!$B$5,C29-Input!$B$5,"")</f>
        <v/>
      </c>
      <c r="C29" s="4">
        <f t="shared" si="5"/>
        <v>52</v>
      </c>
      <c r="D29" s="4">
        <f>IF(C29&lt;Input!$B$5,0,IF(AND(C29&gt;=Input!$B$5,C29&lt;Input!$B$5+Input!$B$6),1,2))</f>
        <v>0</v>
      </c>
      <c r="E29" s="4">
        <f>IF(C29&gt;=Input!$B$59,1,0)</f>
        <v>0</v>
      </c>
      <c r="F29" s="4">
        <f>IF(AND(C29&gt;=Input!$B$60,D29=1),1,0)</f>
        <v>0</v>
      </c>
      <c r="G29" s="5">
        <f>IF(OR(P28&lt;0,D29=2),0,P28*(1+Input!$B$56))</f>
        <v>256690.04466733951</v>
      </c>
      <c r="H29" s="5">
        <f>IF(D29=0,Input!$B$21+Input!$B$24+Input!$B$27,0)</f>
        <v>2400</v>
      </c>
      <c r="I29" s="5">
        <f>IF(D29=1,Input!$B$69,0)</f>
        <v>0</v>
      </c>
      <c r="J29" s="5">
        <f>IF(F29=1,FV(Input!$B$56,'Primary Details - Actual'!B29,,-Input!$B$12),0)</f>
        <v>0</v>
      </c>
      <c r="K29" s="5">
        <f>IF(E29=1,FV(Input!$B$56,'Primary Details - Actual'!B29,,-Input!$B$13),0)</f>
        <v>0</v>
      </c>
      <c r="L29" s="5">
        <f>IF(D29=1,Input!$B$16+Input!$B$14+Input!$B$15,0)</f>
        <v>0</v>
      </c>
      <c r="M29" s="8"/>
      <c r="N29" s="8">
        <f t="shared" si="1"/>
        <v>0</v>
      </c>
      <c r="O29" s="5">
        <f t="shared" si="2"/>
        <v>0</v>
      </c>
      <c r="P29" s="5">
        <f t="shared" si="3"/>
        <v>259090.04466733951</v>
      </c>
      <c r="R29" s="7" t="e">
        <f>PV(Input!$B$56,'Primary Details - Hypothetical'!B29,0,'Primary Details - Hypothetical'!H29,1)</f>
        <v>#VALUE!</v>
      </c>
      <c r="S29">
        <f t="shared" si="0"/>
        <v>0</v>
      </c>
    </row>
    <row r="30" spans="1:19" x14ac:dyDescent="0.25">
      <c r="A30" s="4">
        <f t="shared" si="4"/>
        <v>29</v>
      </c>
      <c r="B30" s="4" t="str">
        <f>IF(C30&gt;=Input!$B$5,C30-Input!$B$5,"")</f>
        <v/>
      </c>
      <c r="C30" s="4">
        <f t="shared" si="5"/>
        <v>53</v>
      </c>
      <c r="D30" s="4">
        <f>IF(C30&lt;Input!$B$5,0,IF(AND(C30&gt;=Input!$B$5,C30&lt;Input!$B$5+Input!$B$6),1,2))</f>
        <v>0</v>
      </c>
      <c r="E30" s="4">
        <f>IF(C30&gt;=Input!$B$59,1,0)</f>
        <v>0</v>
      </c>
      <c r="F30" s="4">
        <f>IF(AND(C30&gt;=Input!$B$60,D30=1),1,0)</f>
        <v>0</v>
      </c>
      <c r="G30" s="5">
        <f>IF(OR(P29&lt;0,D30=2),0,P29*(1+Input!$B$56))</f>
        <v>261630.14314447029</v>
      </c>
      <c r="H30" s="5">
        <f>IF(D30=0,Input!$B$21+Input!$B$24+Input!$B$27,0)</f>
        <v>2400</v>
      </c>
      <c r="I30" s="5">
        <f>IF(D30=1,Input!$B$69,0)</f>
        <v>0</v>
      </c>
      <c r="J30" s="5">
        <f>IF(F30=1,FV(Input!$B$56,'Primary Details - Actual'!B30,,-Input!$B$12),0)</f>
        <v>0</v>
      </c>
      <c r="K30" s="5">
        <f>IF(E30=1,FV(Input!$B$56,'Primary Details - Actual'!B30,,-Input!$B$13),0)</f>
        <v>0</v>
      </c>
      <c r="L30" s="5">
        <f>IF(D30=1,Input!$B$16+Input!$B$14+Input!$B$15,0)</f>
        <v>0</v>
      </c>
      <c r="M30" s="8"/>
      <c r="N30" s="8">
        <f t="shared" si="1"/>
        <v>0</v>
      </c>
      <c r="O30" s="5">
        <f t="shared" si="2"/>
        <v>0</v>
      </c>
      <c r="P30" s="5">
        <f t="shared" si="3"/>
        <v>264030.14314447029</v>
      </c>
      <c r="R30" s="7" t="e">
        <f>PV(Input!$B$56,'Primary Details - Hypothetical'!B30,0,'Primary Details - Hypothetical'!H30,1)</f>
        <v>#VALUE!</v>
      </c>
      <c r="S30">
        <f t="shared" si="0"/>
        <v>0</v>
      </c>
    </row>
    <row r="31" spans="1:19" x14ac:dyDescent="0.25">
      <c r="A31" s="4">
        <f t="shared" si="4"/>
        <v>30</v>
      </c>
      <c r="B31" s="4" t="str">
        <f>IF(C31&gt;=Input!$B$5,C31-Input!$B$5,"")</f>
        <v/>
      </c>
      <c r="C31" s="4">
        <f t="shared" si="5"/>
        <v>54</v>
      </c>
      <c r="D31" s="4">
        <f>IF(C31&lt;Input!$B$5,0,IF(AND(C31&gt;=Input!$B$5,C31&lt;Input!$B$5+Input!$B$6),1,2))</f>
        <v>0</v>
      </c>
      <c r="E31" s="4">
        <f>IF(C31&gt;=Input!$B$59,1,0)</f>
        <v>0</v>
      </c>
      <c r="F31" s="4">
        <f>IF(AND(C31&gt;=Input!$B$60,D31=1),1,0)</f>
        <v>0</v>
      </c>
      <c r="G31" s="5">
        <f>IF(OR(P30&lt;0,D31=2),0,P30*(1+Input!$B$56))</f>
        <v>266618.67395961215</v>
      </c>
      <c r="H31" s="5">
        <f>IF(D31=0,Input!$B$21+Input!$B$24+Input!$B$27,0)</f>
        <v>2400</v>
      </c>
      <c r="I31" s="5">
        <f>IF(D31=1,Input!$B$69,0)</f>
        <v>0</v>
      </c>
      <c r="J31" s="5">
        <f>IF(F31=1,FV(Input!$B$56,'Primary Details - Actual'!B31,,-Input!$B$12),0)</f>
        <v>0</v>
      </c>
      <c r="K31" s="5">
        <f>IF(E31=1,FV(Input!$B$56,'Primary Details - Actual'!B31,,-Input!$B$13),0)</f>
        <v>0</v>
      </c>
      <c r="L31" s="5">
        <f>IF(D31=1,Input!$B$16+Input!$B$14+Input!$B$15,0)</f>
        <v>0</v>
      </c>
      <c r="M31" s="8"/>
      <c r="N31" s="8">
        <f t="shared" si="1"/>
        <v>0</v>
      </c>
      <c r="O31" s="5">
        <f t="shared" si="2"/>
        <v>0</v>
      </c>
      <c r="P31" s="5">
        <f t="shared" si="3"/>
        <v>269018.67395961215</v>
      </c>
      <c r="R31" s="7" t="e">
        <f>PV(Input!$B$56,'Primary Details - Hypothetical'!B31,0,'Primary Details - Hypothetical'!H31,1)</f>
        <v>#VALUE!</v>
      </c>
      <c r="S31">
        <f t="shared" si="0"/>
        <v>0</v>
      </c>
    </row>
    <row r="32" spans="1:19" x14ac:dyDescent="0.25">
      <c r="A32" s="4">
        <f t="shared" si="4"/>
        <v>31</v>
      </c>
      <c r="B32" s="4" t="str">
        <f>IF(C32&gt;=Input!$B$5,C32-Input!$B$5,"")</f>
        <v/>
      </c>
      <c r="C32" s="4">
        <f t="shared" si="5"/>
        <v>55</v>
      </c>
      <c r="D32" s="4">
        <f>IF(C32&lt;Input!$B$5,0,IF(AND(C32&gt;=Input!$B$5,C32&lt;Input!$B$5+Input!$B$6),1,2))</f>
        <v>0</v>
      </c>
      <c r="E32" s="4">
        <f>IF(C32&gt;=Input!$B$59,1,0)</f>
        <v>0</v>
      </c>
      <c r="F32" s="4">
        <f>IF(AND(C32&gt;=Input!$B$60,D32=1),1,0)</f>
        <v>0</v>
      </c>
      <c r="G32" s="5">
        <f>IF(OR(P31&lt;0,D32=2),0,P31*(1+Input!$B$56))</f>
        <v>271656.11193960835</v>
      </c>
      <c r="H32" s="5">
        <f>IF(D32=0,Input!$B$21+Input!$B$24+Input!$B$27,0)</f>
        <v>2400</v>
      </c>
      <c r="I32" s="5">
        <f>IF(D32=1,Input!$B$69,0)</f>
        <v>0</v>
      </c>
      <c r="J32" s="5">
        <f>IF(F32=1,FV(Input!$B$56,'Primary Details - Actual'!B32,,-Input!$B$12),0)</f>
        <v>0</v>
      </c>
      <c r="K32" s="5">
        <f>IF(E32=1,FV(Input!$B$56,'Primary Details - Actual'!B32,,-Input!$B$13),0)</f>
        <v>0</v>
      </c>
      <c r="L32" s="5">
        <f>IF(D32=1,Input!$B$16+Input!$B$14+Input!$B$15,0)</f>
        <v>0</v>
      </c>
      <c r="M32" s="8"/>
      <c r="N32" s="8">
        <f t="shared" si="1"/>
        <v>0</v>
      </c>
      <c r="O32" s="5">
        <f t="shared" si="2"/>
        <v>0</v>
      </c>
      <c r="P32" s="5">
        <f t="shared" si="3"/>
        <v>274056.11193960835</v>
      </c>
      <c r="R32" s="7" t="e">
        <f>PV(Input!$B$56,'Primary Details - Hypothetical'!B32,0,'Primary Details - Hypothetical'!H32,1)</f>
        <v>#VALUE!</v>
      </c>
      <c r="S32">
        <f t="shared" si="0"/>
        <v>0</v>
      </c>
    </row>
    <row r="33" spans="1:19" x14ac:dyDescent="0.25">
      <c r="A33" s="4">
        <f t="shared" si="4"/>
        <v>32</v>
      </c>
      <c r="B33" s="4" t="str">
        <f>IF(C33&gt;=Input!$B$5,C33-Input!$B$5,"")</f>
        <v/>
      </c>
      <c r="C33" s="4">
        <f t="shared" si="5"/>
        <v>56</v>
      </c>
      <c r="D33" s="4">
        <f>IF(C33&lt;Input!$B$5,0,IF(AND(C33&gt;=Input!$B$5,C33&lt;Input!$B$5+Input!$B$6),1,2))</f>
        <v>0</v>
      </c>
      <c r="E33" s="4">
        <f>IF(C33&gt;=Input!$B$59,1,0)</f>
        <v>0</v>
      </c>
      <c r="F33" s="4">
        <f>IF(AND(C33&gt;=Input!$B$60,D33=1),1,0)</f>
        <v>0</v>
      </c>
      <c r="G33" s="5">
        <f>IF(OR(P32&lt;0,D33=2),0,P32*(1+Input!$B$56))</f>
        <v>276742.93656646722</v>
      </c>
      <c r="H33" s="5">
        <f>IF(D33=0,Input!$B$21+Input!$B$24+Input!$B$27,0)</f>
        <v>2400</v>
      </c>
      <c r="I33" s="5">
        <f>IF(D33=1,Input!$B$69,0)</f>
        <v>0</v>
      </c>
      <c r="J33" s="5">
        <f>IF(F33=1,FV(Input!$B$56,'Primary Details - Actual'!B33,,-Input!$B$12),0)</f>
        <v>0</v>
      </c>
      <c r="K33" s="5">
        <f>IF(E33=1,FV(Input!$B$56,'Primary Details - Actual'!B33,,-Input!$B$13),0)</f>
        <v>0</v>
      </c>
      <c r="L33" s="5">
        <f>IF(D33=1,Input!$B$16+Input!$B$14+Input!$B$15,0)</f>
        <v>0</v>
      </c>
      <c r="M33" s="8"/>
      <c r="N33" s="8">
        <f t="shared" si="1"/>
        <v>0</v>
      </c>
      <c r="O33" s="5">
        <f t="shared" si="2"/>
        <v>0</v>
      </c>
      <c r="P33" s="5">
        <f t="shared" si="3"/>
        <v>279142.93656646722</v>
      </c>
      <c r="R33" s="7" t="e">
        <f>PV(Input!$B$56,'Primary Details - Hypothetical'!B33,0,'Primary Details - Hypothetical'!H33,1)</f>
        <v>#VALUE!</v>
      </c>
      <c r="S33">
        <f t="shared" si="0"/>
        <v>0</v>
      </c>
    </row>
    <row r="34" spans="1:19" x14ac:dyDescent="0.25">
      <c r="A34" s="4">
        <f t="shared" si="4"/>
        <v>33</v>
      </c>
      <c r="B34" s="4" t="str">
        <f>IF(C34&gt;=Input!$B$5,C34-Input!$B$5,"")</f>
        <v/>
      </c>
      <c r="C34" s="4">
        <f t="shared" si="5"/>
        <v>57</v>
      </c>
      <c r="D34" s="4">
        <f>IF(C34&lt;Input!$B$5,0,IF(AND(C34&gt;=Input!$B$5,C34&lt;Input!$B$5+Input!$B$6),1,2))</f>
        <v>0</v>
      </c>
      <c r="E34" s="4">
        <f>IF(C34&gt;=Input!$B$59,1,0)</f>
        <v>0</v>
      </c>
      <c r="F34" s="4">
        <f>IF(AND(C34&gt;=Input!$B$60,D34=1),1,0)</f>
        <v>0</v>
      </c>
      <c r="G34" s="5">
        <f>IF(OR(P33&lt;0,D34=2),0,P33*(1+Input!$B$56))</f>
        <v>281879.63202300121</v>
      </c>
      <c r="H34" s="5">
        <f>IF(D34=0,Input!$B$21+Input!$B$24+Input!$B$27,0)</f>
        <v>2400</v>
      </c>
      <c r="I34" s="5">
        <f>IF(D34=1,Input!$B$69,0)</f>
        <v>0</v>
      </c>
      <c r="J34" s="5">
        <f>IF(F34=1,FV(Input!$B$56,'Primary Details - Actual'!B34,,-Input!$B$12),0)</f>
        <v>0</v>
      </c>
      <c r="K34" s="5">
        <f>IF(E34=1,FV(Input!$B$56,'Primary Details - Actual'!B34,,-Input!$B$13),0)</f>
        <v>0</v>
      </c>
      <c r="L34" s="5">
        <f>IF(D34=1,Input!$B$16+Input!$B$14+Input!$B$15,0)</f>
        <v>0</v>
      </c>
      <c r="M34" s="8"/>
      <c r="N34" s="8">
        <f t="shared" si="1"/>
        <v>0</v>
      </c>
      <c r="O34" s="5">
        <f t="shared" si="2"/>
        <v>0</v>
      </c>
      <c r="P34" s="5">
        <f t="shared" si="3"/>
        <v>284279.63202300121</v>
      </c>
      <c r="R34" s="7" t="e">
        <f>PV(Input!$B$56,'Primary Details - Hypothetical'!B34,0,'Primary Details - Hypothetical'!H34,1)</f>
        <v>#VALUE!</v>
      </c>
      <c r="S34">
        <f t="shared" ref="S34:S65" si="6">IFERROR(R34,0)</f>
        <v>0</v>
      </c>
    </row>
    <row r="35" spans="1:19" x14ac:dyDescent="0.25">
      <c r="A35" s="4">
        <f t="shared" si="4"/>
        <v>34</v>
      </c>
      <c r="B35" s="4" t="str">
        <f>IF(C35&gt;=Input!$B$5,C35-Input!$B$5,"")</f>
        <v/>
      </c>
      <c r="C35" s="4">
        <f t="shared" si="5"/>
        <v>58</v>
      </c>
      <c r="D35" s="4">
        <f>IF(C35&lt;Input!$B$5,0,IF(AND(C35&gt;=Input!$B$5,C35&lt;Input!$B$5+Input!$B$6),1,2))</f>
        <v>0</v>
      </c>
      <c r="E35" s="4">
        <f>IF(C35&gt;=Input!$B$59,1,0)</f>
        <v>0</v>
      </c>
      <c r="F35" s="4">
        <f>IF(AND(C35&gt;=Input!$B$60,D35=1),1,0)</f>
        <v>0</v>
      </c>
      <c r="G35" s="5">
        <f>IF(OR(P34&lt;0,D35=2),0,P34*(1+Input!$B$56))</f>
        <v>287066.68723891297</v>
      </c>
      <c r="H35" s="5">
        <f>IF(D35=0,Input!$B$21+Input!$B$24+Input!$B$27,0)</f>
        <v>2400</v>
      </c>
      <c r="I35" s="5">
        <f>IF(D35=1,Input!$B$69,0)</f>
        <v>0</v>
      </c>
      <c r="J35" s="5">
        <f>IF(F35=1,FV(Input!$B$56,'Primary Details - Actual'!B35,,-Input!$B$12),0)</f>
        <v>0</v>
      </c>
      <c r="K35" s="5">
        <f>IF(E35=1,FV(Input!$B$56,'Primary Details - Actual'!B35,,-Input!$B$13),0)</f>
        <v>0</v>
      </c>
      <c r="L35" s="5">
        <f>IF(D35=1,Input!$B$16+Input!$B$14+Input!$B$15,0)</f>
        <v>0</v>
      </c>
      <c r="M35" s="8"/>
      <c r="N35" s="8">
        <f t="shared" si="1"/>
        <v>0</v>
      </c>
      <c r="O35" s="5">
        <f t="shared" si="2"/>
        <v>0</v>
      </c>
      <c r="P35" s="5">
        <f t="shared" ref="P35:P66" si="7">IF(D35=2,P34,G35+H35-O35)</f>
        <v>289466.68723891297</v>
      </c>
      <c r="R35" s="7" t="e">
        <f>PV(Input!$B$56,'Primary Details - Hypothetical'!B35,0,'Primary Details - Hypothetical'!H35,1)</f>
        <v>#VALUE!</v>
      </c>
      <c r="S35">
        <f t="shared" si="6"/>
        <v>0</v>
      </c>
    </row>
    <row r="36" spans="1:19" x14ac:dyDescent="0.25">
      <c r="A36" s="4">
        <f t="shared" si="4"/>
        <v>35</v>
      </c>
      <c r="B36" s="4" t="str">
        <f>IF(C36&gt;=Input!$B$5,C36-Input!$B$5,"")</f>
        <v/>
      </c>
      <c r="C36" s="4">
        <f t="shared" si="5"/>
        <v>59</v>
      </c>
      <c r="D36" s="4">
        <f>IF(C36&lt;Input!$B$5,0,IF(AND(C36&gt;=Input!$B$5,C36&lt;Input!$B$5+Input!$B$6),1,2))</f>
        <v>0</v>
      </c>
      <c r="E36" s="4">
        <f>IF(C36&gt;=Input!$B$59,1,0)</f>
        <v>0</v>
      </c>
      <c r="F36" s="4">
        <f>IF(AND(C36&gt;=Input!$B$60,D36=1),1,0)</f>
        <v>0</v>
      </c>
      <c r="G36" s="5">
        <f>IF(OR(P35&lt;0,D36=2),0,P35*(1+Input!$B$56))</f>
        <v>292304.59593733365</v>
      </c>
      <c r="H36" s="5">
        <f>IF(D36=0,Input!$B$21+Input!$B$24+Input!$B$27,0)</f>
        <v>2400</v>
      </c>
      <c r="I36" s="5">
        <f>IF(D36=1,Input!$B$69,0)</f>
        <v>0</v>
      </c>
      <c r="J36" s="5">
        <f>IF(F36=1,FV(Input!$B$56,'Primary Details - Actual'!B36,,-Input!$B$12),0)</f>
        <v>0</v>
      </c>
      <c r="K36" s="5">
        <f>IF(E36=1,FV(Input!$B$56,'Primary Details - Actual'!B36,,-Input!$B$13),0)</f>
        <v>0</v>
      </c>
      <c r="L36" s="5">
        <f>IF(D36=1,Input!$B$16+Input!$B$14+Input!$B$15,0)</f>
        <v>0</v>
      </c>
      <c r="M36" s="8"/>
      <c r="N36" s="8">
        <f t="shared" si="1"/>
        <v>0</v>
      </c>
      <c r="O36" s="5">
        <f t="shared" si="2"/>
        <v>0</v>
      </c>
      <c r="P36" s="5">
        <f t="shared" si="7"/>
        <v>294704.59593733365</v>
      </c>
      <c r="R36" s="7" t="e">
        <f>PV(Input!$B$56,'Primary Details - Hypothetical'!B36,0,'Primary Details - Hypothetical'!H36,1)</f>
        <v>#VALUE!</v>
      </c>
      <c r="S36">
        <f t="shared" si="6"/>
        <v>0</v>
      </c>
    </row>
    <row r="37" spans="1:19" x14ac:dyDescent="0.25">
      <c r="A37" s="4">
        <f t="shared" si="4"/>
        <v>36</v>
      </c>
      <c r="B37" s="4" t="str">
        <f>IF(C37&gt;=Input!$B$5,C37-Input!$B$5,"")</f>
        <v/>
      </c>
      <c r="C37" s="4">
        <f t="shared" si="5"/>
        <v>60</v>
      </c>
      <c r="D37" s="4">
        <f>IF(C37&lt;Input!$B$5,0,IF(AND(C37&gt;=Input!$B$5,C37&lt;Input!$B$5+Input!$B$6),1,2))</f>
        <v>0</v>
      </c>
      <c r="E37" s="4">
        <f>IF(C37&gt;=Input!$B$59,1,0)</f>
        <v>0</v>
      </c>
      <c r="F37" s="4">
        <f>IF(AND(C37&gt;=Input!$B$60,D37=1),1,0)</f>
        <v>0</v>
      </c>
      <c r="G37" s="5">
        <f>IF(OR(P36&lt;0,D37=2),0,P36*(1+Input!$B$56))</f>
        <v>297593.85668181733</v>
      </c>
      <c r="H37" s="5">
        <f>IF(D37=0,Input!$B$21+Input!$B$24+Input!$B$27,0)</f>
        <v>2400</v>
      </c>
      <c r="I37" s="5">
        <f>IF(D37=1,Input!$B$69,0)</f>
        <v>0</v>
      </c>
      <c r="J37" s="5">
        <f>IF(F37=1,FV(Input!$B$56,'Primary Details - Actual'!B37,,-Input!$B$12),0)</f>
        <v>0</v>
      </c>
      <c r="K37" s="5">
        <f>IF(E37=1,FV(Input!$B$56,'Primary Details - Actual'!B37,,-Input!$B$13),0)</f>
        <v>0</v>
      </c>
      <c r="L37" s="5">
        <f>IF(D37=1,Input!$B$16+Input!$B$14+Input!$B$15,0)</f>
        <v>0</v>
      </c>
      <c r="M37" s="8"/>
      <c r="N37" s="8">
        <f t="shared" si="1"/>
        <v>0</v>
      </c>
      <c r="O37" s="5">
        <f t="shared" si="2"/>
        <v>0</v>
      </c>
      <c r="P37" s="5">
        <f>IF(D37=2,P36,G37+H37-O37)</f>
        <v>299993.85668181733</v>
      </c>
      <c r="R37" s="7" t="e">
        <f>PV(Input!$B$56,'Primary Details - Hypothetical'!B37,0,'Primary Details - Hypothetical'!H37,1)</f>
        <v>#VALUE!</v>
      </c>
      <c r="S37">
        <f t="shared" si="6"/>
        <v>0</v>
      </c>
    </row>
    <row r="38" spans="1:19" x14ac:dyDescent="0.25">
      <c r="A38" s="4">
        <f t="shared" si="4"/>
        <v>37</v>
      </c>
      <c r="B38" s="4" t="str">
        <f>IF(C38&gt;=Input!$B$5,C38-Input!$B$5,"")</f>
        <v/>
      </c>
      <c r="C38" s="4">
        <f t="shared" si="5"/>
        <v>61</v>
      </c>
      <c r="D38" s="4">
        <f>IF(C38&lt;Input!$B$5,0,IF(AND(C38&gt;=Input!$B$5,C38&lt;Input!$B$5+Input!$B$6),1,2))</f>
        <v>0</v>
      </c>
      <c r="E38" s="4">
        <f>IF(C38&gt;=Input!$B$59,1,0)</f>
        <v>0</v>
      </c>
      <c r="F38" s="4">
        <f>IF(AND(C38&gt;=Input!$B$60,D38=1),1,0)</f>
        <v>0</v>
      </c>
      <c r="G38" s="5">
        <f>IF(OR(P37&lt;0,D38=2),0,P37*(1+Input!$B$56))</f>
        <v>302934.97292379593</v>
      </c>
      <c r="H38" s="5">
        <f>IF(D38=0,Input!$B$21+Input!$B$24+Input!$B$27,0)</f>
        <v>2400</v>
      </c>
      <c r="I38" s="5">
        <f>IF(D38=1,Input!$B$69,0)</f>
        <v>0</v>
      </c>
      <c r="J38" s="5">
        <f>IF(F38=1,FV(Input!$B$56,'Primary Details - Actual'!B38,,-Input!$B$12),0)</f>
        <v>0</v>
      </c>
      <c r="K38" s="5">
        <f>IF(E38=1,FV(Input!$B$56,'Primary Details - Actual'!B38,,-Input!$B$13),0)</f>
        <v>0</v>
      </c>
      <c r="L38" s="5">
        <f>IF(D38=1,Input!$B$16+Input!$B$14+Input!$B$15,0)</f>
        <v>0</v>
      </c>
      <c r="M38" s="8"/>
      <c r="N38" s="8">
        <f t="shared" si="1"/>
        <v>0</v>
      </c>
      <c r="O38" s="5">
        <f t="shared" si="2"/>
        <v>0</v>
      </c>
      <c r="P38" s="5">
        <f t="shared" si="7"/>
        <v>305334.97292379593</v>
      </c>
      <c r="R38" s="7" t="e">
        <f>PV(Input!$B$56,'Primary Details - Hypothetical'!B38,0,'Primary Details - Hypothetical'!H38,1)</f>
        <v>#VALUE!</v>
      </c>
      <c r="S38">
        <f t="shared" si="6"/>
        <v>0</v>
      </c>
    </row>
    <row r="39" spans="1:19" x14ac:dyDescent="0.25">
      <c r="A39" s="4">
        <f t="shared" si="4"/>
        <v>38</v>
      </c>
      <c r="B39" s="4" t="str">
        <f>IF(C39&gt;=Input!$B$5,C39-Input!$B$5,"")</f>
        <v/>
      </c>
      <c r="C39" s="4">
        <f>C38+1</f>
        <v>62</v>
      </c>
      <c r="D39" s="4">
        <f>IF(C39&lt;Input!$B$5,0,IF(AND(C39&gt;=Input!$B$5,C39&lt;Input!$B$5+Input!$B$6),1,2))</f>
        <v>0</v>
      </c>
      <c r="E39" s="4">
        <f>IF(C39&gt;=Input!$B$59,1,0)</f>
        <v>0</v>
      </c>
      <c r="F39" s="4">
        <f>IF(AND(C39&gt;=Input!$B$60,D39=1),1,0)</f>
        <v>0</v>
      </c>
      <c r="G39" s="5">
        <f>IF(OR(P38&lt;0,D39=2),0,P38*(1+Input!$B$56))</f>
        <v>308328.45305049978</v>
      </c>
      <c r="H39" s="5">
        <f>IF(D39=0,Input!$B$21+Input!$B$24+Input!$B$27,0)</f>
        <v>2400</v>
      </c>
      <c r="I39" s="5">
        <f>IF(D39=1,Input!$B$69,0)</f>
        <v>0</v>
      </c>
      <c r="J39" s="5">
        <f>IF(F39=1,FV(Input!$B$56,'Primary Details - Actual'!B39,,-Input!$B$12),0)</f>
        <v>0</v>
      </c>
      <c r="K39" s="5">
        <f>IF(E39=1,FV(Input!$B$56,'Primary Details - Actual'!B39,,-Input!$B$13),0)</f>
        <v>0</v>
      </c>
      <c r="L39" s="5">
        <f>IF(D39=1,Input!$B$16+Input!$B$14+Input!$B$15,0)</f>
        <v>0</v>
      </c>
      <c r="M39" s="8"/>
      <c r="N39" s="8">
        <f t="shared" si="1"/>
        <v>0</v>
      </c>
      <c r="O39" s="5">
        <f t="shared" si="2"/>
        <v>0</v>
      </c>
      <c r="P39" s="5">
        <f t="shared" si="7"/>
        <v>310728.45305049978</v>
      </c>
      <c r="R39" s="7" t="e">
        <f>PV(Input!$B$56,'Primary Details - Hypothetical'!B39,0,'Primary Details - Hypothetical'!H39,1)</f>
        <v>#VALUE!</v>
      </c>
      <c r="S39">
        <f t="shared" si="6"/>
        <v>0</v>
      </c>
    </row>
    <row r="40" spans="1:19" x14ac:dyDescent="0.25">
      <c r="A40" s="4">
        <f t="shared" si="4"/>
        <v>39</v>
      </c>
      <c r="B40" s="4" t="str">
        <f>IF(C40&gt;=Input!$B$5,C40-Input!$B$5,"")</f>
        <v/>
      </c>
      <c r="C40" s="4">
        <f t="shared" si="5"/>
        <v>63</v>
      </c>
      <c r="D40" s="4">
        <f>IF(C40&lt;Input!$B$5,0,IF(AND(C40&gt;=Input!$B$5,C40&lt;Input!$B$5+Input!$B$6),1,2))</f>
        <v>0</v>
      </c>
      <c r="E40" s="4">
        <f>IF(C40&gt;=Input!$B$59,1,0)</f>
        <v>0</v>
      </c>
      <c r="F40" s="4">
        <f>IF(AND(C40&gt;=Input!$B$60,D40=1),1,0)</f>
        <v>0</v>
      </c>
      <c r="G40" s="5">
        <f>IF(OR(P39&lt;0,D40=2),0,P39*(1+Input!$B$56))</f>
        <v>313774.81043334783</v>
      </c>
      <c r="H40" s="5">
        <f>IF(D40=0,Input!$B$21+Input!$B$24+Input!$B$27,0)</f>
        <v>2400</v>
      </c>
      <c r="I40" s="5">
        <f>IF(D40=1,Input!$B$69,0)</f>
        <v>0</v>
      </c>
      <c r="J40" s="5">
        <f>IF(F40=1,FV(Input!$B$56,'Primary Details - Actual'!B40,,-Input!$B$12),0)</f>
        <v>0</v>
      </c>
      <c r="K40" s="5">
        <f>IF(E40=1,FV(Input!$B$56,'Primary Details - Actual'!B40,,-Input!$B$13),0)</f>
        <v>0</v>
      </c>
      <c r="L40" s="5">
        <f>IF(D40=1,Input!$B$16+Input!$B$14+Input!$B$15,0)</f>
        <v>0</v>
      </c>
      <c r="M40" s="8"/>
      <c r="N40" s="8">
        <f t="shared" si="1"/>
        <v>0</v>
      </c>
      <c r="O40" s="5">
        <f t="shared" si="2"/>
        <v>0</v>
      </c>
      <c r="P40" s="5">
        <f t="shared" si="7"/>
        <v>316174.81043334783</v>
      </c>
      <c r="R40" s="7" t="e">
        <f>PV(Input!$B$56,'Primary Details - Hypothetical'!B40,0,'Primary Details - Hypothetical'!H40,1)</f>
        <v>#VALUE!</v>
      </c>
      <c r="S40">
        <f t="shared" si="6"/>
        <v>0</v>
      </c>
    </row>
    <row r="41" spans="1:19" x14ac:dyDescent="0.25">
      <c r="A41" s="4">
        <f t="shared" si="4"/>
        <v>40</v>
      </c>
      <c r="B41" s="4" t="str">
        <f>IF(C41&gt;=Input!$B$5,C41-Input!$B$5,"")</f>
        <v/>
      </c>
      <c r="C41" s="4">
        <f t="shared" si="5"/>
        <v>64</v>
      </c>
      <c r="D41" s="4">
        <f>IF(C41&lt;Input!$B$5,0,IF(AND(C41&gt;=Input!$B$5,C41&lt;Input!$B$5+Input!$B$6),1,2))</f>
        <v>0</v>
      </c>
      <c r="E41" s="4">
        <f>IF(C41&gt;=Input!$B$59,1,0)</f>
        <v>0</v>
      </c>
      <c r="F41" s="4">
        <f>IF(AND(C41&gt;=Input!$B$60,D41=1),1,0)</f>
        <v>0</v>
      </c>
      <c r="G41" s="5">
        <f>IF(OR(P40&lt;0,D41=2),0,P40*(1+Input!$B$56))</f>
        <v>319274.56347681204</v>
      </c>
      <c r="H41" s="5">
        <f>IF(D41=0,Input!$B$21+Input!$B$24+Input!$B$27,0)</f>
        <v>2400</v>
      </c>
      <c r="I41" s="5">
        <f>IF(D41=1,Input!$B$69,0)</f>
        <v>0</v>
      </c>
      <c r="J41" s="5">
        <f>IF(F41=1,FV(Input!$B$56,'Primary Details - Actual'!B41,,-Input!$B$12),0)</f>
        <v>0</v>
      </c>
      <c r="K41" s="5">
        <f>IF(E41=1,FV(Input!$B$56,'Primary Details - Actual'!B41,,-Input!$B$13),0)</f>
        <v>0</v>
      </c>
      <c r="L41" s="5">
        <f>IF(D41=1,Input!$B$16+Input!$B$14+Input!$B$15,0)</f>
        <v>0</v>
      </c>
      <c r="M41" s="8"/>
      <c r="N41" s="8">
        <f t="shared" si="1"/>
        <v>0</v>
      </c>
      <c r="O41" s="5">
        <f t="shared" si="2"/>
        <v>0</v>
      </c>
      <c r="P41" s="5">
        <f t="shared" si="7"/>
        <v>321674.56347681204</v>
      </c>
      <c r="R41" s="7" t="e">
        <f>PV(Input!$B$56,'Primary Details - Hypothetical'!B41,0,'Primary Details - Hypothetical'!H41,1)</f>
        <v>#VALUE!</v>
      </c>
      <c r="S41">
        <f t="shared" si="6"/>
        <v>0</v>
      </c>
    </row>
    <row r="42" spans="1:19" x14ac:dyDescent="0.25">
      <c r="A42" s="4">
        <f t="shared" si="4"/>
        <v>41</v>
      </c>
      <c r="B42" s="4">
        <f>IF(C42&gt;=Input!$B$5,C42-Input!$B$5,"")</f>
        <v>0</v>
      </c>
      <c r="C42" s="4">
        <f t="shared" si="5"/>
        <v>65</v>
      </c>
      <c r="D42" s="4">
        <f>IF(C42&lt;Input!$B$5,0,IF(AND(C42&gt;=Input!$B$5,C42&lt;Input!$B$5+Input!$B$6),1,2))</f>
        <v>1</v>
      </c>
      <c r="E42" s="4">
        <f>IF(C42&gt;=Input!$B$59,1,0)</f>
        <v>1</v>
      </c>
      <c r="F42" s="4">
        <f>IF(AND(C42&gt;=Input!$B$60,D42=1),1,0)</f>
        <v>1</v>
      </c>
      <c r="G42" s="5">
        <f>IF(OR(P41&lt;0,D42=2),0,P41*(1+Input!$B$56))</f>
        <v>324828.23566776118</v>
      </c>
      <c r="H42" s="5">
        <f>IF(D42=0,Input!$B$21+Input!$B$24+Input!$B$27,0)</f>
        <v>0</v>
      </c>
      <c r="I42" s="5">
        <f>IF(D42=1,Input!$B$69,0)</f>
        <v>35000</v>
      </c>
      <c r="J42" s="5">
        <f>IF(F42=1,FV(Input!$B$56,'Primary Details - Actual'!B42,,-Input!$B$12),0)</f>
        <v>6846.24</v>
      </c>
      <c r="K42" s="5">
        <f>IF(E42=1,FV(Input!$B$56,'Primary Details - Actual'!B42,,-Input!$B$13),0)</f>
        <v>6000</v>
      </c>
      <c r="L42" s="5">
        <f>IF(D42=1,Input!$B$16+Input!$B$14+Input!$B$15,0)</f>
        <v>300</v>
      </c>
      <c r="M42" s="8"/>
      <c r="N42" s="8">
        <f t="shared" si="1"/>
        <v>13146.24</v>
      </c>
      <c r="O42" s="5">
        <f t="shared" si="2"/>
        <v>21853.760000000002</v>
      </c>
      <c r="P42" s="5">
        <f t="shared" si="7"/>
        <v>302974.47566776117</v>
      </c>
      <c r="R42" s="7">
        <f>PV(Input!$B$56,'Primary Details - Hypothetical'!B42,0,'Primary Details - Hypothetical'!H42,1)</f>
        <v>-21853.760000000002</v>
      </c>
      <c r="S42">
        <f t="shared" si="6"/>
        <v>-21853.760000000002</v>
      </c>
    </row>
    <row r="43" spans="1:19" x14ac:dyDescent="0.25">
      <c r="A43" s="4">
        <f t="shared" si="4"/>
        <v>42</v>
      </c>
      <c r="B43" s="4">
        <f>IF(C43&gt;=Input!$B$5,C43-Input!$B$5,"")</f>
        <v>1</v>
      </c>
      <c r="C43" s="4">
        <f t="shared" si="5"/>
        <v>66</v>
      </c>
      <c r="D43" s="4">
        <f>IF(C43&lt;Input!$B$5,0,IF(AND(C43&gt;=Input!$B$5,C43&lt;Input!$B$5+Input!$B$6),1,2))</f>
        <v>1</v>
      </c>
      <c r="E43" s="4">
        <f>IF(C43&gt;=Input!$B$59,1,0)</f>
        <v>1</v>
      </c>
      <c r="F43" s="4">
        <f>IF(AND(C43&gt;=Input!$B$60,D43=1),1,0)</f>
        <v>1</v>
      </c>
      <c r="G43" s="5">
        <f>IF(OR(P42&lt;0,D43=2),0,P42*(1+Input!$B$56))</f>
        <v>305944.81366450392</v>
      </c>
      <c r="H43" s="5">
        <f>IF(D43=0,Input!$B$21+Input!$B$24+Input!$B$27,0)</f>
        <v>0</v>
      </c>
      <c r="I43" s="5">
        <f>IF(D43=1,Input!$B$69,0)</f>
        <v>35000</v>
      </c>
      <c r="J43" s="5">
        <f>IF(F43=1,FV(Input!$B$56,'Primary Details - Actual'!B43,,-Input!$B$12),0)</f>
        <v>6913.36</v>
      </c>
      <c r="K43" s="5">
        <f>IF(E43=1,FV(Input!$B$56,'Primary Details - Actual'!B43,,-Input!$B$13),0)</f>
        <v>6058.8235294117649</v>
      </c>
      <c r="L43" s="5">
        <f>IF(D43=1,Input!$B$16+Input!$B$14+Input!$B$15,0)</f>
        <v>300</v>
      </c>
      <c r="M43" s="8"/>
      <c r="N43" s="8">
        <f t="shared" si="1"/>
        <v>13272.183529411765</v>
      </c>
      <c r="O43" s="5">
        <f t="shared" si="2"/>
        <v>21727.816470588234</v>
      </c>
      <c r="P43" s="5">
        <f t="shared" si="7"/>
        <v>284216.99719391571</v>
      </c>
      <c r="R43" s="7">
        <f>PV(Input!$B$56,'Primary Details - Hypothetical'!B43,0,'Primary Details - Hypothetical'!H43,1)</f>
        <v>-21516.866796116505</v>
      </c>
      <c r="S43">
        <f t="shared" si="6"/>
        <v>-21516.866796116505</v>
      </c>
    </row>
    <row r="44" spans="1:19" x14ac:dyDescent="0.25">
      <c r="A44" s="4">
        <f t="shared" si="4"/>
        <v>43</v>
      </c>
      <c r="B44" s="4">
        <f>IF(C44&gt;=Input!$B$5,C44-Input!$B$5,"")</f>
        <v>2</v>
      </c>
      <c r="C44" s="4">
        <f t="shared" si="5"/>
        <v>67</v>
      </c>
      <c r="D44" s="4">
        <f>IF(C44&lt;Input!$B$5,0,IF(AND(C44&gt;=Input!$B$5,C44&lt;Input!$B$5+Input!$B$6),1,2))</f>
        <v>1</v>
      </c>
      <c r="E44" s="4">
        <f>IF(C44&gt;=Input!$B$59,1,0)</f>
        <v>1</v>
      </c>
      <c r="F44" s="4">
        <f>IF(AND(C44&gt;=Input!$B$60,D44=1),1,0)</f>
        <v>1</v>
      </c>
      <c r="G44" s="5">
        <f>IF(OR(P43&lt;0,D44=2),0,P43*(1+Input!$B$56))</f>
        <v>287003.43834287568</v>
      </c>
      <c r="H44" s="5">
        <f>IF(D44=0,Input!$B$21+Input!$B$24+Input!$B$27,0)</f>
        <v>0</v>
      </c>
      <c r="I44" s="5">
        <f>IF(D44=1,Input!$B$69,0)</f>
        <v>35000</v>
      </c>
      <c r="J44" s="5">
        <f>IF(F44=1,FV(Input!$B$56,'Primary Details - Actual'!B44,,-Input!$B$12),0)</f>
        <v>6981.1380392156852</v>
      </c>
      <c r="K44" s="5">
        <f>IF(E44=1,FV(Input!$B$56,'Primary Details - Actual'!B44,,-Input!$B$13),0)</f>
        <v>6118.2237600922717</v>
      </c>
      <c r="L44" s="5">
        <f>IF(D44=1,Input!$B$16+Input!$B$14+Input!$B$15,0)</f>
        <v>300</v>
      </c>
      <c r="M44" s="8"/>
      <c r="N44" s="8">
        <f t="shared" si="1"/>
        <v>13399.361799307957</v>
      </c>
      <c r="O44" s="5">
        <f t="shared" si="2"/>
        <v>21600.638200692043</v>
      </c>
      <c r="P44" s="5">
        <f t="shared" si="7"/>
        <v>265402.80014218367</v>
      </c>
      <c r="R44" s="7">
        <f>PV(Input!$B$56,'Primary Details - Hypothetical'!B44,0,'Primary Details - Hypothetical'!H44,1)</f>
        <v>-21183.244400037707</v>
      </c>
      <c r="S44">
        <f t="shared" si="6"/>
        <v>-21183.244400037707</v>
      </c>
    </row>
    <row r="45" spans="1:19" x14ac:dyDescent="0.25">
      <c r="A45" s="4">
        <f t="shared" si="4"/>
        <v>44</v>
      </c>
      <c r="B45" s="4">
        <f>IF(C45&gt;=Input!$B$5,C45-Input!$B$5,"")</f>
        <v>3</v>
      </c>
      <c r="C45" s="4">
        <f t="shared" si="5"/>
        <v>68</v>
      </c>
      <c r="D45" s="4">
        <f>IF(C45&lt;Input!$B$5,0,IF(AND(C45&gt;=Input!$B$5,C45&lt;Input!$B$5+Input!$B$6),1,2))</f>
        <v>1</v>
      </c>
      <c r="E45" s="4">
        <f>IF(C45&gt;=Input!$B$59,1,0)</f>
        <v>1</v>
      </c>
      <c r="F45" s="4">
        <f>IF(AND(C45&gt;=Input!$B$60,D45=1),1,0)</f>
        <v>1</v>
      </c>
      <c r="G45" s="5">
        <f>IF(OR(P44&lt;0,D45=2),0,P44*(1+Input!$B$56))</f>
        <v>268004.78837887174</v>
      </c>
      <c r="H45" s="5">
        <f>IF(D45=0,Input!$B$21+Input!$B$24+Input!$B$27,0)</f>
        <v>0</v>
      </c>
      <c r="I45" s="5">
        <f>IF(D45=1,Input!$B$69,0)</f>
        <v>35000</v>
      </c>
      <c r="J45" s="5">
        <f>IF(F45=1,FV(Input!$B$56,'Primary Details - Actual'!B45,,-Input!$B$12),0)</f>
        <v>7049.5805690119159</v>
      </c>
      <c r="K45" s="5">
        <f>IF(E45=1,FV(Input!$B$56,'Primary Details - Actual'!B45,,-Input!$B$13),0)</f>
        <v>6178.2063459755282</v>
      </c>
      <c r="L45" s="5">
        <f>IF(D45=1,Input!$B$16+Input!$B$14+Input!$B$15,0)</f>
        <v>300</v>
      </c>
      <c r="M45" s="8"/>
      <c r="N45" s="8">
        <f t="shared" si="1"/>
        <v>13527.786914987444</v>
      </c>
      <c r="O45" s="5">
        <f t="shared" si="2"/>
        <v>21472.213085012554</v>
      </c>
      <c r="P45" s="5">
        <f t="shared" si="7"/>
        <v>246532.57529385918</v>
      </c>
      <c r="R45" s="7">
        <f>PV(Input!$B$56,'Primary Details - Hypothetical'!B45,0,'Primary Details - Hypothetical'!H45,1)</f>
        <v>-20852.861056348025</v>
      </c>
      <c r="S45">
        <f t="shared" si="6"/>
        <v>-20852.861056348025</v>
      </c>
    </row>
    <row r="46" spans="1:19" x14ac:dyDescent="0.25">
      <c r="A46" s="4">
        <f t="shared" si="4"/>
        <v>45</v>
      </c>
      <c r="B46" s="4">
        <f>IF(C46&gt;=Input!$B$5,C46-Input!$B$5,"")</f>
        <v>4</v>
      </c>
      <c r="C46" s="4">
        <f t="shared" si="5"/>
        <v>69</v>
      </c>
      <c r="D46" s="4">
        <f>IF(C46&lt;Input!$B$5,0,IF(AND(C46&gt;=Input!$B$5,C46&lt;Input!$B$5+Input!$B$6),1,2))</f>
        <v>1</v>
      </c>
      <c r="E46" s="4">
        <f>IF(C46&gt;=Input!$B$59,1,0)</f>
        <v>1</v>
      </c>
      <c r="F46" s="4">
        <f>IF(AND(C46&gt;=Input!$B$60,D46=1),1,0)</f>
        <v>1</v>
      </c>
      <c r="G46" s="5">
        <f>IF(OR(P45&lt;0,D46=2),0,P45*(1+Input!$B$56))</f>
        <v>248949.56132615192</v>
      </c>
      <c r="H46" s="5">
        <f>IF(D46=0,Input!$B$21+Input!$B$24+Input!$B$27,0)</f>
        <v>0</v>
      </c>
      <c r="I46" s="5">
        <f>IF(D46=1,Input!$B$69,0)</f>
        <v>35000</v>
      </c>
      <c r="J46" s="5">
        <f>IF(F46=1,FV(Input!$B$56,'Primary Details - Actual'!B46,,-Input!$B$12),0)</f>
        <v>7118.6941040022284</v>
      </c>
      <c r="K46" s="5">
        <f>IF(E46=1,FV(Input!$B$56,'Primary Details - Actual'!B46,,-Input!$B$13),0)</f>
        <v>6238.7769964262679</v>
      </c>
      <c r="L46" s="5">
        <f>IF(D46=1,Input!$B$16+Input!$B$14+Input!$B$15,0)</f>
        <v>300</v>
      </c>
      <c r="M46" s="8"/>
      <c r="N46" s="8">
        <f t="shared" si="1"/>
        <v>13657.471100428496</v>
      </c>
      <c r="O46" s="5">
        <f t="shared" si="2"/>
        <v>21342.528899571502</v>
      </c>
      <c r="P46" s="5">
        <f t="shared" si="7"/>
        <v>227607.03242658041</v>
      </c>
      <c r="R46" s="7">
        <f>PV(Input!$B$56,'Primary Details - Hypothetical'!B46,0,'Primary Details - Hypothetical'!H46,1)</f>
        <v>-20525.685317936885</v>
      </c>
      <c r="S46">
        <f t="shared" si="6"/>
        <v>-20525.685317936885</v>
      </c>
    </row>
    <row r="47" spans="1:19" x14ac:dyDescent="0.25">
      <c r="A47" s="4">
        <f t="shared" si="4"/>
        <v>46</v>
      </c>
      <c r="B47" s="4">
        <f>IF(C47&gt;=Input!$B$5,C47-Input!$B$5,"")</f>
        <v>5</v>
      </c>
      <c r="C47" s="4">
        <f t="shared" si="5"/>
        <v>70</v>
      </c>
      <c r="D47" s="4">
        <f>IF(C47&lt;Input!$B$5,0,IF(AND(C47&gt;=Input!$B$5,C47&lt;Input!$B$5+Input!$B$6),1,2))</f>
        <v>1</v>
      </c>
      <c r="E47" s="4">
        <f>IF(C47&gt;=Input!$B$59,1,0)</f>
        <v>1</v>
      </c>
      <c r="F47" s="4">
        <f>IF(AND(C47&gt;=Input!$B$60,D47=1),1,0)</f>
        <v>1</v>
      </c>
      <c r="G47" s="5">
        <f>IF(OR(P46&lt;0,D47=2),0,P46*(1+Input!$B$56))</f>
        <v>229838.47392095864</v>
      </c>
      <c r="H47" s="5">
        <f>IF(D47=0,Input!$B$21+Input!$B$24+Input!$B$27,0)</f>
        <v>0</v>
      </c>
      <c r="I47" s="5">
        <f>IF(D47=1,Input!$B$69,0)</f>
        <v>35000</v>
      </c>
      <c r="J47" s="5">
        <f>IF(F47=1,FV(Input!$B$56,'Primary Details - Actual'!B47,,-Input!$B$12),0)</f>
        <v>7188.4852226689163</v>
      </c>
      <c r="K47" s="5">
        <f>IF(E47=1,FV(Input!$B$56,'Primary Details - Actual'!B47,,-Input!$B$13),0)</f>
        <v>6299.9414767833878</v>
      </c>
      <c r="L47" s="5">
        <f>IF(D47=1,Input!$B$16+Input!$B$14+Input!$B$15,0)</f>
        <v>300</v>
      </c>
      <c r="M47" s="8"/>
      <c r="N47" s="8">
        <f t="shared" si="1"/>
        <v>13788.426699452304</v>
      </c>
      <c r="O47" s="5">
        <f t="shared" si="2"/>
        <v>21211.573300547694</v>
      </c>
      <c r="P47" s="5">
        <f t="shared" si="7"/>
        <v>208626.90062041095</v>
      </c>
      <c r="R47" s="7">
        <f>PV(Input!$B$56,'Primary Details - Hypothetical'!B47,0,'Primary Details - Hypothetical'!H47,1)</f>
        <v>-20201.686043005458</v>
      </c>
      <c r="S47">
        <f t="shared" si="6"/>
        <v>-20201.686043005458</v>
      </c>
    </row>
    <row r="48" spans="1:19" x14ac:dyDescent="0.25">
      <c r="A48" s="4">
        <f t="shared" si="4"/>
        <v>47</v>
      </c>
      <c r="B48" s="4">
        <f>IF(C48&gt;=Input!$B$5,C48-Input!$B$5,"")</f>
        <v>6</v>
      </c>
      <c r="C48" s="4">
        <f t="shared" si="5"/>
        <v>71</v>
      </c>
      <c r="D48" s="4">
        <f>IF(C48&lt;Input!$B$5,0,IF(AND(C48&gt;=Input!$B$5,C48&lt;Input!$B$5+Input!$B$6),1,2))</f>
        <v>1</v>
      </c>
      <c r="E48" s="4">
        <f>IF(C48&gt;=Input!$B$59,1,0)</f>
        <v>1</v>
      </c>
      <c r="F48" s="4">
        <f>IF(AND(C48&gt;=Input!$B$60,D48=1),1,0)</f>
        <v>1</v>
      </c>
      <c r="G48" s="5">
        <f>IF(OR(P47&lt;0,D48=2),0,P47*(1+Input!$B$56))</f>
        <v>210672.26239119927</v>
      </c>
      <c r="H48" s="5">
        <f>IF(D48=0,Input!$B$21+Input!$B$24+Input!$B$27,0)</f>
        <v>0</v>
      </c>
      <c r="I48" s="5">
        <f>IF(D48=1,Input!$B$69,0)</f>
        <v>35000</v>
      </c>
      <c r="J48" s="5">
        <f>IF(F48=1,FV(Input!$B$56,'Primary Details - Actual'!B48,,-Input!$B$12),0)</f>
        <v>7258.9605679891993</v>
      </c>
      <c r="K48" s="5">
        <f>IF(E48=1,FV(Input!$B$56,'Primary Details - Actual'!B48,,-Input!$B$13),0)</f>
        <v>6361.7056089087146</v>
      </c>
      <c r="L48" s="5">
        <f>IF(D48=1,Input!$B$16+Input!$B$14+Input!$B$15,0)</f>
        <v>300</v>
      </c>
      <c r="M48" s="8"/>
      <c r="N48" s="8">
        <f t="shared" si="1"/>
        <v>13920.666176897914</v>
      </c>
      <c r="O48" s="5">
        <f t="shared" si="2"/>
        <v>21079.33382310209</v>
      </c>
      <c r="P48" s="5">
        <f t="shared" si="7"/>
        <v>189592.92856809718</v>
      </c>
      <c r="R48" s="7">
        <f>PV(Input!$B$56,'Primary Details - Hypothetical'!B48,0,'Primary Details - Hypothetical'!H48,1)</f>
        <v>-19880.8323921025</v>
      </c>
      <c r="S48">
        <f t="shared" si="6"/>
        <v>-19880.8323921025</v>
      </c>
    </row>
    <row r="49" spans="1:19" x14ac:dyDescent="0.25">
      <c r="A49" s="4">
        <f t="shared" si="4"/>
        <v>48</v>
      </c>
      <c r="B49" s="4">
        <f>IF(C49&gt;=Input!$B$5,C49-Input!$B$5,"")</f>
        <v>7</v>
      </c>
      <c r="C49" s="4">
        <f t="shared" si="5"/>
        <v>72</v>
      </c>
      <c r="D49" s="4">
        <f>IF(C49&lt;Input!$B$5,0,IF(AND(C49&gt;=Input!$B$5,C49&lt;Input!$B$5+Input!$B$6),1,2))</f>
        <v>1</v>
      </c>
      <c r="E49" s="4">
        <f>IF(C49&gt;=Input!$B$59,1,0)</f>
        <v>1</v>
      </c>
      <c r="F49" s="4">
        <f>IF(AND(C49&gt;=Input!$B$60,D49=1),1,0)</f>
        <v>1</v>
      </c>
      <c r="G49" s="5">
        <f>IF(OR(P48&lt;0,D49=2),0,P48*(1+Input!$B$56))</f>
        <v>191451.68276974518</v>
      </c>
      <c r="H49" s="5">
        <f>IF(D49=0,Input!$B$21+Input!$B$24+Input!$B$27,0)</f>
        <v>0</v>
      </c>
      <c r="I49" s="5">
        <f>IF(D49=1,Input!$B$69,0)</f>
        <v>35000</v>
      </c>
      <c r="J49" s="5">
        <f>IF(F49=1,FV(Input!$B$56,'Primary Details - Actual'!B49,,-Input!$B$12),0)</f>
        <v>7330.1268480675235</v>
      </c>
      <c r="K49" s="5">
        <f>IF(E49=1,FV(Input!$B$56,'Primary Details - Actual'!B49,,-Input!$B$13),0)</f>
        <v>6424.0752717411524</v>
      </c>
      <c r="L49" s="5">
        <f>IF(D49=1,Input!$B$16+Input!$B$14+Input!$B$15,0)</f>
        <v>300</v>
      </c>
      <c r="M49" s="8"/>
      <c r="N49" s="8">
        <f t="shared" si="1"/>
        <v>14054.202119808677</v>
      </c>
      <c r="O49" s="5">
        <f t="shared" si="2"/>
        <v>20945.797880191323</v>
      </c>
      <c r="P49" s="5">
        <f t="shared" si="7"/>
        <v>170505.88488955385</v>
      </c>
      <c r="R49" s="7">
        <f>PV(Input!$B$56,'Primary Details - Hypothetical'!B49,0,'Primary Details - Hypothetical'!H49,1)</f>
        <v>-19563.093825188884</v>
      </c>
      <c r="S49">
        <f t="shared" si="6"/>
        <v>-19563.093825188884</v>
      </c>
    </row>
    <row r="50" spans="1:19" x14ac:dyDescent="0.25">
      <c r="A50" s="4">
        <f t="shared" si="4"/>
        <v>49</v>
      </c>
      <c r="B50" s="4">
        <f>IF(C50&gt;=Input!$B$5,C50-Input!$B$5,"")</f>
        <v>8</v>
      </c>
      <c r="C50" s="4">
        <f t="shared" si="5"/>
        <v>73</v>
      </c>
      <c r="D50" s="4">
        <f>IF(C50&lt;Input!$B$5,0,IF(AND(C50&gt;=Input!$B$5,C50&lt;Input!$B$5+Input!$B$6),1,2))</f>
        <v>1</v>
      </c>
      <c r="E50" s="4">
        <f>IF(C50&gt;=Input!$B$59,1,0)</f>
        <v>1</v>
      </c>
      <c r="F50" s="4">
        <f>IF(AND(C50&gt;=Input!$B$60,D50=1),1,0)</f>
        <v>1</v>
      </c>
      <c r="G50" s="5">
        <f>IF(OR(P49&lt;0,D50=2),0,P49*(1+Input!$B$56))</f>
        <v>172177.51121200045</v>
      </c>
      <c r="H50" s="5">
        <f>IF(D50=0,Input!$B$21+Input!$B$24+Input!$B$27,0)</f>
        <v>0</v>
      </c>
      <c r="I50" s="5">
        <f>IF(D50=1,Input!$B$69,0)</f>
        <v>35000</v>
      </c>
      <c r="J50" s="5">
        <f>IF(F50=1,FV(Input!$B$56,'Primary Details - Actual'!B50,,-Input!$B$12),0)</f>
        <v>7401.9908367740682</v>
      </c>
      <c r="K50" s="5">
        <f>IF(E50=1,FV(Input!$B$56,'Primary Details - Actual'!B50,,-Input!$B$13),0)</f>
        <v>6487.0564018562609</v>
      </c>
      <c r="L50" s="5">
        <f>IF(D50=1,Input!$B$16+Input!$B$14+Input!$B$15,0)</f>
        <v>300</v>
      </c>
      <c r="M50" s="8"/>
      <c r="N50" s="8">
        <f t="shared" si="1"/>
        <v>14189.04723863033</v>
      </c>
      <c r="O50" s="5">
        <f t="shared" si="2"/>
        <v>20810.95276136967</v>
      </c>
      <c r="P50" s="5">
        <f t="shared" si="7"/>
        <v>151366.55845063078</v>
      </c>
      <c r="R50" s="7">
        <f>PV(Input!$B$56,'Primary Details - Hypothetical'!B50,0,'Primary Details - Hypothetical'!H50,1)</f>
        <v>-19248.440098730742</v>
      </c>
      <c r="S50">
        <f t="shared" si="6"/>
        <v>-19248.440098730742</v>
      </c>
    </row>
    <row r="51" spans="1:19" x14ac:dyDescent="0.25">
      <c r="A51" s="4">
        <f t="shared" si="4"/>
        <v>50</v>
      </c>
      <c r="B51" s="4">
        <f>IF(C51&gt;=Input!$B$5,C51-Input!$B$5,"")</f>
        <v>9</v>
      </c>
      <c r="C51" s="4">
        <f t="shared" si="5"/>
        <v>74</v>
      </c>
      <c r="D51" s="4">
        <f>IF(C51&lt;Input!$B$5,0,IF(AND(C51&gt;=Input!$B$5,C51&lt;Input!$B$5+Input!$B$6),1,2))</f>
        <v>1</v>
      </c>
      <c r="E51" s="4">
        <f>IF(C51&gt;=Input!$B$59,1,0)</f>
        <v>1</v>
      </c>
      <c r="F51" s="4">
        <f>IF(AND(C51&gt;=Input!$B$60,D51=1),1,0)</f>
        <v>1</v>
      </c>
      <c r="G51" s="5">
        <f>IF(OR(P50&lt;0,D51=2),0,P50*(1+Input!$B$56))</f>
        <v>152850.54431779383</v>
      </c>
      <c r="H51" s="5">
        <f>IF(D51=0,Input!$B$21+Input!$B$24+Input!$B$27,0)</f>
        <v>0</v>
      </c>
      <c r="I51" s="5">
        <f>IF(D51=1,Input!$B$69,0)</f>
        <v>35000</v>
      </c>
      <c r="J51" s="5">
        <f>IF(F51=1,FV(Input!$B$56,'Primary Details - Actual'!B51,,-Input!$B$12),0)</f>
        <v>7474.5593743895006</v>
      </c>
      <c r="K51" s="5">
        <f>IF(E51=1,FV(Input!$B$56,'Primary Details - Actual'!B51,,-Input!$B$13),0)</f>
        <v>6550.6549940313225</v>
      </c>
      <c r="L51" s="5">
        <f>IF(D51=1,Input!$B$16+Input!$B$14+Input!$B$15,0)</f>
        <v>300</v>
      </c>
      <c r="M51" s="8"/>
      <c r="N51" s="8">
        <f t="shared" si="1"/>
        <v>14325.214368420824</v>
      </c>
      <c r="O51" s="5">
        <f t="shared" si="2"/>
        <v>20674.785631579176</v>
      </c>
      <c r="P51" s="5">
        <f t="shared" si="7"/>
        <v>132175.75868621466</v>
      </c>
      <c r="R51" s="7">
        <f>PV(Input!$B$56,'Primary Details - Hypothetical'!B51,0,'Primary Details - Hypothetical'!H51,1)</f>
        <v>-18936.841262820733</v>
      </c>
      <c r="S51">
        <f t="shared" si="6"/>
        <v>-18936.841262820733</v>
      </c>
    </row>
    <row r="52" spans="1:19" x14ac:dyDescent="0.25">
      <c r="A52" s="4">
        <f t="shared" si="4"/>
        <v>51</v>
      </c>
      <c r="B52" s="4">
        <f>IF(C52&gt;=Input!$B$5,C52-Input!$B$5,"")</f>
        <v>10</v>
      </c>
      <c r="C52" s="4">
        <f t="shared" si="5"/>
        <v>75</v>
      </c>
      <c r="D52" s="4">
        <f>IF(C52&lt;Input!$B$5,0,IF(AND(C52&gt;=Input!$B$5,C52&lt;Input!$B$5+Input!$B$6),1,2))</f>
        <v>1</v>
      </c>
      <c r="E52" s="4">
        <f>IF(C52&gt;=Input!$B$59,1,0)</f>
        <v>1</v>
      </c>
      <c r="F52" s="4">
        <f>IF(AND(C52&gt;=Input!$B$60,D52=1),1,0)</f>
        <v>1</v>
      </c>
      <c r="G52" s="5">
        <f>IF(OR(P51&lt;0,D52=2),0,P51*(1+Input!$B$56))</f>
        <v>133471.59945764812</v>
      </c>
      <c r="H52" s="5">
        <f>IF(D52=0,Input!$B$21+Input!$B$24+Input!$B$27,0)</f>
        <v>0</v>
      </c>
      <c r="I52" s="5">
        <f>IF(D52=1,Input!$B$69,0)</f>
        <v>35000</v>
      </c>
      <c r="J52" s="5">
        <f>IF(F52=1,FV(Input!$B$56,'Primary Details - Actual'!B52,,-Input!$B$12),0)</f>
        <v>7547.8393682560627</v>
      </c>
      <c r="K52" s="5">
        <f>IF(E52=1,FV(Input!$B$56,'Primary Details - Actual'!B52,,-Input!$B$13),0)</f>
        <v>6614.8771018159423</v>
      </c>
      <c r="L52" s="5">
        <f>IF(D52=1,Input!$B$16+Input!$B$14+Input!$B$15,0)</f>
        <v>300</v>
      </c>
      <c r="M52" s="8"/>
      <c r="N52" s="8">
        <f t="shared" si="1"/>
        <v>14462.716470072006</v>
      </c>
      <c r="O52" s="5">
        <f t="shared" si="2"/>
        <v>20537.283529927994</v>
      </c>
      <c r="P52" s="5">
        <f t="shared" si="7"/>
        <v>112934.31592772012</v>
      </c>
      <c r="R52" s="7">
        <f>PV(Input!$B$56,'Primary Details - Hypothetical'!B52,0,'Primary Details - Hypothetical'!H52,1)</f>
        <v>-18628.267658327331</v>
      </c>
      <c r="S52">
        <f t="shared" si="6"/>
        <v>-18628.267658327331</v>
      </c>
    </row>
    <row r="53" spans="1:19" x14ac:dyDescent="0.25">
      <c r="A53" s="4">
        <f t="shared" si="4"/>
        <v>52</v>
      </c>
      <c r="B53" s="4">
        <f>IF(C53&gt;=Input!$B$5,C53-Input!$B$5,"")</f>
        <v>11</v>
      </c>
      <c r="C53" s="4">
        <f t="shared" si="5"/>
        <v>76</v>
      </c>
      <c r="D53" s="4">
        <f>IF(C53&lt;Input!$B$5,0,IF(AND(C53&gt;=Input!$B$5,C53&lt;Input!$B$5+Input!$B$6),1,2))</f>
        <v>1</v>
      </c>
      <c r="E53" s="4">
        <f>IF(C53&gt;=Input!$B$59,1,0)</f>
        <v>1</v>
      </c>
      <c r="F53" s="4">
        <f>IF(AND(C53&gt;=Input!$B$60,D53=1),1,0)</f>
        <v>1</v>
      </c>
      <c r="G53" s="5">
        <f>IF(OR(P52&lt;0,D53=2),0,P52*(1+Input!$B$56))</f>
        <v>114041.51510348207</v>
      </c>
      <c r="H53" s="5">
        <f>IF(D53=0,Input!$B$21+Input!$B$24+Input!$B$27,0)</f>
        <v>0</v>
      </c>
      <c r="I53" s="5">
        <f>IF(D53=1,Input!$B$69,0)</f>
        <v>35000</v>
      </c>
      <c r="J53" s="5">
        <f>IF(F53=1,FV(Input!$B$56,'Primary Details - Actual'!B53,,-Input!$B$12),0)</f>
        <v>7621.8377934350428</v>
      </c>
      <c r="K53" s="5">
        <f>IF(E53=1,FV(Input!$B$56,'Primary Details - Actual'!B53,,-Input!$B$13),0)</f>
        <v>6679.7288381082553</v>
      </c>
      <c r="L53" s="5">
        <f>IF(D53=1,Input!$B$16+Input!$B$14+Input!$B$15,0)</f>
        <v>300</v>
      </c>
      <c r="M53" s="8"/>
      <c r="N53" s="8">
        <f t="shared" si="1"/>
        <v>14601.566631543297</v>
      </c>
      <c r="O53" s="5">
        <f t="shared" si="2"/>
        <v>20398.433368456703</v>
      </c>
      <c r="P53" s="5">
        <f t="shared" si="7"/>
        <v>93643.081735025364</v>
      </c>
      <c r="R53" s="7">
        <f>PV(Input!$B$56,'Primary Details - Hypothetical'!B53,0,'Primary Details - Hypothetical'!H53,1)</f>
        <v>-18322.689914071732</v>
      </c>
      <c r="S53">
        <f t="shared" si="6"/>
        <v>-18322.689914071732</v>
      </c>
    </row>
    <row r="54" spans="1:19" x14ac:dyDescent="0.25">
      <c r="A54" s="4">
        <f t="shared" si="4"/>
        <v>53</v>
      </c>
      <c r="B54" s="4">
        <f>IF(C54&gt;=Input!$B$5,C54-Input!$B$5,"")</f>
        <v>12</v>
      </c>
      <c r="C54" s="4">
        <f t="shared" si="5"/>
        <v>77</v>
      </c>
      <c r="D54" s="4">
        <f>IF(C54&lt;Input!$B$5,0,IF(AND(C54&gt;=Input!$B$5,C54&lt;Input!$B$5+Input!$B$6),1,2))</f>
        <v>1</v>
      </c>
      <c r="E54" s="4">
        <f>IF(C54&gt;=Input!$B$59,1,0)</f>
        <v>1</v>
      </c>
      <c r="F54" s="4">
        <f>IF(AND(C54&gt;=Input!$B$60,D54=1),1,0)</f>
        <v>1</v>
      </c>
      <c r="G54" s="5">
        <f>IF(OR(P53&lt;0,D54=2),0,P53*(1+Input!$B$56))</f>
        <v>94561.151163800125</v>
      </c>
      <c r="H54" s="5">
        <f>IF(D54=0,Input!$B$21+Input!$B$24+Input!$B$27,0)</f>
        <v>0</v>
      </c>
      <c r="I54" s="5">
        <f>IF(D54=1,Input!$B$69,0)</f>
        <v>35000</v>
      </c>
      <c r="J54" s="5">
        <f>IF(F54=1,FV(Input!$B$56,'Primary Details - Actual'!B54,,-Input!$B$12),0)</f>
        <v>7696.5616933706788</v>
      </c>
      <c r="K54" s="5">
        <f>IF(E54=1,FV(Input!$B$56,'Primary Details - Actual'!B54,,-Input!$B$13),0)</f>
        <v>6745.2163757367662</v>
      </c>
      <c r="L54" s="5">
        <f>IF(D54=1,Input!$B$16+Input!$B$14+Input!$B$15,0)</f>
        <v>300</v>
      </c>
      <c r="M54" s="8"/>
      <c r="N54" s="8">
        <f t="shared" si="1"/>
        <v>14741.778069107444</v>
      </c>
      <c r="O54" s="5">
        <f t="shared" si="2"/>
        <v>20258.221930892556</v>
      </c>
      <c r="P54" s="5">
        <f t="shared" si="7"/>
        <v>74302.929232907569</v>
      </c>
      <c r="R54" s="7">
        <f>PV(Input!$B$56,'Primary Details - Hypothetical'!B54,0,'Primary Details - Hypothetical'!H54,1)</f>
        <v>-18020.078944032208</v>
      </c>
      <c r="S54">
        <f t="shared" si="6"/>
        <v>-18020.078944032208</v>
      </c>
    </row>
    <row r="55" spans="1:19" x14ac:dyDescent="0.25">
      <c r="A55" s="4">
        <f t="shared" si="4"/>
        <v>54</v>
      </c>
      <c r="B55" s="4">
        <f>IF(C55&gt;=Input!$B$5,C55-Input!$B$5,"")</f>
        <v>13</v>
      </c>
      <c r="C55" s="4">
        <f>C54+1</f>
        <v>78</v>
      </c>
      <c r="D55" s="4">
        <f>IF(C55&lt;Input!$B$5,0,IF(AND(C55&gt;=Input!$B$5,C55&lt;Input!$B$5+Input!$B$6),1,2))</f>
        <v>1</v>
      </c>
      <c r="E55" s="4">
        <f>IF(C55&gt;=Input!$B$59,1,0)</f>
        <v>1</v>
      </c>
      <c r="F55" s="4">
        <f>IF(AND(C55&gt;=Input!$B$60,D55=1),1,0)</f>
        <v>1</v>
      </c>
      <c r="G55" s="5">
        <f>IF(OR(P54&lt;0,D55=2),0,P54*(1+Input!$B$56))</f>
        <v>75031.389323426265</v>
      </c>
      <c r="H55" s="5">
        <f>IF(D55=0,Input!$B$21+Input!$B$24+Input!$B$27,0)</f>
        <v>0</v>
      </c>
      <c r="I55" s="5">
        <f>IF(D55=1,Input!$B$69,0)</f>
        <v>35000</v>
      </c>
      <c r="J55" s="5">
        <f>IF(F55=1,FV(Input!$B$56,'Primary Details - Actual'!B55,,-Input!$B$12),0)</f>
        <v>7772.0181805605871</v>
      </c>
      <c r="K55" s="5">
        <f>IF(E55=1,FV(Input!$B$56,'Primary Details - Actual'!B55,,-Input!$B$13),0)</f>
        <v>6811.3459480479096</v>
      </c>
      <c r="L55" s="5">
        <f>IF(D55=1,Input!$B$16+Input!$B$14+Input!$B$15,0)</f>
        <v>300</v>
      </c>
      <c r="M55" s="8"/>
      <c r="N55" s="8">
        <f t="shared" si="1"/>
        <v>14883.364128608497</v>
      </c>
      <c r="O55" s="5">
        <f t="shared" si="2"/>
        <v>20116.635871391503</v>
      </c>
      <c r="P55" s="5">
        <f t="shared" si="7"/>
        <v>54914.753452034762</v>
      </c>
      <c r="R55" s="7">
        <f>PV(Input!$B$56,'Primary Details - Hypothetical'!B55,0,'Primary Details - Hypothetical'!H55,1)</f>
        <v>-17720.405944575588</v>
      </c>
      <c r="S55">
        <f t="shared" si="6"/>
        <v>-17720.405944575588</v>
      </c>
    </row>
    <row r="56" spans="1:19" x14ac:dyDescent="0.25">
      <c r="A56" s="4">
        <f t="shared" si="4"/>
        <v>55</v>
      </c>
      <c r="B56" s="4">
        <f>IF(C56&gt;=Input!$B$5,C56-Input!$B$5,"")</f>
        <v>14</v>
      </c>
      <c r="C56" s="4">
        <f t="shared" si="5"/>
        <v>79</v>
      </c>
      <c r="D56" s="4">
        <f>IF(C56&lt;Input!$B$5,0,IF(AND(C56&gt;=Input!$B$5,C56&lt;Input!$B$5+Input!$B$6),1,2))</f>
        <v>1</v>
      </c>
      <c r="E56" s="4">
        <f>IF(C56&gt;=Input!$B$59,1,0)</f>
        <v>1</v>
      </c>
      <c r="F56" s="4">
        <f>IF(AND(C56&gt;=Input!$B$60,D56=1),1,0)</f>
        <v>1</v>
      </c>
      <c r="G56" s="5">
        <f>IF(OR(P55&lt;0,D56=2),0,P55*(1+Input!$B$56))</f>
        <v>55453.133387839021</v>
      </c>
      <c r="H56" s="5">
        <f>IF(D56=0,Input!$B$21+Input!$B$24+Input!$B$27,0)</f>
        <v>0</v>
      </c>
      <c r="I56" s="5">
        <f>IF(D56=1,Input!$B$69,0)</f>
        <v>35000</v>
      </c>
      <c r="J56" s="5">
        <f>IF(F56=1,FV(Input!$B$56,'Primary Details - Actual'!B56,,-Input!$B$12),0)</f>
        <v>7848.2144372327484</v>
      </c>
      <c r="K56" s="5">
        <f>IF(E56=1,FV(Input!$B$56,'Primary Details - Actual'!B56,,-Input!$B$13),0)</f>
        <v>6878.1238494993595</v>
      </c>
      <c r="L56" s="5">
        <f>IF(D56=1,Input!$B$16+Input!$B$14+Input!$B$15,0)</f>
        <v>300</v>
      </c>
      <c r="M56" s="8"/>
      <c r="N56" s="8">
        <f t="shared" si="1"/>
        <v>15026.338286732109</v>
      </c>
      <c r="O56" s="5">
        <f t="shared" si="2"/>
        <v>19973.661713267891</v>
      </c>
      <c r="P56" s="5">
        <f t="shared" si="7"/>
        <v>35479.471674571134</v>
      </c>
      <c r="R56" s="7">
        <f>PV(Input!$B$56,'Primary Details - Hypothetical'!B56,0,'Primary Details - Hypothetical'!H56,1)</f>
        <v>-17423.642391715632</v>
      </c>
      <c r="S56">
        <f t="shared" si="6"/>
        <v>-17423.642391715632</v>
      </c>
    </row>
    <row r="57" spans="1:19" x14ac:dyDescent="0.25">
      <c r="A57" s="4">
        <f t="shared" si="4"/>
        <v>56</v>
      </c>
      <c r="B57" s="4">
        <f>IF(C57&gt;=Input!$B$5,C57-Input!$B$5,"")</f>
        <v>15</v>
      </c>
      <c r="C57" s="4">
        <f t="shared" si="5"/>
        <v>80</v>
      </c>
      <c r="D57" s="4">
        <f>IF(C57&lt;Input!$B$5,0,IF(AND(C57&gt;=Input!$B$5,C57&lt;Input!$B$5+Input!$B$6),1,2))</f>
        <v>1</v>
      </c>
      <c r="E57" s="4">
        <f>IF(C57&gt;=Input!$B$59,1,0)</f>
        <v>1</v>
      </c>
      <c r="F57" s="4">
        <f>IF(AND(C57&gt;=Input!$B$60,D57=1),1,0)</f>
        <v>1</v>
      </c>
      <c r="G57" s="5">
        <f>IF(OR(P56&lt;0,D57=2),0,P56*(1+Input!$B$56))</f>
        <v>35827.309632164965</v>
      </c>
      <c r="H57" s="5">
        <f>IF(D57=0,Input!$B$21+Input!$B$24+Input!$B$27,0)</f>
        <v>0</v>
      </c>
      <c r="I57" s="5">
        <f>IF(D57=1,Input!$B$69,0)</f>
        <v>35000</v>
      </c>
      <c r="J57" s="5">
        <f>IF(F57=1,FV(Input!$B$56,'Primary Details - Actual'!B57,,-Input!$B$12),0)</f>
        <v>7925.1577160291481</v>
      </c>
      <c r="K57" s="5">
        <f>IF(E57=1,FV(Input!$B$56,'Primary Details - Actual'!B57,,-Input!$B$13),0)</f>
        <v>6945.5564362591567</v>
      </c>
      <c r="L57" s="5">
        <f>IF(D57=1,Input!$B$16+Input!$B$14+Input!$B$15,0)</f>
        <v>300</v>
      </c>
      <c r="M57" s="8"/>
      <c r="N57" s="8">
        <f t="shared" si="1"/>
        <v>15170.714152288305</v>
      </c>
      <c r="O57" s="5">
        <f t="shared" si="2"/>
        <v>19829.285847711693</v>
      </c>
      <c r="P57" s="5">
        <f t="shared" si="7"/>
        <v>15998.023784453271</v>
      </c>
      <c r="R57" s="7">
        <f>PV(Input!$B$56,'Primary Details - Hypothetical'!B57,0,'Primary Details - Hypothetical'!H57,1)</f>
        <v>-17129.760038398003</v>
      </c>
      <c r="S57">
        <f t="shared" si="6"/>
        <v>-17129.760038398003</v>
      </c>
    </row>
    <row r="58" spans="1:19" x14ac:dyDescent="0.25">
      <c r="A58" s="4">
        <f t="shared" si="4"/>
        <v>57</v>
      </c>
      <c r="B58" s="4">
        <f>IF(C58&gt;=Input!$B$5,C58-Input!$B$5,"")</f>
        <v>16</v>
      </c>
      <c r="C58" s="4">
        <f t="shared" si="5"/>
        <v>81</v>
      </c>
      <c r="D58" s="4">
        <f>IF(C58&lt;Input!$B$5,0,IF(AND(C58&gt;=Input!$B$5,C58&lt;Input!$B$5+Input!$B$6),1,2))</f>
        <v>1</v>
      </c>
      <c r="E58" s="4">
        <f>IF(C58&gt;=Input!$B$59,1,0)</f>
        <v>1</v>
      </c>
      <c r="F58" s="4">
        <f>IF(AND(C58&gt;=Input!$B$60,D58=1),1,0)</f>
        <v>1</v>
      </c>
      <c r="G58" s="5">
        <f>IF(OR(P57&lt;0,D58=2),0,P57*(1+Input!$B$56))</f>
        <v>16154.867154889087</v>
      </c>
      <c r="H58" s="5">
        <f>IF(D58=0,Input!$B$21+Input!$B$24+Input!$B$27,0)</f>
        <v>0</v>
      </c>
      <c r="I58" s="5">
        <f>IF(D58=1,Input!$B$69,0)</f>
        <v>35000</v>
      </c>
      <c r="J58" s="5">
        <f>IF(F58=1,FV(Input!$B$56,'Primary Details - Actual'!B58,,-Input!$B$12),0)</f>
        <v>8002.8553406961009</v>
      </c>
      <c r="K58" s="5">
        <f>IF(E58=1,FV(Input!$B$56,'Primary Details - Actual'!B58,,-Input!$B$13),0)</f>
        <v>7013.6501268107168</v>
      </c>
      <c r="L58" s="5">
        <f>IF(D58=1,Input!$B$16+Input!$B$14+Input!$B$15,0)</f>
        <v>300</v>
      </c>
      <c r="M58" s="8"/>
      <c r="N58" s="8">
        <f t="shared" si="1"/>
        <v>15316.505467506817</v>
      </c>
      <c r="O58" s="5">
        <f t="shared" si="2"/>
        <v>19683.494532493183</v>
      </c>
      <c r="P58" s="5">
        <f t="shared" si="7"/>
        <v>-3528.6273776040962</v>
      </c>
      <c r="R58" s="7">
        <f>PV(Input!$B$56,'Primary Details - Hypothetical'!B58,0,'Primary Details - Hypothetical'!H58,1)</f>
        <v>-16838.730911811617</v>
      </c>
      <c r="S58">
        <f t="shared" si="6"/>
        <v>-16838.730911811617</v>
      </c>
    </row>
    <row r="59" spans="1:19" x14ac:dyDescent="0.25">
      <c r="A59" s="4">
        <f t="shared" si="4"/>
        <v>58</v>
      </c>
      <c r="B59" s="4">
        <f>IF(C59&gt;=Input!$B$5,C59-Input!$B$5,"")</f>
        <v>17</v>
      </c>
      <c r="C59" s="4">
        <f t="shared" si="5"/>
        <v>82</v>
      </c>
      <c r="D59" s="4">
        <f>IF(C59&lt;Input!$B$5,0,IF(AND(C59&gt;=Input!$B$5,C59&lt;Input!$B$5+Input!$B$6),1,2))</f>
        <v>1</v>
      </c>
      <c r="E59" s="4">
        <f>IF(C59&gt;=Input!$B$59,1,0)</f>
        <v>1</v>
      </c>
      <c r="F59" s="4">
        <f>IF(AND(C59&gt;=Input!$B$60,D59=1),1,0)</f>
        <v>1</v>
      </c>
      <c r="G59" s="5">
        <f>IF(OR(P58&lt;0,D59=2),0,P58*(1+Input!$B$56))</f>
        <v>0</v>
      </c>
      <c r="H59" s="5">
        <f>IF(D59=0,Input!$B$21+Input!$B$24+Input!$B$27,0)</f>
        <v>0</v>
      </c>
      <c r="I59" s="5">
        <f>IF(D59=1,Input!$B$69,0)</f>
        <v>35000</v>
      </c>
      <c r="J59" s="5">
        <f>IF(F59=1,FV(Input!$B$56,'Primary Details - Actual'!B59,,-Input!$B$12),0)</f>
        <v>8081.3147067813561</v>
      </c>
      <c r="K59" s="5">
        <f>IF(E59=1,FV(Input!$B$56,'Primary Details - Actual'!B59,,-Input!$B$13),0)</f>
        <v>7082.4114025637637</v>
      </c>
      <c r="L59" s="5">
        <f>IF(D59=1,Input!$B$16+Input!$B$14+Input!$B$15,0)</f>
        <v>300</v>
      </c>
      <c r="M59" s="8"/>
      <c r="N59" s="8">
        <f t="shared" si="1"/>
        <v>15463.72610934512</v>
      </c>
      <c r="O59" s="5">
        <f t="shared" si="2"/>
        <v>19536.27389065488</v>
      </c>
      <c r="P59" s="5">
        <f t="shared" si="7"/>
        <v>-19536.27389065488</v>
      </c>
      <c r="R59" s="7">
        <f>PV(Input!$B$56,'Primary Details - Hypothetical'!B59,0,'Primary Details - Hypothetical'!H59,1)</f>
        <v>-16550.527310726069</v>
      </c>
      <c r="S59">
        <f t="shared" si="6"/>
        <v>-16550.527310726069</v>
      </c>
    </row>
    <row r="60" spans="1:19" x14ac:dyDescent="0.25">
      <c r="A60" s="4">
        <f t="shared" si="4"/>
        <v>59</v>
      </c>
      <c r="B60" s="4">
        <f>IF(C60&gt;=Input!$B$5,C60-Input!$B$5,"")</f>
        <v>18</v>
      </c>
      <c r="C60" s="4">
        <f>C59+1</f>
        <v>83</v>
      </c>
      <c r="D60" s="4">
        <f>IF(C60&lt;Input!$B$5,0,IF(AND(C60&gt;=Input!$B$5,C60&lt;Input!$B$5+Input!$B$6),1,2))</f>
        <v>1</v>
      </c>
      <c r="E60" s="4">
        <f>IF(C60&gt;=Input!$B$59,1,0)</f>
        <v>1</v>
      </c>
      <c r="F60" s="4">
        <f>IF(AND(C60&gt;=Input!$B$60,D60=1),1,0)</f>
        <v>1</v>
      </c>
      <c r="G60" s="5">
        <f>IF(OR(P59&lt;0,D60=2),0,P59*(1+Input!$B$56))</f>
        <v>0</v>
      </c>
      <c r="H60" s="5">
        <f>IF(D60=0,Input!$B$21+Input!$B$24+Input!$B$27,0)</f>
        <v>0</v>
      </c>
      <c r="I60" s="5">
        <f>IF(D60=1,Input!$B$69,0)</f>
        <v>35000</v>
      </c>
      <c r="J60" s="5">
        <f>IF(F60=1,FV(Input!$B$56,'Primary Details - Actual'!B60,,-Input!$B$12),0)</f>
        <v>8160.5432823380361</v>
      </c>
      <c r="K60" s="5">
        <f>IF(E60=1,FV(Input!$B$56,'Primary Details - Actual'!B60,,-Input!$B$13),0)</f>
        <v>7151.8468084712504</v>
      </c>
      <c r="L60" s="5">
        <f>IF(D60=1,Input!$B$16+Input!$B$14+Input!$B$15,0)</f>
        <v>300</v>
      </c>
      <c r="M60" s="8"/>
      <c r="N60" s="8">
        <f t="shared" si="1"/>
        <v>15612.390090809287</v>
      </c>
      <c r="O60" s="5">
        <f t="shared" si="2"/>
        <v>19387.609909190713</v>
      </c>
      <c r="P60" s="5">
        <f t="shared" si="7"/>
        <v>-19387.609909190713</v>
      </c>
      <c r="R60" s="7">
        <f>PV(Input!$B$56,'Primary Details - Hypothetical'!B60,0,'Primary Details - Hypothetical'!H60,1)</f>
        <v>-16265.121802854943</v>
      </c>
      <c r="S60">
        <f t="shared" si="6"/>
        <v>-16265.121802854943</v>
      </c>
    </row>
    <row r="61" spans="1:19" x14ac:dyDescent="0.25">
      <c r="A61" s="4">
        <f t="shared" si="4"/>
        <v>60</v>
      </c>
      <c r="B61" s="4">
        <f>IF(C61&gt;=Input!$B$5,C61-Input!$B$5,"")</f>
        <v>19</v>
      </c>
      <c r="C61" s="4">
        <f t="shared" si="5"/>
        <v>84</v>
      </c>
      <c r="D61" s="4">
        <f>IF(C61&lt;Input!$B$5,0,IF(AND(C61&gt;=Input!$B$5,C61&lt;Input!$B$5+Input!$B$6),1,2))</f>
        <v>1</v>
      </c>
      <c r="E61" s="4">
        <f>IF(C61&gt;=Input!$B$59,1,0)</f>
        <v>1</v>
      </c>
      <c r="F61" s="4">
        <f>IF(AND(C61&gt;=Input!$B$60,D61=1),1,0)</f>
        <v>1</v>
      </c>
      <c r="G61" s="5">
        <f>IF(OR(P60&lt;0,D61=2),0,P60*(1+Input!$B$56))</f>
        <v>0</v>
      </c>
      <c r="H61" s="5">
        <f>IF(D61=0,Input!$B$21+Input!$B$24+Input!$B$27,0)</f>
        <v>0</v>
      </c>
      <c r="I61" s="5">
        <f>IF(D61=1,Input!$B$69,0)</f>
        <v>35000</v>
      </c>
      <c r="J61" s="5">
        <f>IF(F61=1,FV(Input!$B$56,'Primary Details - Actual'!B61,,-Input!$B$12),0)</f>
        <v>8240.5486086354649</v>
      </c>
      <c r="K61" s="5">
        <f>IF(E61=1,FV(Input!$B$56,'Primary Details - Actual'!B61,,-Input!$B$13),0)</f>
        <v>7221.9629536523398</v>
      </c>
      <c r="L61" s="5">
        <f>IF(D61=1,Input!$B$16+Input!$B$14+Input!$B$15,0)</f>
        <v>300</v>
      </c>
      <c r="M61" s="8"/>
      <c r="N61" s="8">
        <f t="shared" si="1"/>
        <v>15762.511562287804</v>
      </c>
      <c r="O61" s="5">
        <f t="shared" si="2"/>
        <v>19237.488437712196</v>
      </c>
      <c r="P61" s="5">
        <f t="shared" si="7"/>
        <v>-19237.488437712196</v>
      </c>
      <c r="R61" s="7">
        <f>PV(Input!$B$56,'Primary Details - Hypothetical'!B61,0,'Primary Details - Hypothetical'!H61,1)</f>
        <v>-15982.487222244708</v>
      </c>
      <c r="S61">
        <f t="shared" si="6"/>
        <v>-15982.487222244708</v>
      </c>
    </row>
    <row r="62" spans="1:19" x14ac:dyDescent="0.25">
      <c r="A62" s="4">
        <f t="shared" si="4"/>
        <v>61</v>
      </c>
      <c r="B62" s="4">
        <f>IF(C62&gt;=Input!$B$5,C62-Input!$B$5,"")</f>
        <v>20</v>
      </c>
      <c r="C62" s="4">
        <f t="shared" si="5"/>
        <v>85</v>
      </c>
      <c r="D62" s="4">
        <f>IF(C62&lt;Input!$B$5,0,IF(AND(C62&gt;=Input!$B$5,C62&lt;Input!$B$5+Input!$B$6),1,2))</f>
        <v>1</v>
      </c>
      <c r="E62" s="4">
        <f>IF(C62&gt;=Input!$B$59,1,0)</f>
        <v>1</v>
      </c>
      <c r="F62" s="4">
        <f>IF(AND(C62&gt;=Input!$B$60,D62=1),1,0)</f>
        <v>1</v>
      </c>
      <c r="G62" s="5">
        <f>IF(OR(P61&lt;0,D62=2),0,P61*(1+Input!$B$56))</f>
        <v>0</v>
      </c>
      <c r="H62" s="5">
        <f>IF(D62=0,Input!$B$21+Input!$B$24+Input!$B$27,0)</f>
        <v>0</v>
      </c>
      <c r="I62" s="5">
        <f>IF(D62=1,Input!$B$69,0)</f>
        <v>35000</v>
      </c>
      <c r="J62" s="5">
        <f>IF(F62=1,FV(Input!$B$56,'Primary Details - Actual'!B62,,-Input!$B$12),0)</f>
        <v>8321.3383008769888</v>
      </c>
      <c r="K62" s="5">
        <f>IF(E62=1,FV(Input!$B$56,'Primary Details - Actual'!B62,,-Input!$B$13),0)</f>
        <v>7292.7665120214797</v>
      </c>
      <c r="L62" s="5">
        <f>IF(D62=1,Input!$B$16+Input!$B$14+Input!$B$15,0)</f>
        <v>300</v>
      </c>
      <c r="M62" s="8"/>
      <c r="N62" s="8">
        <f t="shared" si="1"/>
        <v>15914.104812898469</v>
      </c>
      <c r="O62" s="5">
        <f t="shared" si="2"/>
        <v>19085.895187101531</v>
      </c>
      <c r="P62" s="5">
        <f t="shared" si="7"/>
        <v>-19085.895187101531</v>
      </c>
      <c r="R62" s="7">
        <f>PV(Input!$B$56,'Primary Details - Hypothetical'!B62,0,'Primary Details - Hypothetical'!H62,1)</f>
        <v>-15702.596666688936</v>
      </c>
      <c r="S62">
        <f t="shared" si="6"/>
        <v>-15702.596666688936</v>
      </c>
    </row>
    <row r="63" spans="1:19" x14ac:dyDescent="0.25">
      <c r="A63" s="4">
        <f t="shared" si="4"/>
        <v>62</v>
      </c>
      <c r="B63" s="4">
        <f>IF(C63&gt;=Input!$B$5,C63-Input!$B$5,"")</f>
        <v>21</v>
      </c>
      <c r="C63" s="4">
        <f t="shared" si="5"/>
        <v>86</v>
      </c>
      <c r="D63" s="4">
        <f>IF(C63&lt;Input!$B$5,0,IF(AND(C63&gt;=Input!$B$5,C63&lt;Input!$B$5+Input!$B$6),1,2))</f>
        <v>1</v>
      </c>
      <c r="E63" s="4">
        <f>IF(C63&gt;=Input!$B$59,1,0)</f>
        <v>1</v>
      </c>
      <c r="F63" s="4">
        <f>IF(AND(C63&gt;=Input!$B$60,D63=1),1,0)</f>
        <v>1</v>
      </c>
      <c r="G63" s="5">
        <f>IF(OR(P62&lt;0,D63=2),0,P62*(1+Input!$B$56))</f>
        <v>0</v>
      </c>
      <c r="H63" s="5">
        <f>IF(D63=0,Input!$B$21+Input!$B$24+Input!$B$27,0)</f>
        <v>0</v>
      </c>
      <c r="I63" s="5">
        <f>IF(D63=1,Input!$B$69,0)</f>
        <v>35000</v>
      </c>
      <c r="J63" s="5">
        <f>IF(F63=1,FV(Input!$B$56,'Primary Details - Actual'!B63,,-Input!$B$12),0)</f>
        <v>8402.9200489248014</v>
      </c>
      <c r="K63" s="5">
        <f>IF(E63=1,FV(Input!$B$56,'Primary Details - Actual'!B63,,-Input!$B$13),0)</f>
        <v>7364.2642229236499</v>
      </c>
      <c r="L63" s="5">
        <f>IF(D63=1,Input!$B$16+Input!$B$14+Input!$B$15,0)</f>
        <v>300</v>
      </c>
      <c r="M63" s="8"/>
      <c r="N63" s="8">
        <f t="shared" si="1"/>
        <v>16067.184271848451</v>
      </c>
      <c r="O63" s="5">
        <f t="shared" si="2"/>
        <v>18932.815728151545</v>
      </c>
      <c r="P63" s="5">
        <f t="shared" si="7"/>
        <v>-18932.815728151545</v>
      </c>
      <c r="R63" s="7">
        <f>PV(Input!$B$56,'Primary Details - Hypothetical'!B63,0,'Primary Details - Hypothetical'!H63,1)</f>
        <v>-15425.423495167686</v>
      </c>
      <c r="S63">
        <f t="shared" si="6"/>
        <v>-15425.423495167686</v>
      </c>
    </row>
    <row r="64" spans="1:19" x14ac:dyDescent="0.25">
      <c r="A64" s="4">
        <f t="shared" si="4"/>
        <v>63</v>
      </c>
      <c r="B64" s="4">
        <f>IF(C64&gt;=Input!$B$5,C64-Input!$B$5,"")</f>
        <v>22</v>
      </c>
      <c r="C64" s="4">
        <f t="shared" si="5"/>
        <v>87</v>
      </c>
      <c r="D64" s="4">
        <f>IF(C64&lt;Input!$B$5,0,IF(AND(C64&gt;=Input!$B$5,C64&lt;Input!$B$5+Input!$B$6),1,2))</f>
        <v>1</v>
      </c>
      <c r="E64" s="4">
        <f>IF(C64&gt;=Input!$B$59,1,0)</f>
        <v>1</v>
      </c>
      <c r="F64" s="4">
        <f>IF(AND(C64&gt;=Input!$B$60,D64=1),1,0)</f>
        <v>1</v>
      </c>
      <c r="G64" s="5">
        <f>IF(OR(P63&lt;0,D64=2),0,P63*(1+Input!$B$56))</f>
        <v>0</v>
      </c>
      <c r="H64" s="5">
        <f>IF(D64=0,Input!$B$21+Input!$B$24+Input!$B$27,0)</f>
        <v>0</v>
      </c>
      <c r="I64" s="5">
        <f>IF(D64=1,Input!$B$69,0)</f>
        <v>35000</v>
      </c>
      <c r="J64" s="5">
        <f>IF(F64=1,FV(Input!$B$56,'Primary Details - Actual'!B64,,-Input!$B$12),0)</f>
        <v>8485.3016180319064</v>
      </c>
      <c r="K64" s="5">
        <f>IF(E64=1,FV(Input!$B$56,'Primary Details - Actual'!B64,,-Input!$B$13),0)</f>
        <v>7436.4628917758419</v>
      </c>
      <c r="L64" s="5">
        <f>IF(D64=1,Input!$B$16+Input!$B$14+Input!$B$15,0)</f>
        <v>300</v>
      </c>
      <c r="M64" s="8"/>
      <c r="N64" s="8">
        <f t="shared" si="1"/>
        <v>16221.764509807748</v>
      </c>
      <c r="O64" s="5">
        <f t="shared" si="2"/>
        <v>18778.235490192252</v>
      </c>
      <c r="P64" s="5">
        <f t="shared" si="7"/>
        <v>-18778.235490192252</v>
      </c>
      <c r="R64" s="7">
        <f>PV(Input!$B$56,'Primary Details - Hypothetical'!B64,0,'Primary Details - Hypothetical'!H64,1)</f>
        <v>-15150.941325311695</v>
      </c>
      <c r="S64">
        <f t="shared" si="6"/>
        <v>-15150.941325311695</v>
      </c>
    </row>
    <row r="65" spans="1:19" x14ac:dyDescent="0.25">
      <c r="A65" s="4">
        <f t="shared" si="4"/>
        <v>64</v>
      </c>
      <c r="B65" s="4">
        <f>IF(C65&gt;=Input!$B$5,C65-Input!$B$5,"")</f>
        <v>23</v>
      </c>
      <c r="C65" s="4">
        <f t="shared" si="5"/>
        <v>88</v>
      </c>
      <c r="D65" s="4">
        <f>IF(C65&lt;Input!$B$5,0,IF(AND(C65&gt;=Input!$B$5,C65&lt;Input!$B$5+Input!$B$6),1,2))</f>
        <v>1</v>
      </c>
      <c r="E65" s="4">
        <f>IF(C65&gt;=Input!$B$59,1,0)</f>
        <v>1</v>
      </c>
      <c r="F65" s="4">
        <f>IF(AND(C65&gt;=Input!$B$60,D65=1),1,0)</f>
        <v>1</v>
      </c>
      <c r="G65" s="5">
        <f>IF(OR(P64&lt;0,D65=2),0,P64*(1+Input!$B$56))</f>
        <v>0</v>
      </c>
      <c r="H65" s="5">
        <f>IF(D65=0,Input!$B$21+Input!$B$24+Input!$B$27,0)</f>
        <v>0</v>
      </c>
      <c r="I65" s="5">
        <f>IF(D65=1,Input!$B$69,0)</f>
        <v>35000</v>
      </c>
      <c r="J65" s="5">
        <f>IF(F65=1,FV(Input!$B$56,'Primary Details - Actual'!B65,,-Input!$B$12),0)</f>
        <v>8568.4908495812379</v>
      </c>
      <c r="K65" s="5">
        <f>IF(E65=1,FV(Input!$B$56,'Primary Details - Actual'!B65,,-Input!$B$13),0)</f>
        <v>7509.3693907148208</v>
      </c>
      <c r="L65" s="5">
        <f>IF(D65=1,Input!$B$16+Input!$B$14+Input!$B$15,0)</f>
        <v>300</v>
      </c>
      <c r="M65" s="8"/>
      <c r="N65" s="8">
        <f t="shared" si="1"/>
        <v>16377.860240296059</v>
      </c>
      <c r="O65" s="5">
        <f t="shared" si="2"/>
        <v>18622.139759703939</v>
      </c>
      <c r="P65" s="5">
        <f t="shared" si="7"/>
        <v>-18622.139759703939</v>
      </c>
      <c r="R65" s="7">
        <f>PV(Input!$B$56,'Primary Details - Hypothetical'!B65,0,'Primary Details - Hypothetical'!H65,1)</f>
        <v>-14879.124030891193</v>
      </c>
      <c r="S65">
        <f t="shared" si="6"/>
        <v>-14879.124030891193</v>
      </c>
    </row>
    <row r="66" spans="1:19" x14ac:dyDescent="0.25">
      <c r="A66" s="4">
        <f t="shared" si="4"/>
        <v>65</v>
      </c>
      <c r="B66" s="4">
        <f>IF(C66&gt;=Input!$B$5,C66-Input!$B$5,"")</f>
        <v>24</v>
      </c>
      <c r="C66" s="4">
        <f t="shared" si="5"/>
        <v>89</v>
      </c>
      <c r="D66" s="4">
        <f>IF(C66&lt;Input!$B$5,0,IF(AND(C66&gt;=Input!$B$5,C66&lt;Input!$B$5+Input!$B$6),1,2))</f>
        <v>1</v>
      </c>
      <c r="E66" s="4">
        <f>IF(C66&gt;=Input!$B$59,1,0)</f>
        <v>1</v>
      </c>
      <c r="F66" s="4">
        <f>IF(AND(C66&gt;=Input!$B$60,D66=1),1,0)</f>
        <v>1</v>
      </c>
      <c r="G66" s="5">
        <f>IF(OR(P65&lt;0,D66=2),0,P65*(1+Input!$B$56))</f>
        <v>0</v>
      </c>
      <c r="H66" s="5">
        <f>IF(D66=0,Input!$B$21+Input!$B$24+Input!$B$27,0)</f>
        <v>0</v>
      </c>
      <c r="I66" s="5">
        <f>IF(D66=1,Input!$B$69,0)</f>
        <v>35000</v>
      </c>
      <c r="J66" s="5">
        <f>IF(F66=1,FV(Input!$B$56,'Primary Details - Actual'!B66,,-Input!$B$12),0)</f>
        <v>8652.4956618320357</v>
      </c>
      <c r="K66" s="5">
        <f>IF(E66=1,FV(Input!$B$56,'Primary Details - Actual'!B66,,-Input!$B$13),0)</f>
        <v>7582.9906592512407</v>
      </c>
      <c r="L66" s="5">
        <f>IF(D66=1,Input!$B$16+Input!$B$14+Input!$B$15,0)</f>
        <v>300</v>
      </c>
      <c r="M66" s="8"/>
      <c r="N66" s="8">
        <f t="shared" si="1"/>
        <v>16535.486321083277</v>
      </c>
      <c r="O66" s="5">
        <f t="shared" si="2"/>
        <v>18464.513678916723</v>
      </c>
      <c r="P66" s="5">
        <f t="shared" si="7"/>
        <v>-18464.513678916723</v>
      </c>
      <c r="R66" s="7">
        <f>PV(Input!$B$56,'Primary Details - Hypothetical'!B66,0,'Primary Details - Hypothetical'!H66,1)</f>
        <v>-14609.945739329141</v>
      </c>
      <c r="S66">
        <f t="shared" ref="S66:S97" si="8">IFERROR(R66,0)</f>
        <v>-14609.945739329141</v>
      </c>
    </row>
    <row r="67" spans="1:19" x14ac:dyDescent="0.25">
      <c r="A67" s="4">
        <f t="shared" si="4"/>
        <v>66</v>
      </c>
      <c r="B67" s="4">
        <f>IF(C67&gt;=Input!$B$5,C67-Input!$B$5,"")</f>
        <v>25</v>
      </c>
      <c r="C67" s="4">
        <f t="shared" si="5"/>
        <v>90</v>
      </c>
      <c r="D67" s="4">
        <f>IF(C67&lt;Input!$B$5,0,IF(AND(C67&gt;=Input!$B$5,C67&lt;Input!$B$5+Input!$B$6),1,2))</f>
        <v>1</v>
      </c>
      <c r="E67" s="4">
        <f>IF(C67&gt;=Input!$B$59,1,0)</f>
        <v>1</v>
      </c>
      <c r="F67" s="4">
        <f>IF(AND(C67&gt;=Input!$B$60,D67=1),1,0)</f>
        <v>1</v>
      </c>
      <c r="G67" s="5">
        <f>IF(OR(P66&lt;0,D67=2),0,P66*(1+Input!$B$56))</f>
        <v>0</v>
      </c>
      <c r="H67" s="5">
        <f>IF(D67=0,Input!$B$21+Input!$B$24+Input!$B$27,0)</f>
        <v>0</v>
      </c>
      <c r="I67" s="5">
        <f>IF(D67=1,Input!$B$69,0)</f>
        <v>35000</v>
      </c>
      <c r="J67" s="5">
        <f>IF(F67=1,FV(Input!$B$56,'Primary Details - Actual'!B67,,-Input!$B$12),0)</f>
        <v>8737.3240506735256</v>
      </c>
      <c r="K67" s="5">
        <f>IF(E67=1,FV(Input!$B$56,'Primary Details - Actual'!B67,,-Input!$B$13),0)</f>
        <v>7657.3337049301745</v>
      </c>
      <c r="L67" s="5">
        <f>IF(D67=1,Input!$B$16+Input!$B$14+Input!$B$15,0)</f>
        <v>300</v>
      </c>
      <c r="M67" s="8"/>
      <c r="N67" s="8">
        <f t="shared" ref="N67:N102" si="9">J67+K67+L67</f>
        <v>16694.657755603701</v>
      </c>
      <c r="O67" s="5">
        <f t="shared" ref="O67:O102" si="10">IF(D67=1,I67-J67-K67-L67,0)</f>
        <v>18305.342244396303</v>
      </c>
      <c r="P67" s="5">
        <f t="shared" ref="P67:P98" si="11">IF(D67=2,P66,G67+H67-O67)</f>
        <v>-18305.342244396303</v>
      </c>
      <c r="R67" s="7">
        <f>PV(Input!$B$56,'Primary Details - Hypothetical'!B67,0,'Primary Details - Hypothetical'!H67,1)</f>
        <v>-14343.380829238571</v>
      </c>
      <c r="S67">
        <f t="shared" si="8"/>
        <v>-14343.380829238571</v>
      </c>
    </row>
    <row r="68" spans="1:19" x14ac:dyDescent="0.25">
      <c r="A68" s="4">
        <f t="shared" ref="A68:A100" si="12">A67+1</f>
        <v>67</v>
      </c>
      <c r="B68" s="4">
        <f>IF(C68&gt;=Input!$B$5,C68-Input!$B$5,"")</f>
        <v>26</v>
      </c>
      <c r="C68" s="4">
        <f t="shared" ref="C68:C100" si="13">C67+1</f>
        <v>91</v>
      </c>
      <c r="D68" s="4">
        <f>IF(C68&lt;Input!$B$5,0,IF(AND(C68&gt;=Input!$B$5,C68&lt;Input!$B$5+Input!$B$6),1,2))</f>
        <v>1</v>
      </c>
      <c r="E68" s="4">
        <f>IF(C68&gt;=Input!$B$59,1,0)</f>
        <v>1</v>
      </c>
      <c r="F68" s="4">
        <f>IF(AND(C68&gt;=Input!$B$60,D68=1),1,0)</f>
        <v>1</v>
      </c>
      <c r="G68" s="5">
        <f>IF(OR(P67&lt;0,D68=2),0,P67*(1+Input!$B$56))</f>
        <v>0</v>
      </c>
      <c r="H68" s="5">
        <f>IF(D68=0,Input!$B$21+Input!$B$24+Input!$B$27,0)</f>
        <v>0</v>
      </c>
      <c r="I68" s="5">
        <f>IF(D68=1,Input!$B$69,0)</f>
        <v>35000</v>
      </c>
      <c r="J68" s="5">
        <f>IF(F68=1,FV(Input!$B$56,'Primary Details - Actual'!B68,,-Input!$B$12),0)</f>
        <v>8822.9840903860095</v>
      </c>
      <c r="K68" s="5">
        <f>IF(E68=1,FV(Input!$B$56,'Primary Details - Actual'!B68,,-Input!$B$13),0)</f>
        <v>7732.405603998116</v>
      </c>
      <c r="L68" s="5">
        <f>IF(D68=1,Input!$B$16+Input!$B$14+Input!$B$15,0)</f>
        <v>300</v>
      </c>
      <c r="M68" s="8"/>
      <c r="N68" s="8">
        <f t="shared" si="9"/>
        <v>16855.389694384125</v>
      </c>
      <c r="O68" s="5">
        <f t="shared" si="10"/>
        <v>18144.610305615875</v>
      </c>
      <c r="P68" s="5">
        <f t="shared" si="11"/>
        <v>-18144.610305615875</v>
      </c>
      <c r="R68" s="7">
        <f>PV(Input!$B$56,'Primary Details - Hypothetical'!B68,0,'Primary Details - Hypothetical'!H68,1)</f>
        <v>-14079.403927983831</v>
      </c>
      <c r="S68">
        <f t="shared" si="8"/>
        <v>-14079.403927983831</v>
      </c>
    </row>
    <row r="69" spans="1:19" x14ac:dyDescent="0.25">
      <c r="A69" s="4">
        <f t="shared" si="12"/>
        <v>68</v>
      </c>
      <c r="B69" s="4">
        <f>IF(C69&gt;=Input!$B$5,C69-Input!$B$5,"")</f>
        <v>27</v>
      </c>
      <c r="C69" s="4">
        <f t="shared" si="13"/>
        <v>92</v>
      </c>
      <c r="D69" s="4">
        <f>IF(C69&lt;Input!$B$5,0,IF(AND(C69&gt;=Input!$B$5,C69&lt;Input!$B$5+Input!$B$6),1,2))</f>
        <v>1</v>
      </c>
      <c r="E69" s="4">
        <f>IF(C69&gt;=Input!$B$59,1,0)</f>
        <v>1</v>
      </c>
      <c r="F69" s="4">
        <f>IF(AND(C69&gt;=Input!$B$60,D69=1),1,0)</f>
        <v>1</v>
      </c>
      <c r="G69" s="5">
        <f>IF(OR(P68&lt;0,D69=2),0,P68*(1+Input!$B$56))</f>
        <v>0</v>
      </c>
      <c r="H69" s="5">
        <f>IF(D69=0,Input!$B$21+Input!$B$24+Input!$B$27,0)</f>
        <v>0</v>
      </c>
      <c r="I69" s="5">
        <f>IF(D69=1,Input!$B$69,0)</f>
        <v>35000</v>
      </c>
      <c r="J69" s="5">
        <f>IF(F69=1,FV(Input!$B$56,'Primary Details - Actual'!B69,,-Input!$B$12),0)</f>
        <v>8909.4839344094016</v>
      </c>
      <c r="K69" s="5">
        <f>IF(E69=1,FV(Input!$B$56,'Primary Details - Actual'!B69,,-Input!$B$13),0)</f>
        <v>7808.2135020765281</v>
      </c>
      <c r="L69" s="5">
        <f>IF(D69=1,Input!$B$16+Input!$B$14+Input!$B$15,0)</f>
        <v>300</v>
      </c>
      <c r="M69" s="8"/>
      <c r="N69" s="8">
        <f t="shared" si="9"/>
        <v>17017.697436485931</v>
      </c>
      <c r="O69" s="5">
        <f t="shared" si="10"/>
        <v>17982.302563514073</v>
      </c>
      <c r="P69" s="5">
        <f t="shared" si="11"/>
        <v>-17982.302563514073</v>
      </c>
      <c r="R69" s="7">
        <f>PV(Input!$B$56,'Primary Details - Hypothetical'!B69,0,'Primary Details - Hypothetical'!H69,1)</f>
        <v>-13817.989909265543</v>
      </c>
      <c r="S69">
        <f t="shared" si="8"/>
        <v>-13817.989909265543</v>
      </c>
    </row>
    <row r="70" spans="1:19" x14ac:dyDescent="0.25">
      <c r="A70" s="4">
        <f t="shared" si="12"/>
        <v>69</v>
      </c>
      <c r="B70" s="4">
        <f>IF(C70&gt;=Input!$B$5,C70-Input!$B$5,"")</f>
        <v>28</v>
      </c>
      <c r="C70" s="4">
        <f t="shared" si="13"/>
        <v>93</v>
      </c>
      <c r="D70" s="4">
        <f>IF(C70&lt;Input!$B$5,0,IF(AND(C70&gt;=Input!$B$5,C70&lt;Input!$B$5+Input!$B$6),1,2))</f>
        <v>1</v>
      </c>
      <c r="E70" s="4">
        <f>IF(C70&gt;=Input!$B$59,1,0)</f>
        <v>1</v>
      </c>
      <c r="F70" s="4">
        <f>IF(AND(C70&gt;=Input!$B$60,D70=1),1,0)</f>
        <v>1</v>
      </c>
      <c r="G70" s="5">
        <f>IF(OR(P69&lt;0,D70=2),0,P69*(1+Input!$B$56))</f>
        <v>0</v>
      </c>
      <c r="H70" s="5">
        <f>IF(D70=0,Input!$B$21+Input!$B$24+Input!$B$27,0)</f>
        <v>0</v>
      </c>
      <c r="I70" s="5">
        <f>IF(D70=1,Input!$B$69,0)</f>
        <v>35000</v>
      </c>
      <c r="J70" s="5">
        <f>IF(F70=1,FV(Input!$B$56,'Primary Details - Actual'!B70,,-Input!$B$12),0)</f>
        <v>8996.8318161192947</v>
      </c>
      <c r="K70" s="5">
        <f>IF(E70=1,FV(Input!$B$56,'Primary Details - Actual'!B70,,-Input!$B$13),0)</f>
        <v>7884.7646148419817</v>
      </c>
      <c r="L70" s="5">
        <f>IF(D70=1,Input!$B$16+Input!$B$14+Input!$B$15,0)</f>
        <v>300</v>
      </c>
      <c r="M70" s="8"/>
      <c r="N70" s="8">
        <f t="shared" si="9"/>
        <v>17181.596430961275</v>
      </c>
      <c r="O70" s="5">
        <f t="shared" si="10"/>
        <v>17818.403569038725</v>
      </c>
      <c r="P70" s="5">
        <f t="shared" si="11"/>
        <v>-17818.403569038725</v>
      </c>
      <c r="R70" s="7">
        <f>PV(Input!$B$56,'Primary Details - Hypothetical'!B70,0,'Primary Details - Hypothetical'!H70,1)</f>
        <v>-13559.113890728991</v>
      </c>
      <c r="S70">
        <f t="shared" si="8"/>
        <v>-13559.113890728991</v>
      </c>
    </row>
    <row r="71" spans="1:19" x14ac:dyDescent="0.25">
      <c r="A71" s="4">
        <f t="shared" si="12"/>
        <v>70</v>
      </c>
      <c r="B71" s="4">
        <f>IF(C71&gt;=Input!$B$5,C71-Input!$B$5,"")</f>
        <v>29</v>
      </c>
      <c r="C71" s="4">
        <f t="shared" si="13"/>
        <v>94</v>
      </c>
      <c r="D71" s="4">
        <f>IF(C71&lt;Input!$B$5,0,IF(AND(C71&gt;=Input!$B$5,C71&lt;Input!$B$5+Input!$B$6),1,2))</f>
        <v>1</v>
      </c>
      <c r="E71" s="4">
        <f>IF(C71&gt;=Input!$B$59,1,0)</f>
        <v>1</v>
      </c>
      <c r="F71" s="4">
        <f>IF(AND(C71&gt;=Input!$B$60,D71=1),1,0)</f>
        <v>1</v>
      </c>
      <c r="G71" s="5">
        <f>IF(OR(P70&lt;0,D71=2),0,P70*(1+Input!$B$56))</f>
        <v>0</v>
      </c>
      <c r="H71" s="5">
        <f>IF(D71=0,Input!$B$21+Input!$B$24+Input!$B$27,0)</f>
        <v>0</v>
      </c>
      <c r="I71" s="5">
        <f>IF(D71=1,Input!$B$69,0)</f>
        <v>35000</v>
      </c>
      <c r="J71" s="5">
        <f>IF(F71=1,FV(Input!$B$56,'Primary Details - Actual'!B71,,-Input!$B$12),0)</f>
        <v>9085.0360496106605</v>
      </c>
      <c r="K71" s="5">
        <f>IF(E71=1,FV(Input!$B$56,'Primary Details - Actual'!B71,,-Input!$B$13),0)</f>
        <v>7962.0662287129817</v>
      </c>
      <c r="L71" s="5">
        <f>IF(D71=1,Input!$B$16+Input!$B$14+Input!$B$15,0)</f>
        <v>300</v>
      </c>
      <c r="M71" s="8"/>
      <c r="N71" s="8">
        <f t="shared" si="9"/>
        <v>17347.10227832364</v>
      </c>
      <c r="O71" s="5">
        <f t="shared" si="10"/>
        <v>17652.89772167636</v>
      </c>
      <c r="P71" s="5">
        <f t="shared" si="11"/>
        <v>-17652.89772167636</v>
      </c>
      <c r="R71" s="7">
        <f>PV(Input!$B$56,'Primary Details - Hypothetical'!B71,0,'Primary Details - Hypothetical'!H71,1)</f>
        <v>-13302.751231595701</v>
      </c>
      <c r="S71">
        <f t="shared" si="8"/>
        <v>-13302.751231595701</v>
      </c>
    </row>
    <row r="72" spans="1:19" x14ac:dyDescent="0.25">
      <c r="A72" s="4">
        <f t="shared" si="12"/>
        <v>71</v>
      </c>
      <c r="B72" s="4">
        <f>IF(C72&gt;=Input!$B$5,C72-Input!$B$5,"")</f>
        <v>30</v>
      </c>
      <c r="C72" s="4">
        <f t="shared" si="13"/>
        <v>95</v>
      </c>
      <c r="D72" s="4">
        <f>IF(C72&lt;Input!$B$5,0,IF(AND(C72&gt;=Input!$B$5,C72&lt;Input!$B$5+Input!$B$6),1,2))</f>
        <v>2</v>
      </c>
      <c r="E72" s="4">
        <f>IF(C72&gt;=Input!$B$59,1,0)</f>
        <v>1</v>
      </c>
      <c r="F72" s="4">
        <f>IF(AND(C72&gt;=Input!$B$60,D72=1),1,0)</f>
        <v>0</v>
      </c>
      <c r="G72" s="5">
        <f>IF(OR(P71&lt;0,D72=2),0,P71*(1+Input!$B$56))</f>
        <v>0</v>
      </c>
      <c r="H72" s="5">
        <f>IF(D72=0,Input!$B$21+Input!$B$24+Input!$B$27,0)</f>
        <v>0</v>
      </c>
      <c r="I72" s="5">
        <f>IF(D72=1,Input!$B$69,0)</f>
        <v>0</v>
      </c>
      <c r="J72" s="5">
        <f>IF(F72=1,FV(Input!$B$56,'Primary Details - Actual'!B72,,-Input!$B$12),0)</f>
        <v>0</v>
      </c>
      <c r="K72" s="5">
        <f>IF(E72=1,FV(Input!$B$56,'Primary Details - Actual'!B72,,-Input!$B$13),0)</f>
        <v>8040.1257015435003</v>
      </c>
      <c r="L72" s="5">
        <f>IF(D72=1,Input!$B$16+Input!$B$14+Input!$B$15,0)</f>
        <v>0</v>
      </c>
      <c r="M72" s="8"/>
      <c r="N72" s="8">
        <f t="shared" si="9"/>
        <v>8040.1257015435003</v>
      </c>
      <c r="O72" s="5">
        <f t="shared" si="10"/>
        <v>0</v>
      </c>
      <c r="P72" s="5">
        <f t="shared" si="11"/>
        <v>-17652.89772167636</v>
      </c>
      <c r="R72" s="7">
        <f>PV(Input!$B$56,'Primary Details - Hypothetical'!B72,0,'Primary Details - Hypothetical'!H72,1)</f>
        <v>0</v>
      </c>
      <c r="S72">
        <f t="shared" si="8"/>
        <v>0</v>
      </c>
    </row>
    <row r="73" spans="1:19" x14ac:dyDescent="0.25">
      <c r="A73" s="4">
        <f t="shared" si="12"/>
        <v>72</v>
      </c>
      <c r="B73" s="4">
        <f>IF(C73&gt;=Input!$B$5,C73-Input!$B$5,"")</f>
        <v>31</v>
      </c>
      <c r="C73" s="4">
        <f t="shared" si="13"/>
        <v>96</v>
      </c>
      <c r="D73" s="4">
        <f>IF(C73&lt;Input!$B$5,0,IF(AND(C73&gt;=Input!$B$5,C73&lt;Input!$B$5+Input!$B$6),1,2))</f>
        <v>2</v>
      </c>
      <c r="E73" s="4">
        <f>IF(C73&gt;=Input!$B$59,1,0)</f>
        <v>1</v>
      </c>
      <c r="F73" s="4">
        <f>IF(AND(C73&gt;=Input!$B$60,D73=1),1,0)</f>
        <v>0</v>
      </c>
      <c r="G73" s="5">
        <f>IF(OR(P72&lt;0,D73=2),0,P72*(1+Input!$B$56))</f>
        <v>0</v>
      </c>
      <c r="H73" s="5">
        <f>IF(D73=0,Input!$B$21+Input!$B$24+Input!$B$27,0)</f>
        <v>0</v>
      </c>
      <c r="I73" s="5">
        <f>IF(D73=1,Input!$B$69,0)</f>
        <v>0</v>
      </c>
      <c r="J73" s="5">
        <f>IF(F73=1,FV(Input!$B$56,'Primary Details - Actual'!B73,,-Input!$B$12),0)</f>
        <v>0</v>
      </c>
      <c r="K73" s="5">
        <f>IF(E73=1,FV(Input!$B$56,'Primary Details - Actual'!B73,,-Input!$B$13),0)</f>
        <v>8118.9504633233382</v>
      </c>
      <c r="L73" s="5">
        <f>IF(D73=1,Input!$B$16+Input!$B$14+Input!$B$15,0)</f>
        <v>0</v>
      </c>
      <c r="M73" s="8"/>
      <c r="N73" s="8">
        <f t="shared" si="9"/>
        <v>8118.9504633233382</v>
      </c>
      <c r="O73" s="5">
        <f t="shared" si="10"/>
        <v>0</v>
      </c>
      <c r="P73" s="5">
        <f t="shared" si="11"/>
        <v>-17652.89772167636</v>
      </c>
      <c r="R73" s="7">
        <f>PV(Input!$B$56,'Primary Details - Hypothetical'!B73,0,'Primary Details - Hypothetical'!H73,1)</f>
        <v>0</v>
      </c>
      <c r="S73">
        <f t="shared" si="8"/>
        <v>0</v>
      </c>
    </row>
    <row r="74" spans="1:19" x14ac:dyDescent="0.25">
      <c r="A74" s="4">
        <f t="shared" si="12"/>
        <v>73</v>
      </c>
      <c r="B74" s="4">
        <f>IF(C74&gt;=Input!$B$5,C74-Input!$B$5,"")</f>
        <v>32</v>
      </c>
      <c r="C74" s="4">
        <f t="shared" si="13"/>
        <v>97</v>
      </c>
      <c r="D74" s="4">
        <f>IF(C74&lt;Input!$B$5,0,IF(AND(C74&gt;=Input!$B$5,C74&lt;Input!$B$5+Input!$B$6),1,2))</f>
        <v>2</v>
      </c>
      <c r="E74" s="4">
        <f>IF(C74&gt;=Input!$B$59,1,0)</f>
        <v>1</v>
      </c>
      <c r="F74" s="4">
        <f>IF(AND(C74&gt;=Input!$B$60,D74=1),1,0)</f>
        <v>0</v>
      </c>
      <c r="G74" s="5">
        <f>IF(OR(P73&lt;0,D74=2),0,P73*(1+Input!$B$56))</f>
        <v>0</v>
      </c>
      <c r="H74" s="5">
        <f>IF(D74=0,Input!$B$21+Input!$B$24+Input!$B$27,0)</f>
        <v>0</v>
      </c>
      <c r="I74" s="5">
        <f>IF(D74=1,Input!$B$69,0)</f>
        <v>0</v>
      </c>
      <c r="J74" s="5">
        <f>IF(F74=1,FV(Input!$B$56,'Primary Details - Actual'!B74,,-Input!$B$12),0)</f>
        <v>0</v>
      </c>
      <c r="K74" s="5">
        <f>IF(E74=1,FV(Input!$B$56,'Primary Details - Actual'!B74,,-Input!$B$13),0)</f>
        <v>8198.5480168853319</v>
      </c>
      <c r="L74" s="5">
        <f>IF(D74=1,Input!$B$16+Input!$B$14+Input!$B$15,0)</f>
        <v>0</v>
      </c>
      <c r="M74" s="8"/>
      <c r="N74" s="8">
        <f t="shared" si="9"/>
        <v>8198.5480168853319</v>
      </c>
      <c r="O74" s="5">
        <f t="shared" si="10"/>
        <v>0</v>
      </c>
      <c r="P74" s="5">
        <f t="shared" si="11"/>
        <v>-17652.89772167636</v>
      </c>
      <c r="R74" s="7">
        <f>PV(Input!$B$56,'Primary Details - Hypothetical'!B74,0,'Primary Details - Hypothetical'!H74,1)</f>
        <v>0</v>
      </c>
      <c r="S74">
        <f t="shared" si="8"/>
        <v>0</v>
      </c>
    </row>
    <row r="75" spans="1:19" x14ac:dyDescent="0.25">
      <c r="A75" s="4">
        <f t="shared" si="12"/>
        <v>74</v>
      </c>
      <c r="B75" s="4">
        <f>IF(C75&gt;=Input!$B$5,C75-Input!$B$5,"")</f>
        <v>33</v>
      </c>
      <c r="C75" s="4">
        <f t="shared" si="13"/>
        <v>98</v>
      </c>
      <c r="D75" s="4">
        <f>IF(C75&lt;Input!$B$5,0,IF(AND(C75&gt;=Input!$B$5,C75&lt;Input!$B$5+Input!$B$6),1,2))</f>
        <v>2</v>
      </c>
      <c r="E75" s="4">
        <f>IF(C75&gt;=Input!$B$59,1,0)</f>
        <v>1</v>
      </c>
      <c r="F75" s="4">
        <f>IF(AND(C75&gt;=Input!$B$60,D75=1),1,0)</f>
        <v>0</v>
      </c>
      <c r="G75" s="5">
        <f>IF(OR(P74&lt;0,D75=2),0,P74*(1+Input!$B$56))</f>
        <v>0</v>
      </c>
      <c r="H75" s="5">
        <f>IF(D75=0,Input!$B$21+Input!$B$24+Input!$B$27,0)</f>
        <v>0</v>
      </c>
      <c r="I75" s="5">
        <f>IF(D75=1,Input!$B$69,0)</f>
        <v>0</v>
      </c>
      <c r="J75" s="5">
        <f>IF(F75=1,FV(Input!$B$56,'Primary Details - Actual'!B75,,-Input!$B$12),0)</f>
        <v>0</v>
      </c>
      <c r="K75" s="5">
        <f>IF(E75=1,FV(Input!$B$56,'Primary Details - Actual'!B75,,-Input!$B$13),0)</f>
        <v>8278.9259386195026</v>
      </c>
      <c r="L75" s="5">
        <f>IF(D75=1,Input!$B$16+Input!$B$14+Input!$B$15,0)</f>
        <v>0</v>
      </c>
      <c r="M75" s="8"/>
      <c r="N75" s="8">
        <f t="shared" si="9"/>
        <v>8278.9259386195026</v>
      </c>
      <c r="O75" s="5">
        <f t="shared" si="10"/>
        <v>0</v>
      </c>
      <c r="P75" s="5">
        <f t="shared" si="11"/>
        <v>-17652.89772167636</v>
      </c>
      <c r="R75" s="7">
        <f>PV(Input!$B$56,'Primary Details - Hypothetical'!B75,0,'Primary Details - Hypothetical'!H75,1)</f>
        <v>0</v>
      </c>
      <c r="S75">
        <f t="shared" si="8"/>
        <v>0</v>
      </c>
    </row>
    <row r="76" spans="1:19" x14ac:dyDescent="0.25">
      <c r="A76" s="4">
        <f t="shared" si="12"/>
        <v>75</v>
      </c>
      <c r="B76" s="4">
        <f>IF(C76&gt;=Input!$B$5,C76-Input!$B$5,"")</f>
        <v>34</v>
      </c>
      <c r="C76" s="4">
        <f t="shared" si="13"/>
        <v>99</v>
      </c>
      <c r="D76" s="4">
        <f>IF(C76&lt;Input!$B$5,0,IF(AND(C76&gt;=Input!$B$5,C76&lt;Input!$B$5+Input!$B$6),1,2))</f>
        <v>2</v>
      </c>
      <c r="E76" s="4">
        <f>IF(C76&gt;=Input!$B$59,1,0)</f>
        <v>1</v>
      </c>
      <c r="F76" s="4">
        <f>IF(AND(C76&gt;=Input!$B$60,D76=1),1,0)</f>
        <v>0</v>
      </c>
      <c r="G76" s="5">
        <f>IF(OR(P75&lt;0,D76=2),0,P75*(1+Input!$B$56))</f>
        <v>0</v>
      </c>
      <c r="H76" s="5">
        <f>IF(D76=0,Input!$B$21+Input!$B$24+Input!$B$27,0)</f>
        <v>0</v>
      </c>
      <c r="I76" s="5">
        <f>IF(D76=1,Input!$B$69,0)</f>
        <v>0</v>
      </c>
      <c r="J76" s="5">
        <f>IF(F76=1,FV(Input!$B$56,'Primary Details - Actual'!B76,,-Input!$B$12),0)</f>
        <v>0</v>
      </c>
      <c r="K76" s="5">
        <f>IF(E76=1,FV(Input!$B$56,'Primary Details - Actual'!B76,,-Input!$B$13),0)</f>
        <v>8360.0918791942004</v>
      </c>
      <c r="L76" s="5">
        <f>IF(D76=1,Input!$B$16+Input!$B$14+Input!$B$15,0)</f>
        <v>0</v>
      </c>
      <c r="M76" s="8"/>
      <c r="N76" s="8">
        <f t="shared" si="9"/>
        <v>8360.0918791942004</v>
      </c>
      <c r="O76" s="5">
        <f t="shared" si="10"/>
        <v>0</v>
      </c>
      <c r="P76" s="5">
        <f t="shared" si="11"/>
        <v>-17652.89772167636</v>
      </c>
      <c r="R76" s="7">
        <f>PV(Input!$B$56,'Primary Details - Hypothetical'!B76,0,'Primary Details - Hypothetical'!H76,1)</f>
        <v>0</v>
      </c>
      <c r="S76">
        <f t="shared" si="8"/>
        <v>0</v>
      </c>
    </row>
    <row r="77" spans="1:19" x14ac:dyDescent="0.25">
      <c r="A77" s="4">
        <f t="shared" si="12"/>
        <v>76</v>
      </c>
      <c r="B77" s="4">
        <f>IF(C77&gt;=Input!$B$5,C77-Input!$B$5,"")</f>
        <v>35</v>
      </c>
      <c r="C77" s="4">
        <f t="shared" si="13"/>
        <v>100</v>
      </c>
      <c r="D77" s="4">
        <f>IF(C77&lt;Input!$B$5,0,IF(AND(C77&gt;=Input!$B$5,C77&lt;Input!$B$5+Input!$B$6),1,2))</f>
        <v>2</v>
      </c>
      <c r="E77" s="4">
        <f>IF(C77&gt;=Input!$B$59,1,0)</f>
        <v>1</v>
      </c>
      <c r="F77" s="4">
        <f>IF(AND(C77&gt;=Input!$B$60,D77=1),1,0)</f>
        <v>0</v>
      </c>
      <c r="G77" s="5">
        <f>IF(OR(P76&lt;0,D77=2),0,P76*(1+Input!$B$56))</f>
        <v>0</v>
      </c>
      <c r="H77" s="5">
        <f>IF(D77=0,Input!$B$21+Input!$B$24+Input!$B$27,0)</f>
        <v>0</v>
      </c>
      <c r="I77" s="5">
        <f>IF(D77=1,Input!$B$69,0)</f>
        <v>0</v>
      </c>
      <c r="J77" s="5">
        <f>IF(F77=1,FV(Input!$B$56,'Primary Details - Actual'!B77,,-Input!$B$12),0)</f>
        <v>0</v>
      </c>
      <c r="K77" s="5">
        <f>IF(E77=1,FV(Input!$B$56,'Primary Details - Actual'!B77,,-Input!$B$13),0)</f>
        <v>8442.0535642843388</v>
      </c>
      <c r="L77" s="5">
        <f>IF(D77=1,Input!$B$16+Input!$B$14+Input!$B$15,0)</f>
        <v>0</v>
      </c>
      <c r="M77" s="8"/>
      <c r="N77" s="8">
        <f t="shared" si="9"/>
        <v>8442.0535642843388</v>
      </c>
      <c r="O77" s="5">
        <f t="shared" si="10"/>
        <v>0</v>
      </c>
      <c r="P77" s="5">
        <f t="shared" si="11"/>
        <v>-17652.89772167636</v>
      </c>
      <c r="R77" s="7">
        <f>PV(Input!$B$56,'Primary Details - Hypothetical'!B77,0,'Primary Details - Hypothetical'!H77,1)</f>
        <v>0</v>
      </c>
      <c r="S77">
        <f t="shared" si="8"/>
        <v>0</v>
      </c>
    </row>
    <row r="78" spans="1:19" x14ac:dyDescent="0.25">
      <c r="A78" s="4">
        <f t="shared" si="12"/>
        <v>77</v>
      </c>
      <c r="B78" s="4">
        <f>IF(C78&gt;=Input!$B$5,C78-Input!$B$5,"")</f>
        <v>36</v>
      </c>
      <c r="C78" s="4">
        <f t="shared" si="13"/>
        <v>101</v>
      </c>
      <c r="D78" s="4">
        <f>IF(C78&lt;Input!$B$5,0,IF(AND(C78&gt;=Input!$B$5,C78&lt;Input!$B$5+Input!$B$6),1,2))</f>
        <v>2</v>
      </c>
      <c r="E78" s="4">
        <f>IF(C78&gt;=Input!$B$59,1,0)</f>
        <v>1</v>
      </c>
      <c r="F78" s="4">
        <f>IF(AND(C78&gt;=Input!$B$60,D78=1),1,0)</f>
        <v>0</v>
      </c>
      <c r="G78" s="5">
        <f>IF(OR(P77&lt;0,D78=2),0,P77*(1+Input!$B$56))</f>
        <v>0</v>
      </c>
      <c r="H78" s="5">
        <f>IF(D78=0,Input!$B$21+Input!$B$24+Input!$B$27,0)</f>
        <v>0</v>
      </c>
      <c r="I78" s="5">
        <f>IF(D78=1,Input!$B$69,0)</f>
        <v>0</v>
      </c>
      <c r="J78" s="5">
        <f>IF(F78=1,FV(Input!$B$56,'Primary Details - Actual'!B78,,-Input!$B$12),0)</f>
        <v>0</v>
      </c>
      <c r="K78" s="5">
        <f>IF(E78=1,FV(Input!$B$56,'Primary Details - Actual'!B78,,-Input!$B$13),0)</f>
        <v>8524.8187953067336</v>
      </c>
      <c r="L78" s="5">
        <f>IF(D78=1,Input!$B$16+Input!$B$14+Input!$B$15,0)</f>
        <v>0</v>
      </c>
      <c r="M78" s="8"/>
      <c r="N78" s="8">
        <f t="shared" si="9"/>
        <v>8524.8187953067336</v>
      </c>
      <c r="O78" s="5">
        <f t="shared" si="10"/>
        <v>0</v>
      </c>
      <c r="P78" s="5">
        <f t="shared" si="11"/>
        <v>-17652.89772167636</v>
      </c>
      <c r="R78" s="7">
        <f>PV(Input!$B$56,'Primary Details - Hypothetical'!B78,0,'Primary Details - Hypothetical'!H78,1)</f>
        <v>0</v>
      </c>
      <c r="S78">
        <f t="shared" si="8"/>
        <v>0</v>
      </c>
    </row>
    <row r="79" spans="1:19" x14ac:dyDescent="0.25">
      <c r="A79" s="4">
        <f t="shared" si="12"/>
        <v>78</v>
      </c>
      <c r="B79" s="4">
        <f>IF(C79&gt;=Input!$B$5,C79-Input!$B$5,"")</f>
        <v>37</v>
      </c>
      <c r="C79" s="4">
        <f t="shared" si="13"/>
        <v>102</v>
      </c>
      <c r="D79" s="4">
        <f>IF(C79&lt;Input!$B$5,0,IF(AND(C79&gt;=Input!$B$5,C79&lt;Input!$B$5+Input!$B$6),1,2))</f>
        <v>2</v>
      </c>
      <c r="E79" s="4">
        <f>IF(C79&gt;=Input!$B$59,1,0)</f>
        <v>1</v>
      </c>
      <c r="F79" s="4">
        <f>IF(AND(C79&gt;=Input!$B$60,D79=1),1,0)</f>
        <v>0</v>
      </c>
      <c r="G79" s="5">
        <f>IF(OR(P78&lt;0,D79=2),0,P78*(1+Input!$B$56))</f>
        <v>0</v>
      </c>
      <c r="H79" s="5">
        <f>IF(D79=0,Input!$B$21+Input!$B$24+Input!$B$27,0)</f>
        <v>0</v>
      </c>
      <c r="I79" s="5">
        <f>IF(D79=1,Input!$B$69,0)</f>
        <v>0</v>
      </c>
      <c r="J79" s="5">
        <f>IF(F79=1,FV(Input!$B$56,'Primary Details - Actual'!B79,,-Input!$B$12),0)</f>
        <v>0</v>
      </c>
      <c r="K79" s="5">
        <f>IF(E79=1,FV(Input!$B$56,'Primary Details - Actual'!B79,,-Input!$B$13),0)</f>
        <v>8608.3954501626813</v>
      </c>
      <c r="L79" s="5">
        <f>IF(D79=1,Input!$B$16+Input!$B$14+Input!$B$15,0)</f>
        <v>0</v>
      </c>
      <c r="M79" s="8"/>
      <c r="N79" s="8">
        <f t="shared" si="9"/>
        <v>8608.3954501626813</v>
      </c>
      <c r="O79" s="5">
        <f t="shared" si="10"/>
        <v>0</v>
      </c>
      <c r="P79" s="5">
        <f t="shared" si="11"/>
        <v>-17652.89772167636</v>
      </c>
      <c r="R79" s="7">
        <f>PV(Input!$B$56,'Primary Details - Hypothetical'!B79,0,'Primary Details - Hypothetical'!H79,1)</f>
        <v>0</v>
      </c>
      <c r="S79">
        <f t="shared" si="8"/>
        <v>0</v>
      </c>
    </row>
    <row r="80" spans="1:19" x14ac:dyDescent="0.25">
      <c r="A80" s="4">
        <f t="shared" si="12"/>
        <v>79</v>
      </c>
      <c r="B80" s="4">
        <f>IF(C80&gt;=Input!$B$5,C80-Input!$B$5,"")</f>
        <v>38</v>
      </c>
      <c r="C80" s="4">
        <f t="shared" si="13"/>
        <v>103</v>
      </c>
      <c r="D80" s="4">
        <f>IF(C80&lt;Input!$B$5,0,IF(AND(C80&gt;=Input!$B$5,C80&lt;Input!$B$5+Input!$B$6),1,2))</f>
        <v>2</v>
      </c>
      <c r="E80" s="4">
        <f>IF(C80&gt;=Input!$B$59,1,0)</f>
        <v>1</v>
      </c>
      <c r="F80" s="4">
        <f>IF(AND(C80&gt;=Input!$B$60,D80=1),1,0)</f>
        <v>0</v>
      </c>
      <c r="G80" s="5">
        <f>IF(OR(P79&lt;0,D80=2),0,P79*(1+Input!$B$56))</f>
        <v>0</v>
      </c>
      <c r="H80" s="5">
        <f>IF(D80=0,Input!$B$21+Input!$B$24+Input!$B$27,0)</f>
        <v>0</v>
      </c>
      <c r="I80" s="5">
        <f>IF(D80=1,Input!$B$69,0)</f>
        <v>0</v>
      </c>
      <c r="J80" s="5">
        <f>IF(F80=1,FV(Input!$B$56,'Primary Details - Actual'!B80,,-Input!$B$12),0)</f>
        <v>0</v>
      </c>
      <c r="K80" s="5">
        <f>IF(E80=1,FV(Input!$B$56,'Primary Details - Actual'!B80,,-Input!$B$13),0)</f>
        <v>8692.7914839878049</v>
      </c>
      <c r="L80" s="5">
        <f>IF(D80=1,Input!$B$16+Input!$B$14+Input!$B$15,0)</f>
        <v>0</v>
      </c>
      <c r="M80" s="8"/>
      <c r="N80" s="8">
        <f t="shared" si="9"/>
        <v>8692.7914839878049</v>
      </c>
      <c r="O80" s="5">
        <f t="shared" si="10"/>
        <v>0</v>
      </c>
      <c r="P80" s="5">
        <f t="shared" si="11"/>
        <v>-17652.89772167636</v>
      </c>
      <c r="R80" s="7">
        <f>PV(Input!$B$56,'Primary Details - Hypothetical'!B80,0,'Primary Details - Hypothetical'!H80,1)</f>
        <v>0</v>
      </c>
      <c r="S80">
        <f t="shared" si="8"/>
        <v>0</v>
      </c>
    </row>
    <row r="81" spans="1:19" x14ac:dyDescent="0.25">
      <c r="A81" s="4">
        <f t="shared" si="12"/>
        <v>80</v>
      </c>
      <c r="B81" s="4">
        <f>IF(C81&gt;=Input!$B$5,C81-Input!$B$5,"")</f>
        <v>39</v>
      </c>
      <c r="C81" s="4">
        <f t="shared" si="13"/>
        <v>104</v>
      </c>
      <c r="D81" s="4">
        <f>IF(C81&lt;Input!$B$5,0,IF(AND(C81&gt;=Input!$B$5,C81&lt;Input!$B$5+Input!$B$6),1,2))</f>
        <v>2</v>
      </c>
      <c r="E81" s="4">
        <f>IF(C81&gt;=Input!$B$59,1,0)</f>
        <v>1</v>
      </c>
      <c r="F81" s="4">
        <f>IF(AND(C81&gt;=Input!$B$60,D81=1),1,0)</f>
        <v>0</v>
      </c>
      <c r="G81" s="5">
        <f>IF(OR(P80&lt;0,D81=2),0,P80*(1+Input!$B$56))</f>
        <v>0</v>
      </c>
      <c r="H81" s="5">
        <f>IF(D81=0,Input!$B$21+Input!$B$24+Input!$B$27,0)</f>
        <v>0</v>
      </c>
      <c r="I81" s="5">
        <f>IF(D81=1,Input!$B$69,0)</f>
        <v>0</v>
      </c>
      <c r="J81" s="5">
        <f>IF(F81=1,FV(Input!$B$56,'Primary Details - Actual'!B81,,-Input!$B$12),0)</f>
        <v>0</v>
      </c>
      <c r="K81" s="5">
        <f>IF(E81=1,FV(Input!$B$56,'Primary Details - Actual'!B81,,-Input!$B$13),0)</f>
        <v>8778.0149299092536</v>
      </c>
      <c r="L81" s="5">
        <f>IF(D81=1,Input!$B$16+Input!$B$14+Input!$B$15,0)</f>
        <v>0</v>
      </c>
      <c r="M81" s="8"/>
      <c r="N81" s="8">
        <f t="shared" si="9"/>
        <v>8778.0149299092536</v>
      </c>
      <c r="O81" s="5">
        <f t="shared" si="10"/>
        <v>0</v>
      </c>
      <c r="P81" s="5">
        <f t="shared" si="11"/>
        <v>-17652.89772167636</v>
      </c>
      <c r="R81" s="7">
        <f>PV(Input!$B$56,'Primary Details - Hypothetical'!B81,0,'Primary Details - Hypothetical'!H81,1)</f>
        <v>0</v>
      </c>
      <c r="S81">
        <f t="shared" si="8"/>
        <v>0</v>
      </c>
    </row>
    <row r="82" spans="1:19" x14ac:dyDescent="0.25">
      <c r="A82" s="4">
        <f t="shared" si="12"/>
        <v>81</v>
      </c>
      <c r="B82" s="4">
        <f>IF(C82&gt;=Input!$B$5,C82-Input!$B$5,"")</f>
        <v>40</v>
      </c>
      <c r="C82" s="4">
        <f t="shared" si="13"/>
        <v>105</v>
      </c>
      <c r="D82" s="4">
        <f>IF(C82&lt;Input!$B$5,0,IF(AND(C82&gt;=Input!$B$5,C82&lt;Input!$B$5+Input!$B$6),1,2))</f>
        <v>2</v>
      </c>
      <c r="E82" s="4">
        <f>IF(C82&gt;=Input!$B$59,1,0)</f>
        <v>1</v>
      </c>
      <c r="F82" s="4">
        <f>IF(AND(C82&gt;=Input!$B$60,D82=1),1,0)</f>
        <v>0</v>
      </c>
      <c r="G82" s="5">
        <f>IF(OR(P81&lt;0,D82=2),0,P81*(1+Input!$B$56))</f>
        <v>0</v>
      </c>
      <c r="H82" s="5">
        <f>IF(D82=0,Input!$B$21+Input!$B$24+Input!$B$27,0)</f>
        <v>0</v>
      </c>
      <c r="I82" s="5">
        <f>IF(D82=1,Input!$B$69,0)</f>
        <v>0</v>
      </c>
      <c r="J82" s="5">
        <f>IF(F82=1,FV(Input!$B$56,'Primary Details - Actual'!B82,,-Input!$B$12),0)</f>
        <v>0</v>
      </c>
      <c r="K82" s="5">
        <f>IF(E82=1,FV(Input!$B$56,'Primary Details - Actual'!B82,,-Input!$B$13),0)</f>
        <v>8864.0738998103243</v>
      </c>
      <c r="L82" s="5">
        <f>IF(D82=1,Input!$B$16+Input!$B$14+Input!$B$15,0)</f>
        <v>0</v>
      </c>
      <c r="M82" s="8"/>
      <c r="N82" s="8">
        <f t="shared" si="9"/>
        <v>8864.0738998103243</v>
      </c>
      <c r="O82" s="5">
        <f t="shared" si="10"/>
        <v>0</v>
      </c>
      <c r="P82" s="5">
        <f t="shared" si="11"/>
        <v>-17652.89772167636</v>
      </c>
      <c r="R82" s="7">
        <f>PV(Input!$B$56,'Primary Details - Hypothetical'!B82,0,'Primary Details - Hypothetical'!H82,1)</f>
        <v>0</v>
      </c>
      <c r="S82">
        <f t="shared" si="8"/>
        <v>0</v>
      </c>
    </row>
    <row r="83" spans="1:19" x14ac:dyDescent="0.25">
      <c r="A83" s="4">
        <f t="shared" si="12"/>
        <v>82</v>
      </c>
      <c r="B83" s="4">
        <f>IF(C83&gt;=Input!$B$5,C83-Input!$B$5,"")</f>
        <v>41</v>
      </c>
      <c r="C83" s="4">
        <f t="shared" si="13"/>
        <v>106</v>
      </c>
      <c r="D83" s="4">
        <f>IF(C83&lt;Input!$B$5,0,IF(AND(C83&gt;=Input!$B$5,C83&lt;Input!$B$5+Input!$B$6),1,2))</f>
        <v>2</v>
      </c>
      <c r="E83" s="4">
        <f>IF(C83&gt;=Input!$B$59,1,0)</f>
        <v>1</v>
      </c>
      <c r="F83" s="4">
        <f>IF(AND(C83&gt;=Input!$B$60,D83=1),1,0)</f>
        <v>0</v>
      </c>
      <c r="G83" s="5">
        <f>IF(OR(P82&lt;0,D83=2),0,P82*(1+Input!$B$56))</f>
        <v>0</v>
      </c>
      <c r="H83" s="5">
        <f>IF(D83=0,Input!$B$21+Input!$B$24+Input!$B$27,0)</f>
        <v>0</v>
      </c>
      <c r="I83" s="5">
        <f>IF(D83=1,Input!$B$69,0)</f>
        <v>0</v>
      </c>
      <c r="J83" s="5">
        <f>IF(F83=1,FV(Input!$B$56,'Primary Details - Actual'!B83,,-Input!$B$12),0)</f>
        <v>0</v>
      </c>
      <c r="K83" s="5">
        <f>IF(E83=1,FV(Input!$B$56,'Primary Details - Actual'!B83,,-Input!$B$13),0)</f>
        <v>8950.9765851025822</v>
      </c>
      <c r="L83" s="5">
        <f>IF(D83=1,Input!$B$16+Input!$B$14+Input!$B$15,0)</f>
        <v>0</v>
      </c>
      <c r="M83" s="8"/>
      <c r="N83" s="8">
        <f t="shared" si="9"/>
        <v>8950.9765851025822</v>
      </c>
      <c r="O83" s="5">
        <f t="shared" si="10"/>
        <v>0</v>
      </c>
      <c r="P83" s="5">
        <f t="shared" si="11"/>
        <v>-17652.89772167636</v>
      </c>
      <c r="R83" s="7">
        <f>PV(Input!$B$56,'Primary Details - Hypothetical'!B83,0,'Primary Details - Hypothetical'!H83,1)</f>
        <v>0</v>
      </c>
      <c r="S83">
        <f t="shared" si="8"/>
        <v>0</v>
      </c>
    </row>
    <row r="84" spans="1:19" x14ac:dyDescent="0.25">
      <c r="A84" s="4">
        <f t="shared" si="12"/>
        <v>83</v>
      </c>
      <c r="B84" s="4">
        <f>IF(C84&gt;=Input!$B$5,C84-Input!$B$5,"")</f>
        <v>42</v>
      </c>
      <c r="C84" s="4">
        <f t="shared" si="13"/>
        <v>107</v>
      </c>
      <c r="D84" s="4">
        <f>IF(C84&lt;Input!$B$5,0,IF(AND(C84&gt;=Input!$B$5,C84&lt;Input!$B$5+Input!$B$6),1,2))</f>
        <v>2</v>
      </c>
      <c r="E84" s="4">
        <f>IF(C84&gt;=Input!$B$59,1,0)</f>
        <v>1</v>
      </c>
      <c r="F84" s="4">
        <f>IF(AND(C84&gt;=Input!$B$60,D84=1),1,0)</f>
        <v>0</v>
      </c>
      <c r="G84" s="5">
        <f>IF(OR(P83&lt;0,D84=2),0,P83*(1+Input!$B$56))</f>
        <v>0</v>
      </c>
      <c r="H84" s="5">
        <f>IF(D84=0,Input!$B$21+Input!$B$24+Input!$B$27,0)</f>
        <v>0</v>
      </c>
      <c r="I84" s="5">
        <f>IF(D84=1,Input!$B$69,0)</f>
        <v>0</v>
      </c>
      <c r="J84" s="5">
        <f>IF(F84=1,FV(Input!$B$56,'Primary Details - Actual'!B84,,-Input!$B$12),0)</f>
        <v>0</v>
      </c>
      <c r="K84" s="5">
        <f>IF(E84=1,FV(Input!$B$56,'Primary Details - Actual'!B84,,-Input!$B$13),0)</f>
        <v>9038.7312575055475</v>
      </c>
      <c r="L84" s="5">
        <f>IF(D84=1,Input!$B$16+Input!$B$14+Input!$B$15,0)</f>
        <v>0</v>
      </c>
      <c r="M84" s="8"/>
      <c r="N84" s="8">
        <f t="shared" si="9"/>
        <v>9038.7312575055475</v>
      </c>
      <c r="O84" s="5">
        <f t="shared" si="10"/>
        <v>0</v>
      </c>
      <c r="P84" s="5">
        <f t="shared" si="11"/>
        <v>-17652.89772167636</v>
      </c>
      <c r="R84" s="7">
        <f>PV(Input!$B$56,'Primary Details - Hypothetical'!B84,0,'Primary Details - Hypothetical'!H84,1)</f>
        <v>0</v>
      </c>
      <c r="S84">
        <f t="shared" si="8"/>
        <v>0</v>
      </c>
    </row>
    <row r="85" spans="1:19" x14ac:dyDescent="0.25">
      <c r="A85" s="4">
        <f t="shared" si="12"/>
        <v>84</v>
      </c>
      <c r="B85" s="4">
        <f>IF(C85&gt;=Input!$B$5,C85-Input!$B$5,"")</f>
        <v>43</v>
      </c>
      <c r="C85" s="4">
        <f t="shared" si="13"/>
        <v>108</v>
      </c>
      <c r="D85" s="4">
        <f>IF(C85&lt;Input!$B$5,0,IF(AND(C85&gt;=Input!$B$5,C85&lt;Input!$B$5+Input!$B$6),1,2))</f>
        <v>2</v>
      </c>
      <c r="E85" s="4">
        <f>IF(C85&gt;=Input!$B$59,1,0)</f>
        <v>1</v>
      </c>
      <c r="F85" s="4">
        <f>IF(AND(C85&gt;=Input!$B$60,D85=1),1,0)</f>
        <v>0</v>
      </c>
      <c r="G85" s="5">
        <f>IF(OR(P84&lt;0,D85=2),0,P84*(1+Input!$B$56))</f>
        <v>0</v>
      </c>
      <c r="H85" s="5">
        <f>IF(D85=0,Input!$B$21+Input!$B$24+Input!$B$27,0)</f>
        <v>0</v>
      </c>
      <c r="I85" s="5">
        <f>IF(D85=1,Input!$B$69,0)</f>
        <v>0</v>
      </c>
      <c r="J85" s="5">
        <f>IF(F85=1,FV(Input!$B$56,'Primary Details - Actual'!B85,,-Input!$B$12),0)</f>
        <v>0</v>
      </c>
      <c r="K85" s="5">
        <f>IF(E85=1,FV(Input!$B$56,'Primary Details - Actual'!B85,,-Input!$B$13),0)</f>
        <v>9127.3462698340318</v>
      </c>
      <c r="L85" s="5">
        <f>IF(D85=1,Input!$B$16+Input!$B$14+Input!$B$15,0)</f>
        <v>0</v>
      </c>
      <c r="M85" s="8"/>
      <c r="N85" s="8">
        <f t="shared" si="9"/>
        <v>9127.3462698340318</v>
      </c>
      <c r="O85" s="5">
        <f t="shared" si="10"/>
        <v>0</v>
      </c>
      <c r="P85" s="5">
        <f t="shared" si="11"/>
        <v>-17652.89772167636</v>
      </c>
      <c r="R85" s="7">
        <f>PV(Input!$B$56,'Primary Details - Hypothetical'!B85,0,'Primary Details - Hypothetical'!H85,1)</f>
        <v>0</v>
      </c>
      <c r="S85">
        <f t="shared" si="8"/>
        <v>0</v>
      </c>
    </row>
    <row r="86" spans="1:19" x14ac:dyDescent="0.25">
      <c r="A86" s="4">
        <f t="shared" si="12"/>
        <v>85</v>
      </c>
      <c r="B86" s="4">
        <f>IF(C86&gt;=Input!$B$5,C86-Input!$B$5,"")</f>
        <v>44</v>
      </c>
      <c r="C86" s="4">
        <f t="shared" si="13"/>
        <v>109</v>
      </c>
      <c r="D86" s="4">
        <f>IF(C86&lt;Input!$B$5,0,IF(AND(C86&gt;=Input!$B$5,C86&lt;Input!$B$5+Input!$B$6),1,2))</f>
        <v>2</v>
      </c>
      <c r="E86" s="4">
        <f>IF(C86&gt;=Input!$B$59,1,0)</f>
        <v>1</v>
      </c>
      <c r="F86" s="4">
        <f>IF(AND(C86&gt;=Input!$B$60,D86=1),1,0)</f>
        <v>0</v>
      </c>
      <c r="G86" s="5">
        <f>IF(OR(P85&lt;0,D86=2),0,P85*(1+Input!$B$56))</f>
        <v>0</v>
      </c>
      <c r="H86" s="5">
        <f>IF(D86=0,Input!$B$21+Input!$B$24+Input!$B$27,0)</f>
        <v>0</v>
      </c>
      <c r="I86" s="5">
        <f>IF(D86=1,Input!$B$69,0)</f>
        <v>0</v>
      </c>
      <c r="J86" s="5">
        <f>IF(F86=1,FV(Input!$B$56,'Primary Details - Actual'!B86,,-Input!$B$12),0)</f>
        <v>0</v>
      </c>
      <c r="K86" s="5">
        <f>IF(E86=1,FV(Input!$B$56,'Primary Details - Actual'!B86,,-Input!$B$13),0)</f>
        <v>9216.8300567931874</v>
      </c>
      <c r="L86" s="5">
        <f>IF(D86=1,Input!$B$16+Input!$B$14+Input!$B$15,0)</f>
        <v>0</v>
      </c>
      <c r="M86" s="8"/>
      <c r="N86" s="8">
        <f t="shared" si="9"/>
        <v>9216.8300567931874</v>
      </c>
      <c r="O86" s="5">
        <f t="shared" si="10"/>
        <v>0</v>
      </c>
      <c r="P86" s="5">
        <f t="shared" si="11"/>
        <v>-17652.89772167636</v>
      </c>
      <c r="R86" s="7">
        <f>PV(Input!$B$56,'Primary Details - Hypothetical'!B86,0,'Primary Details - Hypothetical'!H86,1)</f>
        <v>0</v>
      </c>
      <c r="S86">
        <f t="shared" si="8"/>
        <v>0</v>
      </c>
    </row>
    <row r="87" spans="1:19" x14ac:dyDescent="0.25">
      <c r="A87" s="4">
        <f t="shared" si="12"/>
        <v>86</v>
      </c>
      <c r="B87" s="4">
        <f>IF(C87&gt;=Input!$B$5,C87-Input!$B$5,"")</f>
        <v>45</v>
      </c>
      <c r="C87" s="4">
        <f t="shared" si="13"/>
        <v>110</v>
      </c>
      <c r="D87" s="4">
        <f>IF(C87&lt;Input!$B$5,0,IF(AND(C87&gt;=Input!$B$5,C87&lt;Input!$B$5+Input!$B$6),1,2))</f>
        <v>2</v>
      </c>
      <c r="E87" s="4">
        <f>IF(C87&gt;=Input!$B$59,1,0)</f>
        <v>1</v>
      </c>
      <c r="F87" s="4">
        <f>IF(AND(C87&gt;=Input!$B$60,D87=1),1,0)</f>
        <v>0</v>
      </c>
      <c r="G87" s="5">
        <f>IF(OR(P86&lt;0,D87=2),0,P86*(1+Input!$B$56))</f>
        <v>0</v>
      </c>
      <c r="H87" s="5">
        <f>IF(D87=0,Input!$B$21+Input!$B$24+Input!$B$27,0)</f>
        <v>0</v>
      </c>
      <c r="I87" s="5">
        <f>IF(D87=1,Input!$B$69,0)</f>
        <v>0</v>
      </c>
      <c r="J87" s="5">
        <f>IF(F87=1,FV(Input!$B$56,'Primary Details - Actual'!B87,,-Input!$B$12),0)</f>
        <v>0</v>
      </c>
      <c r="K87" s="5">
        <f>IF(E87=1,FV(Input!$B$56,'Primary Details - Actual'!B87,,-Input!$B$13),0)</f>
        <v>9307.1911357813551</v>
      </c>
      <c r="L87" s="5">
        <f>IF(D87=1,Input!$B$16+Input!$B$14+Input!$B$15,0)</f>
        <v>0</v>
      </c>
      <c r="M87" s="8"/>
      <c r="N87" s="8">
        <f t="shared" si="9"/>
        <v>9307.1911357813551</v>
      </c>
      <c r="O87" s="5">
        <f t="shared" si="10"/>
        <v>0</v>
      </c>
      <c r="P87" s="5">
        <f t="shared" si="11"/>
        <v>-17652.89772167636</v>
      </c>
      <c r="R87" s="7">
        <f>PV(Input!$B$56,'Primary Details - Hypothetical'!B87,0,'Primary Details - Hypothetical'!H87,1)</f>
        <v>0</v>
      </c>
      <c r="S87">
        <f t="shared" si="8"/>
        <v>0</v>
      </c>
    </row>
    <row r="88" spans="1:19" x14ac:dyDescent="0.25">
      <c r="A88" s="4">
        <f t="shared" si="12"/>
        <v>87</v>
      </c>
      <c r="B88" s="4">
        <f>IF(C88&gt;=Input!$B$5,C88-Input!$B$5,"")</f>
        <v>46</v>
      </c>
      <c r="C88" s="4">
        <f t="shared" si="13"/>
        <v>111</v>
      </c>
      <c r="D88" s="4">
        <f>IF(C88&lt;Input!$B$5,0,IF(AND(C88&gt;=Input!$B$5,C88&lt;Input!$B$5+Input!$B$6),1,2))</f>
        <v>2</v>
      </c>
      <c r="E88" s="4">
        <f>IF(C88&gt;=Input!$B$59,1,0)</f>
        <v>1</v>
      </c>
      <c r="F88" s="4">
        <f>IF(AND(C88&gt;=Input!$B$60,D88=1),1,0)</f>
        <v>0</v>
      </c>
      <c r="G88" s="5">
        <f>IF(OR(P87&lt;0,D88=2),0,P87*(1+Input!$B$56))</f>
        <v>0</v>
      </c>
      <c r="H88" s="5">
        <f>IF(D88=0,Input!$B$21+Input!$B$24+Input!$B$27,0)</f>
        <v>0</v>
      </c>
      <c r="I88" s="5">
        <f>IF(D88=1,Input!$B$69,0)</f>
        <v>0</v>
      </c>
      <c r="J88" s="5">
        <f>IF(F88=1,FV(Input!$B$56,'Primary Details - Actual'!B88,,-Input!$B$12),0)</f>
        <v>0</v>
      </c>
      <c r="K88" s="5">
        <f>IF(E88=1,FV(Input!$B$56,'Primary Details - Actual'!B88,,-Input!$B$13),0)</f>
        <v>9398.4381077007783</v>
      </c>
      <c r="L88" s="5">
        <f>IF(D88=1,Input!$B$16+Input!$B$14+Input!$B$15,0)</f>
        <v>0</v>
      </c>
      <c r="M88" s="8"/>
      <c r="N88" s="8">
        <f t="shared" si="9"/>
        <v>9398.4381077007783</v>
      </c>
      <c r="O88" s="5">
        <f t="shared" si="10"/>
        <v>0</v>
      </c>
      <c r="P88" s="5">
        <f t="shared" si="11"/>
        <v>-17652.89772167636</v>
      </c>
      <c r="R88" s="7">
        <f>PV(Input!$B$56,'Primary Details - Hypothetical'!B88,0,'Primary Details - Hypothetical'!H88,1)</f>
        <v>0</v>
      </c>
      <c r="S88">
        <f t="shared" si="8"/>
        <v>0</v>
      </c>
    </row>
    <row r="89" spans="1:19" x14ac:dyDescent="0.25">
      <c r="A89" s="4">
        <f t="shared" si="12"/>
        <v>88</v>
      </c>
      <c r="B89" s="4">
        <f>IF(C89&gt;=Input!$B$5,C89-Input!$B$5,"")</f>
        <v>47</v>
      </c>
      <c r="C89" s="4">
        <f t="shared" si="13"/>
        <v>112</v>
      </c>
      <c r="D89" s="4">
        <f>IF(C89&lt;Input!$B$5,0,IF(AND(C89&gt;=Input!$B$5,C89&lt;Input!$B$5+Input!$B$6),1,2))</f>
        <v>2</v>
      </c>
      <c r="E89" s="4">
        <f>IF(C89&gt;=Input!$B$59,1,0)</f>
        <v>1</v>
      </c>
      <c r="F89" s="4">
        <f>IF(AND(C89&gt;=Input!$B$60,D89=1),1,0)</f>
        <v>0</v>
      </c>
      <c r="G89" s="5">
        <f>IF(OR(P88&lt;0,D89=2),0,P88*(1+Input!$B$56))</f>
        <v>0</v>
      </c>
      <c r="H89" s="5">
        <f>IF(D89=0,Input!$B$21+Input!$B$24+Input!$B$27,0)</f>
        <v>0</v>
      </c>
      <c r="I89" s="5">
        <f>IF(D89=1,Input!$B$69,0)</f>
        <v>0</v>
      </c>
      <c r="J89" s="5">
        <f>IF(F89=1,FV(Input!$B$56,'Primary Details - Actual'!B89,,-Input!$B$12),0)</f>
        <v>0</v>
      </c>
      <c r="K89" s="5">
        <f>IF(E89=1,FV(Input!$B$56,'Primary Details - Actual'!B89,,-Input!$B$13),0)</f>
        <v>9490.5796577762776</v>
      </c>
      <c r="L89" s="5">
        <f>IF(D89=1,Input!$B$16+Input!$B$14+Input!$B$15,0)</f>
        <v>0</v>
      </c>
      <c r="M89" s="8"/>
      <c r="N89" s="8">
        <f t="shared" si="9"/>
        <v>9490.5796577762776</v>
      </c>
      <c r="O89" s="5">
        <f t="shared" si="10"/>
        <v>0</v>
      </c>
      <c r="P89" s="5">
        <f t="shared" si="11"/>
        <v>-17652.89772167636</v>
      </c>
      <c r="R89" s="7">
        <f>PV(Input!$B$56,'Primary Details - Hypothetical'!B89,0,'Primary Details - Hypothetical'!H89,1)</f>
        <v>0</v>
      </c>
      <c r="S89">
        <f t="shared" si="8"/>
        <v>0</v>
      </c>
    </row>
    <row r="90" spans="1:19" x14ac:dyDescent="0.25">
      <c r="A90" s="4">
        <f t="shared" si="12"/>
        <v>89</v>
      </c>
      <c r="B90" s="4">
        <f>IF(C90&gt;=Input!$B$5,C90-Input!$B$5,"")</f>
        <v>48</v>
      </c>
      <c r="C90" s="4">
        <f t="shared" si="13"/>
        <v>113</v>
      </c>
      <c r="D90" s="4">
        <f>IF(C90&lt;Input!$B$5,0,IF(AND(C90&gt;=Input!$B$5,C90&lt;Input!$B$5+Input!$B$6),1,2))</f>
        <v>2</v>
      </c>
      <c r="E90" s="4">
        <f>IF(C90&gt;=Input!$B$59,1,0)</f>
        <v>1</v>
      </c>
      <c r="F90" s="4">
        <f>IF(AND(C90&gt;=Input!$B$60,D90=1),1,0)</f>
        <v>0</v>
      </c>
      <c r="G90" s="5">
        <f>IF(OR(P89&lt;0,D90=2),0,P89*(1+Input!$B$56))</f>
        <v>0</v>
      </c>
      <c r="H90" s="5">
        <f>IF(D90=0,Input!$B$21+Input!$B$24+Input!$B$27,0)</f>
        <v>0</v>
      </c>
      <c r="I90" s="5">
        <f>IF(D90=1,Input!$B$69,0)</f>
        <v>0</v>
      </c>
      <c r="J90" s="5">
        <f>IF(F90=1,FV(Input!$B$56,'Primary Details - Actual'!B90,,-Input!$B$12),0)</f>
        <v>0</v>
      </c>
      <c r="K90" s="5">
        <f>IF(E90=1,FV(Input!$B$56,'Primary Details - Actual'!B90,,-Input!$B$13),0)</f>
        <v>9583.6245563819266</v>
      </c>
      <c r="L90" s="5">
        <f>IF(D90=1,Input!$B$16+Input!$B$14+Input!$B$15,0)</f>
        <v>0</v>
      </c>
      <c r="M90" s="8"/>
      <c r="N90" s="8">
        <f t="shared" si="9"/>
        <v>9583.6245563819266</v>
      </c>
      <c r="O90" s="5">
        <f t="shared" si="10"/>
        <v>0</v>
      </c>
      <c r="P90" s="5">
        <f t="shared" si="11"/>
        <v>-17652.89772167636</v>
      </c>
      <c r="R90" s="7">
        <f>PV(Input!$B$56,'Primary Details - Hypothetical'!B90,0,'Primary Details - Hypothetical'!H90,1)</f>
        <v>0</v>
      </c>
      <c r="S90">
        <f t="shared" si="8"/>
        <v>0</v>
      </c>
    </row>
    <row r="91" spans="1:19" x14ac:dyDescent="0.25">
      <c r="A91" s="4">
        <f t="shared" si="12"/>
        <v>90</v>
      </c>
      <c r="B91" s="4">
        <f>IF(C91&gt;=Input!$B$5,C91-Input!$B$5,"")</f>
        <v>49</v>
      </c>
      <c r="C91" s="4">
        <f t="shared" si="13"/>
        <v>114</v>
      </c>
      <c r="D91" s="4">
        <f>IF(C91&lt;Input!$B$5,0,IF(AND(C91&gt;=Input!$B$5,C91&lt;Input!$B$5+Input!$B$6),1,2))</f>
        <v>2</v>
      </c>
      <c r="E91" s="4">
        <f>IF(C91&gt;=Input!$B$59,1,0)</f>
        <v>1</v>
      </c>
      <c r="F91" s="4">
        <f>IF(AND(C91&gt;=Input!$B$60,D91=1),1,0)</f>
        <v>0</v>
      </c>
      <c r="G91" s="5">
        <f>IF(OR(P90&lt;0,D91=2),0,P90*(1+Input!$B$56))</f>
        <v>0</v>
      </c>
      <c r="H91" s="5">
        <f>IF(D91=0,Input!$B$21+Input!$B$24+Input!$B$27,0)</f>
        <v>0</v>
      </c>
      <c r="I91" s="5">
        <f>IF(D91=1,Input!$B$69,0)</f>
        <v>0</v>
      </c>
      <c r="J91" s="5">
        <f>IF(F91=1,FV(Input!$B$56,'Primary Details - Actual'!B91,,-Input!$B$12),0)</f>
        <v>0</v>
      </c>
      <c r="K91" s="5">
        <f>IF(E91=1,FV(Input!$B$56,'Primary Details - Actual'!B91,,-Input!$B$13),0)</f>
        <v>9677.5816598758665</v>
      </c>
      <c r="L91" s="5">
        <f>IF(D91=1,Input!$B$16+Input!$B$14+Input!$B$15,0)</f>
        <v>0</v>
      </c>
      <c r="M91" s="8"/>
      <c r="N91" s="8">
        <f t="shared" si="9"/>
        <v>9677.5816598758665</v>
      </c>
      <c r="O91" s="5">
        <f t="shared" si="10"/>
        <v>0</v>
      </c>
      <c r="P91" s="5">
        <f t="shared" si="11"/>
        <v>-17652.89772167636</v>
      </c>
      <c r="R91" s="7">
        <f>PV(Input!$B$56,'Primary Details - Hypothetical'!B91,0,'Primary Details - Hypothetical'!H91,1)</f>
        <v>0</v>
      </c>
      <c r="S91">
        <f t="shared" si="8"/>
        <v>0</v>
      </c>
    </row>
    <row r="92" spans="1:19" x14ac:dyDescent="0.25">
      <c r="A92" s="4">
        <f t="shared" si="12"/>
        <v>91</v>
      </c>
      <c r="B92" s="4">
        <f>IF(C92&gt;=Input!$B$5,C92-Input!$B$5,"")</f>
        <v>50</v>
      </c>
      <c r="C92" s="4">
        <f t="shared" si="13"/>
        <v>115</v>
      </c>
      <c r="D92" s="4">
        <f>IF(C92&lt;Input!$B$5,0,IF(AND(C92&gt;=Input!$B$5,C92&lt;Input!$B$5+Input!$B$6),1,2))</f>
        <v>2</v>
      </c>
      <c r="E92" s="4">
        <f>IF(C92&gt;=Input!$B$59,1,0)</f>
        <v>1</v>
      </c>
      <c r="F92" s="4">
        <f>IF(AND(C92&gt;=Input!$B$60,D92=1),1,0)</f>
        <v>0</v>
      </c>
      <c r="G92" s="5">
        <f>IF(OR(P91&lt;0,D92=2),0,P91*(1+Input!$B$56))</f>
        <v>0</v>
      </c>
      <c r="H92" s="5">
        <f>IF(D92=0,Input!$B$21+Input!$B$24+Input!$B$27,0)</f>
        <v>0</v>
      </c>
      <c r="I92" s="5">
        <f>IF(D92=1,Input!$B$69,0)</f>
        <v>0</v>
      </c>
      <c r="J92" s="5">
        <f>IF(F92=1,FV(Input!$B$56,'Primary Details - Actual'!B92,,-Input!$B$12),0)</f>
        <v>0</v>
      </c>
      <c r="K92" s="5">
        <f>IF(E92=1,FV(Input!$B$56,'Primary Details - Actual'!B92,,-Input!$B$13),0)</f>
        <v>9772.4599114432767</v>
      </c>
      <c r="L92" s="5">
        <f>IF(D92=1,Input!$B$16+Input!$B$14+Input!$B$15,0)</f>
        <v>0</v>
      </c>
      <c r="M92" s="8"/>
      <c r="N92" s="8">
        <f t="shared" si="9"/>
        <v>9772.4599114432767</v>
      </c>
      <c r="O92" s="5">
        <f t="shared" si="10"/>
        <v>0</v>
      </c>
      <c r="P92" s="5">
        <f t="shared" si="11"/>
        <v>-17652.89772167636</v>
      </c>
      <c r="R92" s="7">
        <f>PV(Input!$B$56,'Primary Details - Hypothetical'!B92,0,'Primary Details - Hypothetical'!H92,1)</f>
        <v>0</v>
      </c>
      <c r="S92">
        <f t="shared" si="8"/>
        <v>0</v>
      </c>
    </row>
    <row r="93" spans="1:19" x14ac:dyDescent="0.25">
      <c r="A93" s="4">
        <f t="shared" si="12"/>
        <v>92</v>
      </c>
      <c r="B93" s="4">
        <f>IF(C93&gt;=Input!$B$5,C93-Input!$B$5,"")</f>
        <v>51</v>
      </c>
      <c r="C93" s="4">
        <f t="shared" si="13"/>
        <v>116</v>
      </c>
      <c r="D93" s="4">
        <f>IF(C93&lt;Input!$B$5,0,IF(AND(C93&gt;=Input!$B$5,C93&lt;Input!$B$5+Input!$B$6),1,2))</f>
        <v>2</v>
      </c>
      <c r="E93" s="4">
        <f>IF(C93&gt;=Input!$B$59,1,0)</f>
        <v>1</v>
      </c>
      <c r="F93" s="4">
        <f>IF(AND(C93&gt;=Input!$B$60,D93=1),1,0)</f>
        <v>0</v>
      </c>
      <c r="G93" s="5">
        <f>IF(OR(P92&lt;0,D93=2),0,P92*(1+Input!$B$56))</f>
        <v>0</v>
      </c>
      <c r="H93" s="5">
        <f>IF(D93=0,Input!$B$21+Input!$B$24+Input!$B$27,0)</f>
        <v>0</v>
      </c>
      <c r="I93" s="5">
        <f>IF(D93=1,Input!$B$69,0)</f>
        <v>0</v>
      </c>
      <c r="J93" s="5">
        <f>IF(F93=1,FV(Input!$B$56,'Primary Details - Actual'!B93,,-Input!$B$12),0)</f>
        <v>0</v>
      </c>
      <c r="K93" s="5">
        <f>IF(E93=1,FV(Input!$B$56,'Primary Details - Actual'!B93,,-Input!$B$13),0)</f>
        <v>9868.2683419476198</v>
      </c>
      <c r="L93" s="5">
        <f>IF(D93=1,Input!$B$16+Input!$B$14+Input!$B$15,0)</f>
        <v>0</v>
      </c>
      <c r="M93" s="8"/>
      <c r="N93" s="8">
        <f t="shared" si="9"/>
        <v>9868.2683419476198</v>
      </c>
      <c r="O93" s="5">
        <f t="shared" si="10"/>
        <v>0</v>
      </c>
      <c r="P93" s="5">
        <f t="shared" si="11"/>
        <v>-17652.89772167636</v>
      </c>
      <c r="R93" s="7">
        <f>PV(Input!$B$56,'Primary Details - Hypothetical'!B93,0,'Primary Details - Hypothetical'!H93,1)</f>
        <v>0</v>
      </c>
      <c r="S93">
        <f t="shared" si="8"/>
        <v>0</v>
      </c>
    </row>
    <row r="94" spans="1:19" x14ac:dyDescent="0.25">
      <c r="A94" s="4">
        <f t="shared" si="12"/>
        <v>93</v>
      </c>
      <c r="B94" s="4">
        <f>IF(C94&gt;=Input!$B$5,C94-Input!$B$5,"")</f>
        <v>52</v>
      </c>
      <c r="C94" s="4">
        <f t="shared" si="13"/>
        <v>117</v>
      </c>
      <c r="D94" s="4">
        <f>IF(C94&lt;Input!$B$5,0,IF(AND(C94&gt;=Input!$B$5,C94&lt;Input!$B$5+Input!$B$6),1,2))</f>
        <v>2</v>
      </c>
      <c r="E94" s="4">
        <f>IF(C94&gt;=Input!$B$59,1,0)</f>
        <v>1</v>
      </c>
      <c r="F94" s="4">
        <f>IF(AND(C94&gt;=Input!$B$60,D94=1),1,0)</f>
        <v>0</v>
      </c>
      <c r="G94" s="5">
        <f>IF(OR(P93&lt;0,D94=2),0,P93*(1+Input!$B$56))</f>
        <v>0</v>
      </c>
      <c r="H94" s="5">
        <f>IF(D94=0,Input!$B$21+Input!$B$24+Input!$B$27,0)</f>
        <v>0</v>
      </c>
      <c r="I94" s="5">
        <f>IF(D94=1,Input!$B$69,0)</f>
        <v>0</v>
      </c>
      <c r="J94" s="5">
        <f>IF(F94=1,FV(Input!$B$56,'Primary Details - Actual'!B94,,-Input!$B$12),0)</f>
        <v>0</v>
      </c>
      <c r="K94" s="5">
        <f>IF(E94=1,FV(Input!$B$56,'Primary Details - Actual'!B94,,-Input!$B$13),0)</f>
        <v>9965.0160707902432</v>
      </c>
      <c r="L94" s="5">
        <f>IF(D94=1,Input!$B$16+Input!$B$14+Input!$B$15,0)</f>
        <v>0</v>
      </c>
      <c r="M94" s="8"/>
      <c r="N94" s="8">
        <f t="shared" si="9"/>
        <v>9965.0160707902432</v>
      </c>
      <c r="O94" s="5">
        <f t="shared" si="10"/>
        <v>0</v>
      </c>
      <c r="P94" s="5">
        <f t="shared" si="11"/>
        <v>-17652.89772167636</v>
      </c>
      <c r="R94" s="7">
        <f>PV(Input!$B$56,'Primary Details - Hypothetical'!B94,0,'Primary Details - Hypothetical'!H94,1)</f>
        <v>0</v>
      </c>
      <c r="S94">
        <f t="shared" si="8"/>
        <v>0</v>
      </c>
    </row>
    <row r="95" spans="1:19" x14ac:dyDescent="0.25">
      <c r="A95" s="4">
        <f t="shared" si="12"/>
        <v>94</v>
      </c>
      <c r="B95" s="4">
        <f>IF(C95&gt;=Input!$B$5,C95-Input!$B$5,"")</f>
        <v>53</v>
      </c>
      <c r="C95" s="4">
        <f t="shared" si="13"/>
        <v>118</v>
      </c>
      <c r="D95" s="4">
        <f>IF(C95&lt;Input!$B$5,0,IF(AND(C95&gt;=Input!$B$5,C95&lt;Input!$B$5+Input!$B$6),1,2))</f>
        <v>2</v>
      </c>
      <c r="E95" s="4">
        <f>IF(C95&gt;=Input!$B$59,1,0)</f>
        <v>1</v>
      </c>
      <c r="F95" s="4">
        <f>IF(AND(C95&gt;=Input!$B$60,D95=1),1,0)</f>
        <v>0</v>
      </c>
      <c r="G95" s="5">
        <f>IF(OR(P94&lt;0,D95=2),0,P94*(1+Input!$B$56))</f>
        <v>0</v>
      </c>
      <c r="H95" s="5">
        <f>IF(D95=0,Input!$B$21+Input!$B$24+Input!$B$27,0)</f>
        <v>0</v>
      </c>
      <c r="I95" s="5">
        <f>IF(D95=1,Input!$B$69,0)</f>
        <v>0</v>
      </c>
      <c r="J95" s="5">
        <f>IF(F95=1,FV(Input!$B$56,'Primary Details - Actual'!B95,,-Input!$B$12),0)</f>
        <v>0</v>
      </c>
      <c r="K95" s="5">
        <f>IF(E95=1,FV(Input!$B$56,'Primary Details - Actual'!B95,,-Input!$B$13),0)</f>
        <v>10062.712306778381</v>
      </c>
      <c r="L95" s="5">
        <f>IF(D95=1,Input!$B$16+Input!$B$14+Input!$B$15,0)</f>
        <v>0</v>
      </c>
      <c r="M95" s="8"/>
      <c r="N95" s="8">
        <f t="shared" si="9"/>
        <v>10062.712306778381</v>
      </c>
      <c r="O95" s="5">
        <f t="shared" si="10"/>
        <v>0</v>
      </c>
      <c r="P95" s="5">
        <f t="shared" si="11"/>
        <v>-17652.89772167636</v>
      </c>
      <c r="R95" s="7">
        <f>PV(Input!$B$56,'Primary Details - Hypothetical'!B95,0,'Primary Details - Hypothetical'!H95,1)</f>
        <v>0</v>
      </c>
      <c r="S95">
        <f t="shared" si="8"/>
        <v>0</v>
      </c>
    </row>
    <row r="96" spans="1:19" x14ac:dyDescent="0.25">
      <c r="A96" s="4">
        <f t="shared" si="12"/>
        <v>95</v>
      </c>
      <c r="B96" s="4">
        <f>IF(C96&gt;=Input!$B$5,C96-Input!$B$5,"")</f>
        <v>54</v>
      </c>
      <c r="C96" s="4">
        <f>C95+1</f>
        <v>119</v>
      </c>
      <c r="D96" s="4">
        <f>IF(C96&lt;Input!$B$5,0,IF(AND(C96&gt;=Input!$B$5,C96&lt;Input!$B$5+Input!$B$6),1,2))</f>
        <v>2</v>
      </c>
      <c r="E96" s="4">
        <f>IF(C96&gt;=Input!$B$59,1,0)</f>
        <v>1</v>
      </c>
      <c r="F96" s="4">
        <f>IF(AND(C96&gt;=Input!$B$60,D96=1),1,0)</f>
        <v>0</v>
      </c>
      <c r="G96" s="5">
        <f>IF(OR(P95&lt;0,D96=2),0,P95*(1+Input!$B$56))</f>
        <v>0</v>
      </c>
      <c r="H96" s="5">
        <f>IF(D96=0,Input!$B$21+Input!$B$24+Input!$B$27,0)</f>
        <v>0</v>
      </c>
      <c r="I96" s="5">
        <f>IF(D96=1,Input!$B$69,0)</f>
        <v>0</v>
      </c>
      <c r="J96" s="5">
        <f>IF(F96=1,FV(Input!$B$56,'Primary Details - Actual'!B96,,-Input!$B$12),0)</f>
        <v>0</v>
      </c>
      <c r="K96" s="5">
        <f>IF(E96=1,FV(Input!$B$56,'Primary Details - Actual'!B96,,-Input!$B$13),0)</f>
        <v>10161.366349001699</v>
      </c>
      <c r="L96" s="5">
        <f>IF(D96=1,Input!$B$16+Input!$B$14+Input!$B$15,0)</f>
        <v>0</v>
      </c>
      <c r="M96" s="8"/>
      <c r="N96" s="8">
        <f t="shared" si="9"/>
        <v>10161.366349001699</v>
      </c>
      <c r="O96" s="5">
        <f t="shared" si="10"/>
        <v>0</v>
      </c>
      <c r="P96" s="5">
        <f t="shared" si="11"/>
        <v>-17652.89772167636</v>
      </c>
      <c r="R96" s="7">
        <f>PV(Input!$B$56,'Primary Details - Hypothetical'!B96,0,'Primary Details - Hypothetical'!H96,1)</f>
        <v>0</v>
      </c>
      <c r="S96">
        <f t="shared" si="8"/>
        <v>0</v>
      </c>
    </row>
    <row r="97" spans="1:19" x14ac:dyDescent="0.25">
      <c r="A97" s="4">
        <f t="shared" si="12"/>
        <v>96</v>
      </c>
      <c r="B97" s="4">
        <f>IF(C97&gt;=Input!$B$5,C97-Input!$B$5,"")</f>
        <v>55</v>
      </c>
      <c r="C97" s="4">
        <f t="shared" si="13"/>
        <v>120</v>
      </c>
      <c r="D97" s="4">
        <f>IF(C97&lt;Input!$B$5,0,IF(AND(C97&gt;=Input!$B$5,C97&lt;Input!$B$5+Input!$B$6),1,2))</f>
        <v>2</v>
      </c>
      <c r="E97" s="4">
        <f>IF(C97&gt;=Input!$B$59,1,0)</f>
        <v>1</v>
      </c>
      <c r="F97" s="4">
        <f>IF(AND(C97&gt;=Input!$B$60,D97=1),1,0)</f>
        <v>0</v>
      </c>
      <c r="G97" s="5">
        <f>IF(OR(P96&lt;0,D97=2),0,P96*(1+Input!$B$56))</f>
        <v>0</v>
      </c>
      <c r="H97" s="5">
        <f>IF(D97=0,Input!$B$21+Input!$B$24+Input!$B$27,0)</f>
        <v>0</v>
      </c>
      <c r="I97" s="5">
        <f>IF(D97=1,Input!$B$69,0)</f>
        <v>0</v>
      </c>
      <c r="J97" s="5">
        <f>IF(F97=1,FV(Input!$B$56,'Primary Details - Actual'!B97,,-Input!$B$12),0)</f>
        <v>0</v>
      </c>
      <c r="K97" s="5">
        <f>IF(E97=1,FV(Input!$B$56,'Primary Details - Actual'!B97,,-Input!$B$13),0)</f>
        <v>10260.9875877174</v>
      </c>
      <c r="L97" s="5">
        <f>IF(D97=1,Input!$B$16+Input!$B$14+Input!$B$15,0)</f>
        <v>0</v>
      </c>
      <c r="M97" s="8"/>
      <c r="N97" s="8">
        <f t="shared" si="9"/>
        <v>10260.9875877174</v>
      </c>
      <c r="O97" s="5">
        <f t="shared" si="10"/>
        <v>0</v>
      </c>
      <c r="P97" s="5">
        <f t="shared" si="11"/>
        <v>-17652.89772167636</v>
      </c>
      <c r="R97" s="7">
        <f>PV(Input!$B$56,'Primary Details - Hypothetical'!B97,0,'Primary Details - Hypothetical'!H97,1)</f>
        <v>0</v>
      </c>
      <c r="S97">
        <f t="shared" si="8"/>
        <v>0</v>
      </c>
    </row>
    <row r="98" spans="1:19" x14ac:dyDescent="0.25">
      <c r="A98" s="4">
        <f t="shared" si="12"/>
        <v>97</v>
      </c>
      <c r="B98" s="4">
        <f>IF(C98&gt;=Input!$B$5,C98-Input!$B$5,"")</f>
        <v>56</v>
      </c>
      <c r="C98" s="4">
        <f t="shared" si="13"/>
        <v>121</v>
      </c>
      <c r="D98" s="4">
        <f>IF(C98&lt;Input!$B$5,0,IF(AND(C98&gt;=Input!$B$5,C98&lt;Input!$B$5+Input!$B$6),1,2))</f>
        <v>2</v>
      </c>
      <c r="E98" s="4">
        <f>IF(C98&gt;=Input!$B$59,1,0)</f>
        <v>1</v>
      </c>
      <c r="F98" s="4">
        <f>IF(AND(C98&gt;=Input!$B$60,D98=1),1,0)</f>
        <v>0</v>
      </c>
      <c r="G98" s="5">
        <f>IF(OR(P97&lt;0,D98=2),0,P97*(1+Input!$B$56))</f>
        <v>0</v>
      </c>
      <c r="H98" s="5">
        <f>IF(D98=0,Input!$B$21+Input!$B$24+Input!$B$27,0)</f>
        <v>0</v>
      </c>
      <c r="I98" s="5">
        <f>IF(D98=1,Input!$B$69,0)</f>
        <v>0</v>
      </c>
      <c r="J98" s="5">
        <f>IF(F98=1,FV(Input!$B$56,'Primary Details - Actual'!B98,,-Input!$B$12),0)</f>
        <v>0</v>
      </c>
      <c r="K98" s="5">
        <f>IF(E98=1,FV(Input!$B$56,'Primary Details - Actual'!B98,,-Input!$B$13),0)</f>
        <v>10361.585505244042</v>
      </c>
      <c r="L98" s="5">
        <f>IF(D98=1,Input!$B$16+Input!$B$14+Input!$B$15,0)</f>
        <v>0</v>
      </c>
      <c r="M98" s="8"/>
      <c r="N98" s="8">
        <f t="shared" si="9"/>
        <v>10361.585505244042</v>
      </c>
      <c r="O98" s="5">
        <f t="shared" si="10"/>
        <v>0</v>
      </c>
      <c r="P98" s="5">
        <f t="shared" si="11"/>
        <v>-17652.89772167636</v>
      </c>
      <c r="R98" s="7">
        <f>PV(Input!$B$56,'Primary Details - Hypothetical'!B98,0,'Primary Details - Hypothetical'!H98,1)</f>
        <v>0</v>
      </c>
      <c r="S98">
        <f t="shared" ref="S98:S102" si="14">IFERROR(R98,0)</f>
        <v>0</v>
      </c>
    </row>
    <row r="99" spans="1:19" x14ac:dyDescent="0.25">
      <c r="A99" s="4">
        <f t="shared" si="12"/>
        <v>98</v>
      </c>
      <c r="B99" s="4">
        <f>IF(C99&gt;=Input!$B$5,C99-Input!$B$5,"")</f>
        <v>57</v>
      </c>
      <c r="C99" s="4">
        <f t="shared" si="13"/>
        <v>122</v>
      </c>
      <c r="D99" s="4">
        <f>IF(C99&lt;Input!$B$5,0,IF(AND(C99&gt;=Input!$B$5,C99&lt;Input!$B$5+Input!$B$6),1,2))</f>
        <v>2</v>
      </c>
      <c r="E99" s="4">
        <f>IF(C99&gt;=Input!$B$59,1,0)</f>
        <v>1</v>
      </c>
      <c r="F99" s="4">
        <f>IF(AND(C99&gt;=Input!$B$60,D99=1),1,0)</f>
        <v>0</v>
      </c>
      <c r="G99" s="5">
        <f>IF(OR(P98&lt;0,D99=2),0,P98*(1+Input!$B$56))</f>
        <v>0</v>
      </c>
      <c r="H99" s="5">
        <f>IF(D99=0,Input!$B$21+Input!$B$24+Input!$B$27,0)</f>
        <v>0</v>
      </c>
      <c r="I99" s="5">
        <f>IF(D99=1,Input!$B$69,0)</f>
        <v>0</v>
      </c>
      <c r="J99" s="5">
        <f>IF(F99=1,FV(Input!$B$56,'Primary Details - Actual'!B99,,-Input!$B$12),0)</f>
        <v>0</v>
      </c>
      <c r="K99" s="5">
        <f>IF(E99=1,FV(Input!$B$56,'Primary Details - Actual'!B99,,-Input!$B$13),0)</f>
        <v>10463.169676864081</v>
      </c>
      <c r="L99" s="5">
        <f>IF(D99=1,Input!$B$16+Input!$B$14+Input!$B$15,0)</f>
        <v>0</v>
      </c>
      <c r="M99" s="8"/>
      <c r="N99" s="8">
        <f t="shared" si="9"/>
        <v>10463.169676864081</v>
      </c>
      <c r="O99" s="5">
        <f t="shared" si="10"/>
        <v>0</v>
      </c>
      <c r="P99" s="5">
        <f t="shared" ref="P99:P102" si="15">IF(D99=2,P98,G99+H99-O99)</f>
        <v>-17652.89772167636</v>
      </c>
      <c r="R99" s="7">
        <f>PV(Input!$B$56,'Primary Details - Hypothetical'!B99,0,'Primary Details - Hypothetical'!H99,1)</f>
        <v>0</v>
      </c>
      <c r="S99">
        <f t="shared" si="14"/>
        <v>0</v>
      </c>
    </row>
    <row r="100" spans="1:19" x14ac:dyDescent="0.25">
      <c r="A100" s="4">
        <f t="shared" si="12"/>
        <v>99</v>
      </c>
      <c r="B100" s="4">
        <f>IF(C100&gt;=Input!$B$5,C100-Input!$B$5,"")</f>
        <v>58</v>
      </c>
      <c r="C100" s="4">
        <f t="shared" si="13"/>
        <v>123</v>
      </c>
      <c r="D100" s="4">
        <f>IF(C100&lt;Input!$B$5,0,IF(AND(C100&gt;=Input!$B$5,C100&lt;Input!$B$5+Input!$B$6),1,2))</f>
        <v>2</v>
      </c>
      <c r="E100" s="4">
        <f>IF(C100&gt;=Input!$B$59,1,0)</f>
        <v>1</v>
      </c>
      <c r="F100" s="4">
        <f>IF(AND(C100&gt;=Input!$B$60,D100=1),1,0)</f>
        <v>0</v>
      </c>
      <c r="G100" s="5">
        <f>IF(OR(P99&lt;0,D100=2),0,P99*(1+Input!$B$56))</f>
        <v>0</v>
      </c>
      <c r="H100" s="5">
        <f>IF(D100=0,Input!$B$21+Input!$B$24+Input!$B$27,0)</f>
        <v>0</v>
      </c>
      <c r="I100" s="5">
        <f>IF(D100=1,Input!$B$69,0)</f>
        <v>0</v>
      </c>
      <c r="J100" s="5">
        <f>IF(F100=1,FV(Input!$B$56,'Primary Details - Actual'!B100,,-Input!$B$12),0)</f>
        <v>0</v>
      </c>
      <c r="K100" s="5">
        <f>IF(E100=1,FV(Input!$B$56,'Primary Details - Actual'!B100,,-Input!$B$13),0)</f>
        <v>10565.749771735296</v>
      </c>
      <c r="L100" s="5">
        <f>IF(D100=1,Input!$B$16+Input!$B$14+Input!$B$15,0)</f>
        <v>0</v>
      </c>
      <c r="M100" s="8"/>
      <c r="N100" s="8">
        <f t="shared" si="9"/>
        <v>10565.749771735296</v>
      </c>
      <c r="O100" s="5">
        <f t="shared" si="10"/>
        <v>0</v>
      </c>
      <c r="P100" s="5">
        <f t="shared" si="15"/>
        <v>-17652.89772167636</v>
      </c>
      <c r="R100" s="7">
        <f>PV(Input!$B$56,'Primary Details - Hypothetical'!B100,0,'Primary Details - Hypothetical'!H100,1)</f>
        <v>0</v>
      </c>
      <c r="S100">
        <f t="shared" si="14"/>
        <v>0</v>
      </c>
    </row>
    <row r="101" spans="1:19" x14ac:dyDescent="0.25">
      <c r="A101" s="4">
        <f t="shared" ref="A101:A102" si="16">A100+1</f>
        <v>100</v>
      </c>
      <c r="B101" s="4">
        <f>IF(C101&gt;=Input!$B$5,C101-Input!$B$5,"")</f>
        <v>59</v>
      </c>
      <c r="C101" s="4">
        <f t="shared" ref="C101:C102" si="17">C100+1</f>
        <v>124</v>
      </c>
      <c r="D101" s="4">
        <f>IF(C101&lt;Input!$B$5,0,IF(AND(C101&gt;=Input!$B$5,C101&lt;Input!$B$5+Input!$B$6),1,2))</f>
        <v>2</v>
      </c>
      <c r="E101" s="4">
        <f>IF(C101&gt;=Input!$B$59,1,0)</f>
        <v>1</v>
      </c>
      <c r="F101" s="4">
        <f>IF(AND(C101&gt;=Input!$B$60,D101=1),1,0)</f>
        <v>0</v>
      </c>
      <c r="G101" s="5">
        <f>IF(OR(P100&lt;0,D101=2),0,P100*(1+Input!$B$56))</f>
        <v>0</v>
      </c>
      <c r="H101" s="5">
        <f>IF(D101=0,Input!$B$21+Input!$B$24+Input!$B$27,0)</f>
        <v>0</v>
      </c>
      <c r="I101" s="5">
        <f>IF(D101=1,Input!$B$69,0)</f>
        <v>0</v>
      </c>
      <c r="J101" s="5">
        <f>IF(F101=1,FV(Input!$B$56,'Primary Details - Actual'!B101,,-Input!$B$12),0)</f>
        <v>0</v>
      </c>
      <c r="K101" s="5">
        <f>IF(E101=1,FV(Input!$B$56,'Primary Details - Actual'!B101,,-Input!$B$13),0)</f>
        <v>10669.335553811132</v>
      </c>
      <c r="L101" s="5">
        <f>IF(D101=1,Input!$B$16+Input!$B$14+Input!$B$15,0)</f>
        <v>0</v>
      </c>
      <c r="M101" s="8"/>
      <c r="N101" s="8">
        <f t="shared" si="9"/>
        <v>10669.335553811132</v>
      </c>
      <c r="O101" s="5">
        <f t="shared" si="10"/>
        <v>0</v>
      </c>
      <c r="P101" s="5">
        <f t="shared" si="15"/>
        <v>-17652.89772167636</v>
      </c>
      <c r="R101" s="7">
        <f>PV(Input!$B$56,'Primary Details - Hypothetical'!B101,0,'Primary Details - Hypothetical'!H101,1)</f>
        <v>0</v>
      </c>
      <c r="S101">
        <f t="shared" si="14"/>
        <v>0</v>
      </c>
    </row>
    <row r="102" spans="1:19" x14ac:dyDescent="0.25">
      <c r="A102" s="4">
        <f t="shared" si="16"/>
        <v>101</v>
      </c>
      <c r="B102" s="4">
        <f>IF(C102&gt;=Input!$B$5,C102-Input!$B$5,"")</f>
        <v>60</v>
      </c>
      <c r="C102" s="4">
        <f t="shared" si="17"/>
        <v>125</v>
      </c>
      <c r="D102" s="4">
        <f>IF(C102&lt;Input!$B$5,0,IF(AND(C102&gt;=Input!$B$5,C102&lt;Input!$B$5+Input!$B$6),1,2))</f>
        <v>2</v>
      </c>
      <c r="E102" s="4">
        <f>IF(C102&gt;=Input!$B$59,1,0)</f>
        <v>1</v>
      </c>
      <c r="F102" s="4">
        <f>IF(AND(C102&gt;=Input!$B$60,D102=1),1,0)</f>
        <v>0</v>
      </c>
      <c r="G102" s="5">
        <f>IF(OR(P101&lt;0,D102=2),0,P101*(1+Input!$B$56))</f>
        <v>0</v>
      </c>
      <c r="H102" s="5">
        <f>IF(D102=0,Input!$B$21+Input!$B$24+Input!$B$27,0)</f>
        <v>0</v>
      </c>
      <c r="I102" s="5">
        <f>IF(D102=1,Input!$B$69,0)</f>
        <v>0</v>
      </c>
      <c r="J102" s="5">
        <f>IF(F102=1,FV(Input!$B$56,'Primary Details - Actual'!B102,,-Input!$B$12),0)</f>
        <v>0</v>
      </c>
      <c r="K102" s="5">
        <f>IF(E102=1,FV(Input!$B$56,'Primary Details - Actual'!B102,,-Input!$B$13),0)</f>
        <v>10773.93688277006</v>
      </c>
      <c r="L102" s="5">
        <f>IF(D102=1,Input!$B$16+Input!$B$14+Input!$B$15,0)</f>
        <v>0</v>
      </c>
      <c r="M102" s="8"/>
      <c r="N102" s="8">
        <f t="shared" si="9"/>
        <v>10773.93688277006</v>
      </c>
      <c r="O102" s="5">
        <f t="shared" si="10"/>
        <v>0</v>
      </c>
      <c r="P102" s="5">
        <f t="shared" si="15"/>
        <v>-17652.89772167636</v>
      </c>
      <c r="R102" s="7">
        <f>PV(Input!$B$56,'Primary Details - Hypothetical'!B102,0,'Primary Details - Hypothetical'!H102,1)</f>
        <v>0</v>
      </c>
      <c r="S102">
        <f t="shared" si="14"/>
        <v>0</v>
      </c>
    </row>
  </sheetData>
  <pageMargins left="0.7" right="0.7" top="0.75" bottom="0.75" header="0.3" footer="0.3"/>
  <pageSetup paperSize="0" orientation="portrait" r:id="rId1"/>
  <ignoredErrors>
    <ignoredError sqref="B3:B10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R102"/>
  <sheetViews>
    <sheetView workbookViewId="0">
      <pane xSplit="4" ySplit="1" topLeftCell="E2" activePane="bottomRight" state="frozen"/>
      <selection pane="topRight" activeCell="E1" sqref="E1"/>
      <selection pane="bottomLeft" activeCell="A2" sqref="A2"/>
      <selection pane="bottomRight" activeCell="M19" sqref="M19"/>
    </sheetView>
  </sheetViews>
  <sheetFormatPr defaultRowHeight="15" x14ac:dyDescent="0.25"/>
  <cols>
    <col min="1" max="1" width="6.28515625" style="4" bestFit="1" customWidth="1"/>
    <col min="2" max="2" width="4" style="4" bestFit="1" customWidth="1"/>
    <col min="3" max="3" width="4.42578125" style="4" bestFit="1" customWidth="1"/>
    <col min="4" max="4" width="5.85546875" style="4" bestFit="1" customWidth="1"/>
    <col min="5" max="5" width="13.85546875" customWidth="1"/>
    <col min="6" max="6" width="13.7109375" customWidth="1"/>
    <col min="7" max="7" width="15.28515625" bestFit="1" customWidth="1"/>
    <col min="8" max="8" width="16.140625" customWidth="1"/>
    <col min="9" max="9" width="15.7109375" bestFit="1" customWidth="1"/>
    <col min="10" max="10" width="17" bestFit="1" customWidth="1"/>
    <col min="11" max="11" width="15.42578125" customWidth="1"/>
    <col min="12" max="12" width="14" customWidth="1"/>
    <col min="13" max="17" width="17.42578125" customWidth="1"/>
    <col min="18" max="18" width="9.42578125" style="4" bestFit="1" customWidth="1"/>
  </cols>
  <sheetData>
    <row r="1" spans="1:18" ht="33" customHeight="1" x14ac:dyDescent="0.25">
      <c r="A1" s="4" t="s">
        <v>26</v>
      </c>
      <c r="B1" s="10" t="s">
        <v>39</v>
      </c>
      <c r="C1" s="4" t="s">
        <v>20</v>
      </c>
      <c r="D1" s="4" t="s">
        <v>21</v>
      </c>
      <c r="E1" s="10" t="s">
        <v>22</v>
      </c>
      <c r="F1" s="4" t="s">
        <v>23</v>
      </c>
      <c r="G1" s="4" t="s">
        <v>35</v>
      </c>
      <c r="H1" s="10" t="s">
        <v>38</v>
      </c>
      <c r="I1" s="10" t="s">
        <v>25</v>
      </c>
      <c r="K1" s="10"/>
      <c r="L1" s="10"/>
      <c r="M1" s="10"/>
      <c r="N1" s="10"/>
      <c r="O1" s="10"/>
      <c r="R1" s="10"/>
    </row>
    <row r="2" spans="1:18" x14ac:dyDescent="0.25">
      <c r="A2" s="4">
        <v>1</v>
      </c>
      <c r="B2" s="4" t="str">
        <f>IF(C2&gt;=Input!$B$5,C2-Input!$B$5,"")</f>
        <v/>
      </c>
      <c r="C2" s="4">
        <f>Input!B4</f>
        <v>25</v>
      </c>
      <c r="D2" s="4">
        <f>IF(C2&lt;Input!$B$5,0,IF(AND(C2&gt;=Input!$B$5,C2&lt;Input!$B$5+Input!$B$6),1,2))</f>
        <v>0</v>
      </c>
      <c r="E2" s="5">
        <f>Input!B44</f>
        <v>273135.70775647205</v>
      </c>
      <c r="F2" s="5">
        <f>IF(D2=0,Input!$B$21+Input!$B$24+Input!$B$27,0)</f>
        <v>2400</v>
      </c>
      <c r="G2" s="5">
        <f>'Primary Details - Actual'!I2</f>
        <v>0</v>
      </c>
      <c r="H2" s="5">
        <f>IF(D2=1,'Primary Details - Actual'!O2,0)</f>
        <v>0</v>
      </c>
      <c r="I2" s="5">
        <f>E2+F2-H2</f>
        <v>275535.70775647205</v>
      </c>
      <c r="J2" s="5"/>
      <c r="K2" s="5">
        <f>E2-'Primary Details - Actual'!G2</f>
        <v>133135.70775647205</v>
      </c>
      <c r="L2" s="5"/>
      <c r="M2" s="8"/>
      <c r="N2" s="8"/>
      <c r="O2" s="8"/>
    </row>
    <row r="3" spans="1:18" x14ac:dyDescent="0.25">
      <c r="A3" s="4">
        <f>A2+1</f>
        <v>2</v>
      </c>
      <c r="B3" s="4" t="str">
        <f>IF(C3&gt;=Input!$B$5,C3-Input!$B$5,"")</f>
        <v/>
      </c>
      <c r="C3" s="4">
        <f>C2+1</f>
        <v>26</v>
      </c>
      <c r="D3" s="4">
        <f>IF(C3&lt;Input!$B$5,0,IF(AND(C3&gt;=Input!$B$5,C3&lt;Input!$B$5+Input!$B$6),1,2))</f>
        <v>0</v>
      </c>
      <c r="E3" s="5">
        <f>IF(OR(I2&lt;0,D3=2),0,I2*(1+Input!$B$56))</f>
        <v>278237.03822467272</v>
      </c>
      <c r="F3" s="5">
        <f>IF(D3=0,Input!$B$21+Input!$B$24+Input!$B$27,0)</f>
        <v>2400</v>
      </c>
      <c r="G3" s="5">
        <f>'Primary Details - Actual'!I3</f>
        <v>0</v>
      </c>
      <c r="H3" s="5">
        <f>IF(D3=1,'Primary Details - Actual'!O3,0)</f>
        <v>0</v>
      </c>
      <c r="I3" s="5">
        <f t="shared" ref="I3:I34" si="0">IF(D3=2,I2,E3+F3-H3)</f>
        <v>280637.03822467272</v>
      </c>
      <c r="J3" s="5"/>
      <c r="K3" s="5">
        <f>E3-'Primary Details - Actual'!G3</f>
        <v>134440.95979330019</v>
      </c>
      <c r="L3" s="5"/>
      <c r="M3" s="8"/>
      <c r="N3" s="8"/>
      <c r="O3" s="8"/>
    </row>
    <row r="4" spans="1:18" x14ac:dyDescent="0.25">
      <c r="A4" s="4">
        <f t="shared" ref="A4:A67" si="1">A3+1</f>
        <v>3</v>
      </c>
      <c r="B4" s="4" t="str">
        <f>IF(C4&gt;=Input!$B$5,C4-Input!$B$5,"")</f>
        <v/>
      </c>
      <c r="C4" s="4">
        <f t="shared" ref="C4:C67" si="2">C3+1</f>
        <v>27</v>
      </c>
      <c r="D4" s="4">
        <f>IF(C4&lt;Input!$B$5,0,IF(AND(C4&gt;=Input!$B$5,C4&lt;Input!$B$5+Input!$B$6),1,2))</f>
        <v>0</v>
      </c>
      <c r="E4" s="5">
        <f>IF(OR(I3&lt;0,D4=2),0,I3*(1+Input!$B$56))</f>
        <v>283388.38173667929</v>
      </c>
      <c r="F4" s="5">
        <f>IF(D4=0,Input!$B$21+Input!$B$24+Input!$B$27,0)</f>
        <v>2400</v>
      </c>
      <c r="G4" s="5">
        <f>'Primary Details - Actual'!I4</f>
        <v>0</v>
      </c>
      <c r="H4" s="5">
        <f>IF(D4=1,'Primary Details - Actual'!O4,0)</f>
        <v>0</v>
      </c>
      <c r="I4" s="5">
        <f t="shared" si="0"/>
        <v>285788.38173667929</v>
      </c>
      <c r="J4" s="5"/>
      <c r="K4" s="5">
        <f>E4-'Primary Details - Actual'!G4</f>
        <v>135759.0084187247</v>
      </c>
      <c r="L4" s="5"/>
      <c r="M4" s="8"/>
      <c r="N4" s="8"/>
      <c r="O4" s="8"/>
    </row>
    <row r="5" spans="1:18" x14ac:dyDescent="0.25">
      <c r="A5" s="4">
        <f t="shared" si="1"/>
        <v>4</v>
      </c>
      <c r="B5" s="4" t="str">
        <f>IF(C5&gt;=Input!$B$5,C5-Input!$B$5,"")</f>
        <v/>
      </c>
      <c r="C5" s="4">
        <f t="shared" si="2"/>
        <v>28</v>
      </c>
      <c r="D5" s="4">
        <f>IF(C5&lt;Input!$B$5,0,IF(AND(C5&gt;=Input!$B$5,C5&lt;Input!$B$5+Input!$B$6),1,2))</f>
        <v>0</v>
      </c>
      <c r="E5" s="5">
        <f>IF(OR(I4&lt;0,D5=2),0,I4*(1+Input!$B$56))</f>
        <v>288590.22861645062</v>
      </c>
      <c r="F5" s="5">
        <f>IF(D5=0,Input!$B$21+Input!$B$24+Input!$B$27,0)</f>
        <v>2400</v>
      </c>
      <c r="G5" s="5">
        <f>'Primary Details - Actual'!I5</f>
        <v>0</v>
      </c>
      <c r="H5" s="5">
        <f>IF(D5=1,'Primary Details - Actual'!O5,0)</f>
        <v>0</v>
      </c>
      <c r="I5" s="5">
        <f t="shared" si="0"/>
        <v>290990.22861645062</v>
      </c>
      <c r="J5" s="5"/>
      <c r="K5" s="5">
        <f>E5-'Primary Details - Actual'!G5</f>
        <v>137089.97908949648</v>
      </c>
      <c r="L5" s="5"/>
      <c r="M5" s="8"/>
      <c r="N5" s="8"/>
      <c r="O5" s="8"/>
    </row>
    <row r="6" spans="1:18" x14ac:dyDescent="0.25">
      <c r="A6" s="4">
        <f t="shared" si="1"/>
        <v>5</v>
      </c>
      <c r="B6" s="4" t="str">
        <f>IF(C6&gt;=Input!$B$5,C6-Input!$B$5,"")</f>
        <v/>
      </c>
      <c r="C6" s="4">
        <f t="shared" si="2"/>
        <v>29</v>
      </c>
      <c r="D6" s="4">
        <f>IF(C6&lt;Input!$B$5,0,IF(AND(C6&gt;=Input!$B$5,C6&lt;Input!$B$5+Input!$B$6),1,2))</f>
        <v>0</v>
      </c>
      <c r="E6" s="5">
        <f>IF(OR(I5&lt;0,D6=2),0,I5*(1+Input!$B$56))</f>
        <v>293843.07399504329</v>
      </c>
      <c r="F6" s="5">
        <f>IF(D6=0,Input!$B$21+Input!$B$24+Input!$B$27,0)</f>
        <v>2400</v>
      </c>
      <c r="G6" s="5">
        <f>'Primary Details - Actual'!I6</f>
        <v>0</v>
      </c>
      <c r="H6" s="5">
        <f>IF(D6=1,'Primary Details - Actual'!O6,0)</f>
        <v>0</v>
      </c>
      <c r="I6" s="5">
        <f t="shared" si="0"/>
        <v>296243.07399504329</v>
      </c>
      <c r="J6" s="5"/>
      <c r="K6" s="5">
        <f>E6-'Primary Details - Actual'!G6</f>
        <v>138433.99849233471</v>
      </c>
      <c r="L6" s="5"/>
      <c r="M6" s="8"/>
      <c r="N6" s="8"/>
      <c r="O6" s="8"/>
    </row>
    <row r="7" spans="1:18" x14ac:dyDescent="0.25">
      <c r="A7" s="4">
        <f t="shared" si="1"/>
        <v>6</v>
      </c>
      <c r="B7" s="4" t="str">
        <f>IF(C7&gt;=Input!$B$5,C7-Input!$B$5,"")</f>
        <v/>
      </c>
      <c r="C7" s="4">
        <f t="shared" si="2"/>
        <v>30</v>
      </c>
      <c r="D7" s="4">
        <f>IF(C7&lt;Input!$B$5,0,IF(AND(C7&gt;=Input!$B$5,C7&lt;Input!$B$5+Input!$B$6),1,2))</f>
        <v>0</v>
      </c>
      <c r="E7" s="5">
        <f>IF(OR(I6&lt;0,D7=2),0,I6*(1+Input!$B$56))</f>
        <v>299147.41785773978</v>
      </c>
      <c r="F7" s="5">
        <f>IF(D7=0,Input!$B$21+Input!$B$24+Input!$B$27,0)</f>
        <v>2400</v>
      </c>
      <c r="G7" s="5">
        <f>'Primary Details - Actual'!I7</f>
        <v>0</v>
      </c>
      <c r="H7" s="5">
        <f>IF(D7=1,'Primary Details - Actual'!O7,0)</f>
        <v>0</v>
      </c>
      <c r="I7" s="5">
        <f t="shared" si="0"/>
        <v>301547.41785773978</v>
      </c>
      <c r="J7" s="5"/>
      <c r="K7" s="5">
        <f>E7-'Primary Details - Actual'!G7</f>
        <v>139791.19455598504</v>
      </c>
      <c r="L7" s="5"/>
      <c r="M7" s="8"/>
      <c r="N7" s="8"/>
      <c r="O7" s="8"/>
    </row>
    <row r="8" spans="1:18" x14ac:dyDescent="0.25">
      <c r="A8" s="4">
        <f t="shared" si="1"/>
        <v>7</v>
      </c>
      <c r="B8" s="4" t="str">
        <f>IF(C8&gt;=Input!$B$5,C8-Input!$B$5,"")</f>
        <v/>
      </c>
      <c r="C8" s="4">
        <f t="shared" si="2"/>
        <v>31</v>
      </c>
      <c r="D8" s="4">
        <f>IF(C8&lt;Input!$B$5,0,IF(AND(C8&gt;=Input!$B$5,C8&lt;Input!$B$5+Input!$B$6),1,2))</f>
        <v>0</v>
      </c>
      <c r="E8" s="5">
        <f>IF(OR(I7&lt;0,D8=2),0,I7*(1+Input!$B$56))</f>
        <v>304503.76509163919</v>
      </c>
      <c r="F8" s="5">
        <f>IF(D8=0,Input!$B$21+Input!$B$24+Input!$B$27,0)</f>
        <v>2400</v>
      </c>
      <c r="G8" s="5">
        <f>'Primary Details - Actual'!I8</f>
        <v>0</v>
      </c>
      <c r="H8" s="5">
        <f>IF(D8=1,'Primary Details - Actual'!O8,0)</f>
        <v>0</v>
      </c>
      <c r="I8" s="5">
        <f t="shared" si="0"/>
        <v>306903.76509163919</v>
      </c>
      <c r="J8" s="5"/>
      <c r="K8" s="5">
        <f>E8-'Primary Details - Actual'!G8</f>
        <v>141161.69646339666</v>
      </c>
      <c r="L8" s="5"/>
      <c r="M8" s="8"/>
      <c r="N8" s="8"/>
      <c r="O8" s="8"/>
    </row>
    <row r="9" spans="1:18" x14ac:dyDescent="0.25">
      <c r="A9" s="4">
        <f t="shared" si="1"/>
        <v>8</v>
      </c>
      <c r="B9" s="4" t="str">
        <f>IF(C9&gt;=Input!$B$5,C9-Input!$B$5,"")</f>
        <v/>
      </c>
      <c r="C9" s="4">
        <f t="shared" si="2"/>
        <v>32</v>
      </c>
      <c r="D9" s="4">
        <f>IF(C9&lt;Input!$B$5,0,IF(AND(C9&gt;=Input!$B$5,C9&lt;Input!$B$5+Input!$B$6),1,2))</f>
        <v>0</v>
      </c>
      <c r="E9" s="5">
        <f>IF(OR(I8&lt;0,D9=2),0,I8*(1+Input!$B$56))</f>
        <v>309912.62553371408</v>
      </c>
      <c r="F9" s="5">
        <f>IF(D9=0,Input!$B$21+Input!$B$24+Input!$B$27,0)</f>
        <v>2400</v>
      </c>
      <c r="G9" s="5">
        <f>'Primary Details - Actual'!I9</f>
        <v>0</v>
      </c>
      <c r="H9" s="5">
        <f>IF(D9=1,'Primary Details - Actual'!O9,0)</f>
        <v>0</v>
      </c>
      <c r="I9" s="5">
        <f t="shared" si="0"/>
        <v>312312.62553371408</v>
      </c>
      <c r="J9" s="5"/>
      <c r="K9" s="5">
        <f>E9-'Primary Details - Actual'!G9</f>
        <v>142545.6346640182</v>
      </c>
      <c r="L9" s="5"/>
      <c r="M9" s="8"/>
      <c r="N9" s="8"/>
      <c r="O9" s="8"/>
    </row>
    <row r="10" spans="1:18" x14ac:dyDescent="0.25">
      <c r="A10" s="4">
        <f t="shared" si="1"/>
        <v>9</v>
      </c>
      <c r="B10" s="4" t="str">
        <f>IF(C10&gt;=Input!$B$5,C10-Input!$B$5,"")</f>
        <v/>
      </c>
      <c r="C10" s="4">
        <f t="shared" si="2"/>
        <v>33</v>
      </c>
      <c r="D10" s="4">
        <f>IF(C10&lt;Input!$B$5,0,IF(AND(C10&gt;=Input!$B$5,C10&lt;Input!$B$5+Input!$B$6),1,2))</f>
        <v>0</v>
      </c>
      <c r="E10" s="5">
        <f>IF(OR(I9&lt;0,D10=2),0,I9*(1+Input!$B$56))</f>
        <v>315374.51401933871</v>
      </c>
      <c r="F10" s="5">
        <f>IF(D10=0,Input!$B$21+Input!$B$24+Input!$B$27,0)</f>
        <v>2400</v>
      </c>
      <c r="G10" s="5">
        <f>'Primary Details - Actual'!I10</f>
        <v>0</v>
      </c>
      <c r="H10" s="5">
        <f>IF(D10=1,'Primary Details - Actual'!O10,0)</f>
        <v>0</v>
      </c>
      <c r="I10" s="5">
        <f t="shared" si="0"/>
        <v>317774.51401933871</v>
      </c>
      <c r="J10" s="5"/>
      <c r="K10" s="5">
        <f>E10-'Primary Details - Actual'!G10</f>
        <v>143943.14088621445</v>
      </c>
      <c r="L10" s="5"/>
      <c r="M10" s="8"/>
      <c r="N10" s="8"/>
      <c r="O10" s="8"/>
    </row>
    <row r="11" spans="1:18" x14ac:dyDescent="0.25">
      <c r="A11" s="4">
        <f t="shared" si="1"/>
        <v>10</v>
      </c>
      <c r="B11" s="4" t="str">
        <f>IF(C11&gt;=Input!$B$5,C11-Input!$B$5,"")</f>
        <v/>
      </c>
      <c r="C11" s="4">
        <f t="shared" si="2"/>
        <v>34</v>
      </c>
      <c r="D11" s="4">
        <f>IF(C11&lt;Input!$B$5,0,IF(AND(C11&gt;=Input!$B$5,C11&lt;Input!$B$5+Input!$B$6),1,2))</f>
        <v>0</v>
      </c>
      <c r="E11" s="5">
        <f>IF(OR(I10&lt;0,D11=2),0,I10*(1+Input!$B$56))</f>
        <v>320889.95043129299</v>
      </c>
      <c r="F11" s="5">
        <f>IF(D11=0,Input!$B$21+Input!$B$24+Input!$B$27,0)</f>
        <v>2400</v>
      </c>
      <c r="G11" s="5">
        <f>'Primary Details - Actual'!I11</f>
        <v>0</v>
      </c>
      <c r="H11" s="5">
        <f>IF(D11=1,'Primary Details - Actual'!O11,0)</f>
        <v>0</v>
      </c>
      <c r="I11" s="5">
        <f t="shared" si="0"/>
        <v>323289.95043129299</v>
      </c>
      <c r="J11" s="5"/>
      <c r="K11" s="5">
        <f>E11-'Primary Details - Actual'!G11</f>
        <v>145354.34814980478</v>
      </c>
      <c r="L11" s="5"/>
      <c r="M11" s="8"/>
      <c r="N11" s="8"/>
      <c r="O11" s="8"/>
    </row>
    <row r="12" spans="1:18" x14ac:dyDescent="0.25">
      <c r="A12" s="4">
        <f t="shared" si="1"/>
        <v>11</v>
      </c>
      <c r="B12" s="4" t="str">
        <f>IF(C12&gt;=Input!$B$5,C12-Input!$B$5,"")</f>
        <v/>
      </c>
      <c r="C12" s="4">
        <f t="shared" si="2"/>
        <v>35</v>
      </c>
      <c r="D12" s="4">
        <f>IF(C12&lt;Input!$B$5,0,IF(AND(C12&gt;=Input!$B$5,C12&lt;Input!$B$5+Input!$B$6),1,2))</f>
        <v>0</v>
      </c>
      <c r="E12" s="5">
        <f>IF(OR(I11&lt;0,D12=2),0,I11*(1+Input!$B$56))</f>
        <v>326459.45974924683</v>
      </c>
      <c r="F12" s="5">
        <f>IF(D12=0,Input!$B$21+Input!$B$24+Input!$B$27,0)</f>
        <v>2400</v>
      </c>
      <c r="G12" s="5">
        <f>'Primary Details - Actual'!I12</f>
        <v>0</v>
      </c>
      <c r="H12" s="5">
        <f>IF(D12=1,'Primary Details - Actual'!O12,0)</f>
        <v>0</v>
      </c>
      <c r="I12" s="5">
        <f t="shared" si="0"/>
        <v>328859.45974924683</v>
      </c>
      <c r="J12" s="5"/>
      <c r="K12" s="5">
        <f>E12-'Primary Details - Actual'!G12</f>
        <v>146779.39077872442</v>
      </c>
      <c r="L12" s="5"/>
      <c r="M12" s="8"/>
      <c r="N12" s="8"/>
      <c r="O12" s="8"/>
    </row>
    <row r="13" spans="1:18" x14ac:dyDescent="0.25">
      <c r="A13" s="4">
        <f t="shared" si="1"/>
        <v>12</v>
      </c>
      <c r="B13" s="4" t="str">
        <f>IF(C13&gt;=Input!$B$5,C13-Input!$B$5,"")</f>
        <v/>
      </c>
      <c r="C13" s="4">
        <f t="shared" si="2"/>
        <v>36</v>
      </c>
      <c r="D13" s="4">
        <f>IF(C13&lt;Input!$B$5,0,IF(AND(C13&gt;=Input!$B$5,C13&lt;Input!$B$5+Input!$B$6),1,2))</f>
        <v>0</v>
      </c>
      <c r="E13" s="5">
        <f>IF(OR(I12&lt;0,D13=2),0,I12*(1+Input!$B$56))</f>
        <v>332083.57209972962</v>
      </c>
      <c r="F13" s="5">
        <f>IF(D13=0,Input!$B$21+Input!$B$24+Input!$B$27,0)</f>
        <v>2400</v>
      </c>
      <c r="G13" s="5">
        <f>'Primary Details - Actual'!I13</f>
        <v>0</v>
      </c>
      <c r="H13" s="5">
        <f>IF(D13=1,'Primary Details - Actual'!O13,0)</f>
        <v>0</v>
      </c>
      <c r="I13" s="5">
        <f t="shared" si="0"/>
        <v>334483.57209972962</v>
      </c>
      <c r="J13" s="5"/>
      <c r="K13" s="5">
        <f>E13-'Primary Details - Actual'!G13</f>
        <v>148218.40441380994</v>
      </c>
      <c r="L13" s="5"/>
      <c r="M13" s="8"/>
      <c r="N13" s="8"/>
      <c r="O13" s="8"/>
    </row>
    <row r="14" spans="1:18" x14ac:dyDescent="0.25">
      <c r="A14" s="4">
        <f t="shared" si="1"/>
        <v>13</v>
      </c>
      <c r="B14" s="4" t="str">
        <f>IF(C14&gt;=Input!$B$5,C14-Input!$B$5,"")</f>
        <v/>
      </c>
      <c r="C14" s="4">
        <f t="shared" si="2"/>
        <v>37</v>
      </c>
      <c r="D14" s="4">
        <f>IF(C14&lt;Input!$B$5,0,IF(AND(C14&gt;=Input!$B$5,C14&lt;Input!$B$5+Input!$B$6),1,2))</f>
        <v>0</v>
      </c>
      <c r="E14" s="5">
        <f>IF(OR(I13&lt;0,D14=2),0,I13*(1+Input!$B$56))</f>
        <v>337762.82280658971</v>
      </c>
      <c r="F14" s="5">
        <f>IF(D14=0,Input!$B$21+Input!$B$24+Input!$B$27,0)</f>
        <v>2400</v>
      </c>
      <c r="G14" s="5">
        <f>'Primary Details - Actual'!I14</f>
        <v>0</v>
      </c>
      <c r="H14" s="5">
        <f>IF(D14=1,'Primary Details - Actual'!O14,0)</f>
        <v>0</v>
      </c>
      <c r="I14" s="5">
        <f t="shared" si="0"/>
        <v>340162.82280658971</v>
      </c>
      <c r="J14" s="5"/>
      <c r="K14" s="5">
        <f>E14-'Primary Details - Actual'!G14</f>
        <v>149671.52602571005</v>
      </c>
      <c r="L14" s="5"/>
      <c r="M14" s="8"/>
      <c r="N14" s="8"/>
      <c r="O14" s="8"/>
    </row>
    <row r="15" spans="1:18" x14ac:dyDescent="0.25">
      <c r="A15" s="4">
        <f t="shared" si="1"/>
        <v>14</v>
      </c>
      <c r="B15" s="4" t="str">
        <f>IF(C15&gt;=Input!$B$5,C15-Input!$B$5,"")</f>
        <v/>
      </c>
      <c r="C15" s="4">
        <f t="shared" si="2"/>
        <v>38</v>
      </c>
      <c r="D15" s="4">
        <f>IF(C15&lt;Input!$B$5,0,IF(AND(C15&gt;=Input!$B$5,C15&lt;Input!$B$5+Input!$B$6),1,2))</f>
        <v>0</v>
      </c>
      <c r="E15" s="5">
        <f>IF(OR(I14&lt;0,D15=2),0,I14*(1+Input!$B$56))</f>
        <v>343497.7524419484</v>
      </c>
      <c r="F15" s="5">
        <f>IF(D15=0,Input!$B$21+Input!$B$24+Input!$B$27,0)</f>
        <v>2400</v>
      </c>
      <c r="G15" s="5">
        <f>'Primary Details - Actual'!I15</f>
        <v>0</v>
      </c>
      <c r="H15" s="5">
        <f>IF(D15=1,'Primary Details - Actual'!O15,0)</f>
        <v>0</v>
      </c>
      <c r="I15" s="5">
        <f t="shared" si="0"/>
        <v>345897.7524419484</v>
      </c>
      <c r="J15" s="5"/>
      <c r="K15" s="5">
        <f>E15-'Primary Details - Actual'!G15</f>
        <v>151138.89392792285</v>
      </c>
      <c r="L15" s="5"/>
      <c r="M15" s="8"/>
      <c r="N15" s="8"/>
      <c r="O15" s="8"/>
    </row>
    <row r="16" spans="1:18" x14ac:dyDescent="0.25">
      <c r="A16" s="4">
        <f t="shared" si="1"/>
        <v>15</v>
      </c>
      <c r="B16" s="4" t="str">
        <f>IF(C16&gt;=Input!$B$5,C16-Input!$B$5,"")</f>
        <v/>
      </c>
      <c r="C16" s="4">
        <f t="shared" si="2"/>
        <v>39</v>
      </c>
      <c r="D16" s="4">
        <f>IF(C16&lt;Input!$B$5,0,IF(AND(C16&gt;=Input!$B$5,C16&lt;Input!$B$5+Input!$B$6),1,2))</f>
        <v>0</v>
      </c>
      <c r="E16" s="5">
        <f>IF(OR(I15&lt;0,D16=2),0,I15*(1+Input!$B$56))</f>
        <v>349288.90687765373</v>
      </c>
      <c r="F16" s="5">
        <f>IF(D16=0,Input!$B$21+Input!$B$24+Input!$B$27,0)</f>
        <v>2400</v>
      </c>
      <c r="G16" s="5">
        <f>'Primary Details - Actual'!I16</f>
        <v>0</v>
      </c>
      <c r="H16" s="5">
        <f>IF(D16=1,'Primary Details - Actual'!O16,0)</f>
        <v>0</v>
      </c>
      <c r="I16" s="5">
        <f t="shared" si="0"/>
        <v>351688.90687765373</v>
      </c>
      <c r="J16" s="5"/>
      <c r="K16" s="5">
        <f>E16-'Primary Details - Actual'!G16</f>
        <v>152620.64778996128</v>
      </c>
      <c r="L16" s="5"/>
      <c r="M16" s="8"/>
      <c r="N16" s="8"/>
      <c r="O16" s="8"/>
    </row>
    <row r="17" spans="1:15" x14ac:dyDescent="0.25">
      <c r="A17" s="4">
        <f t="shared" si="1"/>
        <v>16</v>
      </c>
      <c r="B17" s="4" t="str">
        <f>IF(C17&gt;=Input!$B$5,C17-Input!$B$5,"")</f>
        <v/>
      </c>
      <c r="C17" s="4">
        <f t="shared" si="2"/>
        <v>40</v>
      </c>
      <c r="D17" s="4">
        <f>IF(C17&lt;Input!$B$5,0,IF(AND(C17&gt;=Input!$B$5,C17&lt;Input!$B$5+Input!$B$6),1,2))</f>
        <v>0</v>
      </c>
      <c r="E17" s="5">
        <f>IF(OR(I16&lt;0,D17=2),0,I16*(1+Input!$B$56))</f>
        <v>355136.83733723854</v>
      </c>
      <c r="F17" s="5">
        <f>IF(D17=0,Input!$B$21+Input!$B$24+Input!$B$27,0)</f>
        <v>2400</v>
      </c>
      <c r="G17" s="5">
        <f>'Primary Details - Actual'!I17</f>
        <v>0</v>
      </c>
      <c r="H17" s="5">
        <f>IF(D17=1,'Primary Details - Actual'!O17,0)</f>
        <v>0</v>
      </c>
      <c r="I17" s="5">
        <f t="shared" si="0"/>
        <v>357536.83733723854</v>
      </c>
      <c r="J17" s="5"/>
      <c r="K17" s="5">
        <f>E17-'Primary Details - Actual'!G17</f>
        <v>154116.92865064714</v>
      </c>
      <c r="L17" s="5"/>
      <c r="M17" s="8"/>
      <c r="N17" s="8"/>
      <c r="O17" s="8"/>
    </row>
    <row r="18" spans="1:15" x14ac:dyDescent="0.25">
      <c r="A18" s="4">
        <f t="shared" si="1"/>
        <v>17</v>
      </c>
      <c r="B18" s="4" t="str">
        <f>IF(C18&gt;=Input!$B$5,C18-Input!$B$5,"")</f>
        <v/>
      </c>
      <c r="C18" s="4">
        <f t="shared" si="2"/>
        <v>41</v>
      </c>
      <c r="D18" s="4">
        <f>IF(C18&lt;Input!$B$5,0,IF(AND(C18&gt;=Input!$B$5,C18&lt;Input!$B$5+Input!$B$6),1,2))</f>
        <v>0</v>
      </c>
      <c r="E18" s="5">
        <f>IF(OR(I17&lt;0,D18=2),0,I17*(1+Input!$B$56))</f>
        <v>361042.10044838791</v>
      </c>
      <c r="F18" s="5">
        <f>IF(D18=0,Input!$B$21+Input!$B$24+Input!$B$27,0)</f>
        <v>2400</v>
      </c>
      <c r="G18" s="5">
        <f>'Primary Details - Actual'!I18</f>
        <v>0</v>
      </c>
      <c r="H18" s="5">
        <f>IF(D18=1,'Primary Details - Actual'!O18,0)</f>
        <v>0</v>
      </c>
      <c r="I18" s="5">
        <f t="shared" si="0"/>
        <v>363442.10044838791</v>
      </c>
      <c r="J18" s="5"/>
      <c r="K18" s="5">
        <f>E18-'Primary Details - Actual'!G18</f>
        <v>155627.87893153582</v>
      </c>
      <c r="L18" s="5"/>
      <c r="M18" s="8"/>
      <c r="N18" s="8"/>
      <c r="O18" s="8"/>
    </row>
    <row r="19" spans="1:15" x14ac:dyDescent="0.25">
      <c r="A19" s="4">
        <f t="shared" si="1"/>
        <v>18</v>
      </c>
      <c r="B19" s="4" t="str">
        <f>IF(C19&gt;=Input!$B$5,C19-Input!$B$5,"")</f>
        <v/>
      </c>
      <c r="C19" s="4">
        <f t="shared" si="2"/>
        <v>42</v>
      </c>
      <c r="D19" s="4">
        <f>IF(C19&lt;Input!$B$5,0,IF(AND(C19&gt;=Input!$B$5,C19&lt;Input!$B$5+Input!$B$6),1,2))</f>
        <v>0</v>
      </c>
      <c r="E19" s="5">
        <f>IF(OR(I18&lt;0,D19=2),0,I18*(1+Input!$B$56))</f>
        <v>367005.25829592108</v>
      </c>
      <c r="F19" s="5">
        <f>IF(D19=0,Input!$B$21+Input!$B$24+Input!$B$27,0)</f>
        <v>2400</v>
      </c>
      <c r="G19" s="5">
        <f>'Primary Details - Actual'!I19</f>
        <v>0</v>
      </c>
      <c r="H19" s="5">
        <f>IF(D19=1,'Primary Details - Actual'!O19,0)</f>
        <v>0</v>
      </c>
      <c r="I19" s="5">
        <f t="shared" si="0"/>
        <v>369405.25829592108</v>
      </c>
      <c r="J19" s="5"/>
      <c r="K19" s="5">
        <f>E19-'Primary Details - Actual'!G19</f>
        <v>157153.6424504724</v>
      </c>
      <c r="L19" s="5"/>
      <c r="M19" s="8"/>
      <c r="N19" s="8"/>
      <c r="O19" s="8"/>
    </row>
    <row r="20" spans="1:15" x14ac:dyDescent="0.25">
      <c r="A20" s="4">
        <f t="shared" si="1"/>
        <v>19</v>
      </c>
      <c r="B20" s="4" t="str">
        <f>IF(C20&gt;=Input!$B$5,C20-Input!$B$5,"")</f>
        <v/>
      </c>
      <c r="C20" s="4">
        <f t="shared" si="2"/>
        <v>43</v>
      </c>
      <c r="D20" s="4">
        <f>IF(C20&lt;Input!$B$5,0,IF(AND(C20&gt;=Input!$B$5,C20&lt;Input!$B$5+Input!$B$6),1,2))</f>
        <v>0</v>
      </c>
      <c r="E20" s="5">
        <f>IF(OR(I19&lt;0,D20=2),0,I19*(1+Input!$B$56))</f>
        <v>373026.87847529282</v>
      </c>
      <c r="F20" s="5">
        <f>IF(D20=0,Input!$B$21+Input!$B$24+Input!$B$27,0)</f>
        <v>2400</v>
      </c>
      <c r="G20" s="5">
        <f>'Primary Details - Actual'!I20</f>
        <v>0</v>
      </c>
      <c r="H20" s="5">
        <f>IF(D20=1,'Primary Details - Actual'!O20,0)</f>
        <v>0</v>
      </c>
      <c r="I20" s="5">
        <f t="shared" si="0"/>
        <v>375426.87847529282</v>
      </c>
      <c r="J20" s="5"/>
      <c r="K20" s="5">
        <f>E20-'Primary Details - Actual'!G20</f>
        <v>158694.36443528091</v>
      </c>
      <c r="L20" s="5"/>
      <c r="M20" s="8"/>
      <c r="N20" s="8"/>
      <c r="O20" s="8"/>
    </row>
    <row r="21" spans="1:15" x14ac:dyDescent="0.25">
      <c r="A21" s="4">
        <f t="shared" si="1"/>
        <v>20</v>
      </c>
      <c r="B21" s="4" t="str">
        <f>IF(C21&gt;=Input!$B$5,C21-Input!$B$5,"")</f>
        <v/>
      </c>
      <c r="C21" s="4">
        <f t="shared" si="2"/>
        <v>44</v>
      </c>
      <c r="D21" s="4">
        <f>IF(C21&lt;Input!$B$5,0,IF(AND(C21&gt;=Input!$B$5,C21&lt;Input!$B$5+Input!$B$6),1,2))</f>
        <v>0</v>
      </c>
      <c r="E21" s="5">
        <f>IF(OR(I20&lt;0,D21=2),0,I20*(1+Input!$B$56))</f>
        <v>379107.5341466192</v>
      </c>
      <c r="F21" s="5">
        <f>IF(D21=0,Input!$B$21+Input!$B$24+Input!$B$27,0)</f>
        <v>2400</v>
      </c>
      <c r="G21" s="5">
        <f>'Primary Details - Actual'!I21</f>
        <v>0</v>
      </c>
      <c r="H21" s="5">
        <f>IF(D21=1,'Primary Details - Actual'!O21,0)</f>
        <v>0</v>
      </c>
      <c r="I21" s="5">
        <f t="shared" si="0"/>
        <v>381507.5341466192</v>
      </c>
      <c r="J21" s="5"/>
      <c r="K21" s="5">
        <f>E21-'Primary Details - Actual'!G21</f>
        <v>160250.19153758758</v>
      </c>
      <c r="L21" s="5"/>
      <c r="M21" s="8"/>
      <c r="N21" s="8"/>
      <c r="O21" s="8"/>
    </row>
    <row r="22" spans="1:15" x14ac:dyDescent="0.25">
      <c r="A22" s="4">
        <f t="shared" si="1"/>
        <v>21</v>
      </c>
      <c r="B22" s="4" t="str">
        <f>IF(C22&gt;=Input!$B$5,C22-Input!$B$5,"")</f>
        <v/>
      </c>
      <c r="C22" s="4">
        <f t="shared" si="2"/>
        <v>45</v>
      </c>
      <c r="D22" s="4">
        <f>IF(C22&lt;Input!$B$5,0,IF(AND(C22&gt;=Input!$B$5,C22&lt;Input!$B$5+Input!$B$6),1,2))</f>
        <v>0</v>
      </c>
      <c r="E22" s="5">
        <f>IF(OR(I21&lt;0,D22=2),0,I21*(1+Input!$B$56))</f>
        <v>385247.8040892331</v>
      </c>
      <c r="F22" s="5">
        <f>IF(D22=0,Input!$B$21+Input!$B$24+Input!$B$27,0)</f>
        <v>2400</v>
      </c>
      <c r="G22" s="5">
        <f>'Primary Details - Actual'!I22</f>
        <v>0</v>
      </c>
      <c r="H22" s="5">
        <f>IF(D22=1,'Primary Details - Actual'!O22,0)</f>
        <v>0</v>
      </c>
      <c r="I22" s="5">
        <f t="shared" si="0"/>
        <v>387647.8040892331</v>
      </c>
      <c r="J22" s="5"/>
      <c r="K22" s="5">
        <f>E22-'Primary Details - Actual'!G22</f>
        <v>161821.27184677962</v>
      </c>
      <c r="L22" s="5"/>
      <c r="M22" s="8"/>
      <c r="N22" s="8"/>
      <c r="O22" s="8"/>
    </row>
    <row r="23" spans="1:15" x14ac:dyDescent="0.25">
      <c r="A23" s="4">
        <f t="shared" si="1"/>
        <v>22</v>
      </c>
      <c r="B23" s="4" t="str">
        <f>IF(C23&gt;=Input!$B$5,C23-Input!$B$5,"")</f>
        <v/>
      </c>
      <c r="C23" s="4">
        <f t="shared" si="2"/>
        <v>46</v>
      </c>
      <c r="D23" s="4">
        <f>IF(C23&lt;Input!$B$5,0,IF(AND(C23&gt;=Input!$B$5,C23&lt;Input!$B$5+Input!$B$6),1,2))</f>
        <v>0</v>
      </c>
      <c r="E23" s="5">
        <f>IF(OR(I22&lt;0,D23=2),0,I22*(1+Input!$B$56))</f>
        <v>391448.27275677462</v>
      </c>
      <c r="F23" s="5">
        <f>IF(D23=0,Input!$B$21+Input!$B$24+Input!$B$27,0)</f>
        <v>2400</v>
      </c>
      <c r="G23" s="5">
        <f>'Primary Details - Actual'!I23</f>
        <v>0</v>
      </c>
      <c r="H23" s="5">
        <f>IF(D23=1,'Primary Details - Actual'!O23,0)</f>
        <v>0</v>
      </c>
      <c r="I23" s="5">
        <f t="shared" si="0"/>
        <v>393848.27275677462</v>
      </c>
      <c r="J23" s="5"/>
      <c r="K23" s="5">
        <f>E23-'Primary Details - Actual'!G23</f>
        <v>163407.75490410102</v>
      </c>
      <c r="L23" s="5"/>
      <c r="M23" s="8"/>
      <c r="N23" s="8"/>
      <c r="O23" s="8"/>
    </row>
    <row r="24" spans="1:15" x14ac:dyDescent="0.25">
      <c r="A24" s="4">
        <f t="shared" si="1"/>
        <v>23</v>
      </c>
      <c r="B24" s="4" t="str">
        <f>IF(C24&gt;=Input!$B$5,C24-Input!$B$5,"")</f>
        <v/>
      </c>
      <c r="C24" s="4">
        <f t="shared" si="2"/>
        <v>47</v>
      </c>
      <c r="D24" s="4">
        <f>IF(C24&lt;Input!$B$5,0,IF(AND(C24&gt;=Input!$B$5,C24&lt;Input!$B$5+Input!$B$6),1,2))</f>
        <v>0</v>
      </c>
      <c r="E24" s="5">
        <f>IF(OR(I23&lt;0,D24=2),0,I23*(1+Input!$B$56))</f>
        <v>397709.53033282142</v>
      </c>
      <c r="F24" s="5">
        <f>IF(D24=0,Input!$B$21+Input!$B$24+Input!$B$27,0)</f>
        <v>2400</v>
      </c>
      <c r="G24" s="5">
        <f>'Primary Details - Actual'!I24</f>
        <v>0</v>
      </c>
      <c r="H24" s="5">
        <f>IF(D24=1,'Primary Details - Actual'!O24,0)</f>
        <v>0</v>
      </c>
      <c r="I24" s="5">
        <f t="shared" si="0"/>
        <v>400109.53033282142</v>
      </c>
      <c r="J24" s="5"/>
      <c r="K24" s="5">
        <f>E24-'Primary Details - Actual'!G24</f>
        <v>165009.79171688634</v>
      </c>
      <c r="L24" s="5"/>
      <c r="M24" s="8"/>
      <c r="N24" s="8"/>
      <c r="O24" s="8"/>
    </row>
    <row r="25" spans="1:15" x14ac:dyDescent="0.25">
      <c r="A25" s="4">
        <f t="shared" si="1"/>
        <v>24</v>
      </c>
      <c r="B25" s="4" t="str">
        <f>IF(C25&gt;=Input!$B$5,C25-Input!$B$5,"")</f>
        <v/>
      </c>
      <c r="C25" s="4">
        <f t="shared" si="2"/>
        <v>48</v>
      </c>
      <c r="D25" s="4">
        <f>IF(C25&lt;Input!$B$5,0,IF(AND(C25&gt;=Input!$B$5,C25&lt;Input!$B$5+Input!$B$6),1,2))</f>
        <v>0</v>
      </c>
      <c r="E25" s="5">
        <f>IF(OR(I24&lt;0,D25=2),0,I24*(1+Input!$B$56))</f>
        <v>404032.17278706474</v>
      </c>
      <c r="F25" s="5">
        <f>IF(D25=0,Input!$B$21+Input!$B$24+Input!$B$27,0)</f>
        <v>2400</v>
      </c>
      <c r="G25" s="5">
        <f>'Primary Details - Actual'!I25</f>
        <v>0</v>
      </c>
      <c r="H25" s="5">
        <f>IF(D25=1,'Primary Details - Actual'!O25,0)</f>
        <v>0</v>
      </c>
      <c r="I25" s="5">
        <f t="shared" si="0"/>
        <v>406432.17278706474</v>
      </c>
      <c r="J25" s="5"/>
      <c r="K25" s="5">
        <f>E25-'Primary Details - Actual'!G25</f>
        <v>166627.53477293422</v>
      </c>
      <c r="L25" s="5"/>
      <c r="M25" s="8"/>
      <c r="N25" s="8"/>
      <c r="O25" s="8"/>
    </row>
    <row r="26" spans="1:15" x14ac:dyDescent="0.25">
      <c r="A26" s="4">
        <f t="shared" si="1"/>
        <v>25</v>
      </c>
      <c r="B26" s="4" t="str">
        <f>IF(C26&gt;=Input!$B$5,C26-Input!$B$5,"")</f>
        <v/>
      </c>
      <c r="C26" s="4">
        <f t="shared" si="2"/>
        <v>49</v>
      </c>
      <c r="D26" s="4">
        <f>IF(C26&lt;Input!$B$5,0,IF(AND(C26&gt;=Input!$B$5,C26&lt;Input!$B$5+Input!$B$6),1,2))</f>
        <v>0</v>
      </c>
      <c r="E26" s="5">
        <f>IF(OR(I25&lt;0,D26=2),0,I25*(1+Input!$B$56))</f>
        <v>410416.80193203595</v>
      </c>
      <c r="F26" s="5">
        <f>IF(D26=0,Input!$B$21+Input!$B$24+Input!$B$27,0)</f>
        <v>2400</v>
      </c>
      <c r="G26" s="5">
        <f>'Primary Details - Actual'!I26</f>
        <v>0</v>
      </c>
      <c r="H26" s="5">
        <f>IF(D26=1,'Primary Details - Actual'!O26,0)</f>
        <v>0</v>
      </c>
      <c r="I26" s="5">
        <f t="shared" si="0"/>
        <v>412816.80193203595</v>
      </c>
      <c r="J26" s="5"/>
      <c r="K26" s="5">
        <f>E26-'Primary Details - Actual'!G26</f>
        <v>168261.13805502179</v>
      </c>
      <c r="L26" s="5"/>
      <c r="M26" s="8"/>
      <c r="N26" s="8"/>
      <c r="O26" s="8"/>
    </row>
    <row r="27" spans="1:15" x14ac:dyDescent="0.25">
      <c r="A27" s="4">
        <f t="shared" si="1"/>
        <v>26</v>
      </c>
      <c r="B27" s="4" t="str">
        <f>IF(C27&gt;=Input!$B$5,C27-Input!$B$5,"")</f>
        <v/>
      </c>
      <c r="C27" s="4">
        <f t="shared" si="2"/>
        <v>50</v>
      </c>
      <c r="D27" s="4">
        <f>IF(C27&lt;Input!$B$5,0,IF(AND(C27&gt;=Input!$B$5,C27&lt;Input!$B$5+Input!$B$6),1,2))</f>
        <v>0</v>
      </c>
      <c r="E27" s="5">
        <f>IF(OR(I26&lt;0,D27=2),0,I26*(1+Input!$B$56))</f>
        <v>416864.02548038925</v>
      </c>
      <c r="F27" s="5">
        <f>IF(D27=0,Input!$B$21+Input!$B$24+Input!$B$27,0)</f>
        <v>2400</v>
      </c>
      <c r="G27" s="5">
        <f>'Primary Details - Actual'!I27</f>
        <v>0</v>
      </c>
      <c r="H27" s="5">
        <f>IF(D27=1,'Primary Details - Actual'!O27,0)</f>
        <v>0</v>
      </c>
      <c r="I27" s="5">
        <f t="shared" si="0"/>
        <v>419264.02548038925</v>
      </c>
      <c r="J27" s="5"/>
      <c r="K27" s="5">
        <f>E27-'Primary Details - Actual'!G27</f>
        <v>169910.75705556123</v>
      </c>
      <c r="L27" s="5"/>
      <c r="M27" s="8"/>
      <c r="N27" s="8"/>
      <c r="O27" s="8"/>
    </row>
    <row r="28" spans="1:15" x14ac:dyDescent="0.25">
      <c r="A28" s="4">
        <f t="shared" si="1"/>
        <v>27</v>
      </c>
      <c r="B28" s="4" t="str">
        <f>IF(C28&gt;=Input!$B$5,C28-Input!$B$5,"")</f>
        <v/>
      </c>
      <c r="C28" s="4">
        <f t="shared" si="2"/>
        <v>51</v>
      </c>
      <c r="D28" s="4">
        <f>IF(C28&lt;Input!$B$5,0,IF(AND(C28&gt;=Input!$B$5,C28&lt;Input!$B$5+Input!$B$6),1,2))</f>
        <v>0</v>
      </c>
      <c r="E28" s="5">
        <f>IF(OR(I27&lt;0,D28=2),0,I27*(1+Input!$B$56))</f>
        <v>423374.457102746</v>
      </c>
      <c r="F28" s="5">
        <f>IF(D28=0,Input!$B$21+Input!$B$24+Input!$B$27,0)</f>
        <v>2400</v>
      </c>
      <c r="G28" s="5">
        <f>'Primary Details - Actual'!I28</f>
        <v>0</v>
      </c>
      <c r="H28" s="5">
        <f>IF(D28=1,'Primary Details - Actual'!O28,0)</f>
        <v>0</v>
      </c>
      <c r="I28" s="5">
        <f t="shared" si="0"/>
        <v>425774.457102746</v>
      </c>
      <c r="J28" s="5"/>
      <c r="K28" s="5">
        <f>E28-'Primary Details - Actual'!G28</f>
        <v>171576.54879140007</v>
      </c>
      <c r="L28" s="5"/>
      <c r="M28" s="8"/>
      <c r="N28" s="8"/>
      <c r="O28" s="8"/>
    </row>
    <row r="29" spans="1:15" x14ac:dyDescent="0.25">
      <c r="A29" s="4">
        <f t="shared" si="1"/>
        <v>28</v>
      </c>
      <c r="B29" s="4" t="str">
        <f>IF(C29&gt;=Input!$B$5,C29-Input!$B$5,"")</f>
        <v/>
      </c>
      <c r="C29" s="4">
        <f t="shared" si="2"/>
        <v>52</v>
      </c>
      <c r="D29" s="4">
        <f>IF(C29&lt;Input!$B$5,0,IF(AND(C29&gt;=Input!$B$5,C29&lt;Input!$B$5+Input!$B$6),1,2))</f>
        <v>0</v>
      </c>
      <c r="E29" s="5">
        <f>IF(OR(I28&lt;0,D29=2),0,I28*(1+Input!$B$56))</f>
        <v>429948.71648610622</v>
      </c>
      <c r="F29" s="5">
        <f>IF(D29=0,Input!$B$21+Input!$B$24+Input!$B$27,0)</f>
        <v>2400</v>
      </c>
      <c r="G29" s="5">
        <f>'Primary Details - Actual'!I29</f>
        <v>0</v>
      </c>
      <c r="H29" s="5">
        <f>IF(D29=1,'Primary Details - Actual'!O29,0)</f>
        <v>0</v>
      </c>
      <c r="I29" s="5">
        <f t="shared" si="0"/>
        <v>432348.71648610622</v>
      </c>
      <c r="J29" s="5"/>
      <c r="K29" s="5">
        <f>E29-'Primary Details - Actual'!G29</f>
        <v>173258.67181876671</v>
      </c>
      <c r="L29" s="5"/>
      <c r="M29" s="8"/>
      <c r="N29" s="8"/>
      <c r="O29" s="8"/>
    </row>
    <row r="30" spans="1:15" x14ac:dyDescent="0.25">
      <c r="A30" s="4">
        <f t="shared" si="1"/>
        <v>29</v>
      </c>
      <c r="B30" s="4" t="str">
        <f>IF(C30&gt;=Input!$B$5,C30-Input!$B$5,"")</f>
        <v/>
      </c>
      <c r="C30" s="4">
        <f t="shared" si="2"/>
        <v>53</v>
      </c>
      <c r="D30" s="4">
        <f>IF(C30&lt;Input!$B$5,0,IF(AND(C30&gt;=Input!$B$5,C30&lt;Input!$B$5+Input!$B$6),1,2))</f>
        <v>0</v>
      </c>
      <c r="E30" s="5">
        <f>IF(OR(I29&lt;0,D30=2),0,I29*(1+Input!$B$56))</f>
        <v>436587.42939283274</v>
      </c>
      <c r="F30" s="5">
        <f>IF(D30=0,Input!$B$21+Input!$B$24+Input!$B$27,0)</f>
        <v>2400</v>
      </c>
      <c r="G30" s="5">
        <f>'Primary Details - Actual'!I30</f>
        <v>0</v>
      </c>
      <c r="H30" s="5">
        <f>IF(D30=1,'Primary Details - Actual'!O30,0)</f>
        <v>0</v>
      </c>
      <c r="I30" s="5">
        <f t="shared" si="0"/>
        <v>438987.42939283274</v>
      </c>
      <c r="J30" s="5"/>
      <c r="K30" s="5">
        <f>E30-'Primary Details - Actual'!G30</f>
        <v>174957.28624836245</v>
      </c>
      <c r="L30" s="5"/>
      <c r="M30" s="8"/>
      <c r="N30" s="8"/>
      <c r="O30" s="8"/>
    </row>
    <row r="31" spans="1:15" x14ac:dyDescent="0.25">
      <c r="A31" s="4">
        <f t="shared" si="1"/>
        <v>30</v>
      </c>
      <c r="B31" s="4" t="str">
        <f>IF(C31&gt;=Input!$B$5,C31-Input!$B$5,"")</f>
        <v/>
      </c>
      <c r="C31" s="4">
        <f t="shared" si="2"/>
        <v>54</v>
      </c>
      <c r="D31" s="4">
        <f>IF(C31&lt;Input!$B$5,0,IF(AND(C31&gt;=Input!$B$5,C31&lt;Input!$B$5+Input!$B$6),1,2))</f>
        <v>0</v>
      </c>
      <c r="E31" s="5">
        <f>IF(OR(I30&lt;0,D31=2),0,I30*(1+Input!$B$56))</f>
        <v>443291.22772021341</v>
      </c>
      <c r="F31" s="5">
        <f>IF(D31=0,Input!$B$21+Input!$B$24+Input!$B$27,0)</f>
        <v>2400</v>
      </c>
      <c r="G31" s="5">
        <f>'Primary Details - Actual'!I31</f>
        <v>0</v>
      </c>
      <c r="H31" s="5">
        <f>IF(D31=1,'Primary Details - Actual'!O31,0)</f>
        <v>0</v>
      </c>
      <c r="I31" s="5">
        <f t="shared" si="0"/>
        <v>445691.22772021341</v>
      </c>
      <c r="J31" s="5"/>
      <c r="K31" s="5">
        <f>E31-'Primary Details - Actual'!G31</f>
        <v>176672.55376060127</v>
      </c>
      <c r="L31" s="5"/>
      <c r="M31" s="8"/>
      <c r="N31" s="8"/>
      <c r="O31" s="8"/>
    </row>
    <row r="32" spans="1:15" x14ac:dyDescent="0.25">
      <c r="A32" s="4">
        <f t="shared" si="1"/>
        <v>31</v>
      </c>
      <c r="B32" s="4" t="str">
        <f>IF(C32&gt;=Input!$B$5,C32-Input!$B$5,"")</f>
        <v/>
      </c>
      <c r="C32" s="4">
        <f t="shared" si="2"/>
        <v>55</v>
      </c>
      <c r="D32" s="4">
        <f>IF(C32&lt;Input!$B$5,0,IF(AND(C32&gt;=Input!$B$5,C32&lt;Input!$B$5+Input!$B$6),1,2))</f>
        <v>0</v>
      </c>
      <c r="E32" s="5">
        <f>IF(OR(I31&lt;0,D32=2),0,I31*(1+Input!$B$56))</f>
        <v>450060.74956060766</v>
      </c>
      <c r="F32" s="5">
        <f>IF(D32=0,Input!$B$21+Input!$B$24+Input!$B$27,0)</f>
        <v>2400</v>
      </c>
      <c r="G32" s="5">
        <f>'Primary Details - Actual'!I32</f>
        <v>0</v>
      </c>
      <c r="H32" s="5">
        <f>IF(D32=1,'Primary Details - Actual'!O32,0)</f>
        <v>0</v>
      </c>
      <c r="I32" s="5">
        <f t="shared" si="0"/>
        <v>452460.74956060766</v>
      </c>
      <c r="J32" s="5"/>
      <c r="K32" s="5">
        <f>E32-'Primary Details - Actual'!G32</f>
        <v>178404.6376209993</v>
      </c>
      <c r="L32" s="5"/>
      <c r="M32" s="8"/>
      <c r="N32" s="8"/>
      <c r="O32" s="8"/>
    </row>
    <row r="33" spans="1:15" x14ac:dyDescent="0.25">
      <c r="A33" s="4">
        <f t="shared" si="1"/>
        <v>32</v>
      </c>
      <c r="B33" s="4" t="str">
        <f>IF(C33&gt;=Input!$B$5,C33-Input!$B$5,"")</f>
        <v/>
      </c>
      <c r="C33" s="4">
        <f t="shared" si="2"/>
        <v>56</v>
      </c>
      <c r="D33" s="4">
        <f>IF(C33&lt;Input!$B$5,0,IF(AND(C33&gt;=Input!$B$5,C33&lt;Input!$B$5+Input!$B$6),1,2))</f>
        <v>0</v>
      </c>
      <c r="E33" s="5">
        <f>IF(OR(I32&lt;0,D33=2),0,I32*(1+Input!$B$56))</f>
        <v>456896.63926218223</v>
      </c>
      <c r="F33" s="5">
        <f>IF(D33=0,Input!$B$21+Input!$B$24+Input!$B$27,0)</f>
        <v>2400</v>
      </c>
      <c r="G33" s="5">
        <f>'Primary Details - Actual'!I33</f>
        <v>0</v>
      </c>
      <c r="H33" s="5">
        <f>IF(D33=1,'Primary Details - Actual'!O33,0)</f>
        <v>0</v>
      </c>
      <c r="I33" s="5">
        <f t="shared" si="0"/>
        <v>459296.63926218223</v>
      </c>
      <c r="J33" s="5"/>
      <c r="K33" s="5">
        <f>E33-'Primary Details - Actual'!G33</f>
        <v>180153.70269571501</v>
      </c>
      <c r="L33" s="5"/>
      <c r="M33" s="8"/>
      <c r="N33" s="8"/>
      <c r="O33" s="8"/>
    </row>
    <row r="34" spans="1:15" x14ac:dyDescent="0.25">
      <c r="A34" s="4">
        <f t="shared" si="1"/>
        <v>33</v>
      </c>
      <c r="B34" s="4" t="str">
        <f>IF(C34&gt;=Input!$B$5,C34-Input!$B$5,"")</f>
        <v/>
      </c>
      <c r="C34" s="4">
        <f t="shared" si="2"/>
        <v>57</v>
      </c>
      <c r="D34" s="4">
        <f>IF(C34&lt;Input!$B$5,0,IF(AND(C34&gt;=Input!$B$5,C34&lt;Input!$B$5+Input!$B$6),1,2))</f>
        <v>0</v>
      </c>
      <c r="E34" s="5">
        <f>IF(OR(I33&lt;0,D34=2),0,I33*(1+Input!$B$56))</f>
        <v>463799.54749024281</v>
      </c>
      <c r="F34" s="5">
        <f>IF(D34=0,Input!$B$21+Input!$B$24+Input!$B$27,0)</f>
        <v>2400</v>
      </c>
      <c r="G34" s="5">
        <f>'Primary Details - Actual'!I34</f>
        <v>0</v>
      </c>
      <c r="H34" s="5">
        <f>IF(D34=1,'Primary Details - Actual'!O34,0)</f>
        <v>0</v>
      </c>
      <c r="I34" s="5">
        <f t="shared" si="0"/>
        <v>466199.54749024281</v>
      </c>
      <c r="J34" s="5"/>
      <c r="K34" s="5">
        <f>E34-'Primary Details - Actual'!G34</f>
        <v>181919.9154672416</v>
      </c>
      <c r="L34" s="5"/>
      <c r="M34" s="8"/>
      <c r="N34" s="8"/>
      <c r="O34" s="8"/>
    </row>
    <row r="35" spans="1:15" x14ac:dyDescent="0.25">
      <c r="A35" s="4">
        <f t="shared" si="1"/>
        <v>34</v>
      </c>
      <c r="B35" s="4" t="str">
        <f>IF(C35&gt;=Input!$B$5,C35-Input!$B$5,"")</f>
        <v/>
      </c>
      <c r="C35" s="4">
        <f t="shared" si="2"/>
        <v>58</v>
      </c>
      <c r="D35" s="4">
        <f>IF(C35&lt;Input!$B$5,0,IF(AND(C35&gt;=Input!$B$5,C35&lt;Input!$B$5+Input!$B$6),1,2))</f>
        <v>0</v>
      </c>
      <c r="E35" s="5">
        <f>IF(OR(I34&lt;0,D35=2),0,I34*(1+Input!$B$56))</f>
        <v>470770.13128916675</v>
      </c>
      <c r="F35" s="5">
        <f>IF(D35=0,Input!$B$21+Input!$B$24+Input!$B$27,0)</f>
        <v>2400</v>
      </c>
      <c r="G35" s="5">
        <f>'Primary Details - Actual'!I35</f>
        <v>0</v>
      </c>
      <c r="H35" s="5">
        <f>IF(D35=1,'Primary Details - Actual'!O35,0)</f>
        <v>0</v>
      </c>
      <c r="I35" s="5">
        <f t="shared" ref="I35:I66" si="3">IF(D35=2,I34,E35+F35-H35)</f>
        <v>473170.13128916675</v>
      </c>
      <c r="J35" s="5"/>
      <c r="K35" s="5">
        <f>E35-'Primary Details - Actual'!G35</f>
        <v>183703.44405025378</v>
      </c>
      <c r="L35" s="5"/>
      <c r="M35" s="8"/>
      <c r="N35" s="8"/>
      <c r="O35" s="8"/>
    </row>
    <row r="36" spans="1:15" x14ac:dyDescent="0.25">
      <c r="A36" s="4">
        <f t="shared" si="1"/>
        <v>35</v>
      </c>
      <c r="B36" s="4" t="str">
        <f>IF(C36&gt;=Input!$B$5,C36-Input!$B$5,"")</f>
        <v/>
      </c>
      <c r="C36" s="4">
        <f t="shared" si="2"/>
        <v>59</v>
      </c>
      <c r="D36" s="4">
        <f>IF(C36&lt;Input!$B$5,0,IF(AND(C36&gt;=Input!$B$5,C36&lt;Input!$B$5+Input!$B$6),1,2))</f>
        <v>0</v>
      </c>
      <c r="E36" s="5">
        <f>IF(OR(I35&lt;0,D36=2),0,I35*(1+Input!$B$56))</f>
        <v>477809.0541449429</v>
      </c>
      <c r="F36" s="5">
        <f>IF(D36=0,Input!$B$21+Input!$B$24+Input!$B$27,0)</f>
        <v>2400</v>
      </c>
      <c r="G36" s="5">
        <f>'Primary Details - Actual'!I36</f>
        <v>0</v>
      </c>
      <c r="H36" s="5">
        <f>IF(D36=1,'Primary Details - Actual'!O36,0)</f>
        <v>0</v>
      </c>
      <c r="I36" s="5">
        <f t="shared" si="3"/>
        <v>480209.0541449429</v>
      </c>
      <c r="J36" s="5"/>
      <c r="K36" s="5">
        <f>E36-'Primary Details - Actual'!G36</f>
        <v>185504.45820760925</v>
      </c>
      <c r="L36" s="5"/>
      <c r="M36" s="8"/>
      <c r="N36" s="8"/>
      <c r="O36" s="8"/>
    </row>
    <row r="37" spans="1:15" x14ac:dyDescent="0.25">
      <c r="A37" s="4">
        <f t="shared" si="1"/>
        <v>36</v>
      </c>
      <c r="B37" s="4" t="str">
        <f>IF(C37&gt;=Input!$B$5,C37-Input!$B$5,"")</f>
        <v/>
      </c>
      <c r="C37" s="4">
        <f t="shared" si="2"/>
        <v>60</v>
      </c>
      <c r="D37" s="4">
        <f>IF(C37&lt;Input!$B$5,0,IF(AND(C37&gt;=Input!$B$5,C37&lt;Input!$B$5+Input!$B$6),1,2))</f>
        <v>0</v>
      </c>
      <c r="E37" s="5">
        <f>IF(OR(I36&lt;0,D37=2),0,I36*(1+Input!$B$56))</f>
        <v>484916.98604832467</v>
      </c>
      <c r="F37" s="5">
        <f>IF(D37=0,Input!$B$21+Input!$B$24+Input!$B$27,0)</f>
        <v>2400</v>
      </c>
      <c r="G37" s="5">
        <f>'Primary Details - Actual'!I37</f>
        <v>0</v>
      </c>
      <c r="H37" s="5">
        <f>IF(D37=1,'Primary Details - Actual'!O37,0)</f>
        <v>0</v>
      </c>
      <c r="I37" s="5">
        <f t="shared" si="3"/>
        <v>487316.98604832467</v>
      </c>
      <c r="J37" s="5"/>
      <c r="K37" s="5">
        <f>E37-'Primary Details - Actual'!G37</f>
        <v>187323.12936650735</v>
      </c>
      <c r="L37" s="5"/>
      <c r="M37" s="8"/>
      <c r="N37" s="8"/>
      <c r="O37" s="8"/>
    </row>
    <row r="38" spans="1:15" x14ac:dyDescent="0.25">
      <c r="A38" s="4">
        <f t="shared" si="1"/>
        <v>37</v>
      </c>
      <c r="B38" s="4" t="str">
        <f>IF(C38&gt;=Input!$B$5,C38-Input!$B$5,"")</f>
        <v/>
      </c>
      <c r="C38" s="4">
        <f t="shared" si="2"/>
        <v>61</v>
      </c>
      <c r="D38" s="4">
        <f>IF(C38&lt;Input!$B$5,0,IF(AND(C38&gt;=Input!$B$5,C38&lt;Input!$B$5+Input!$B$6),1,2))</f>
        <v>0</v>
      </c>
      <c r="E38" s="5">
        <f>IF(OR(I37&lt;0,D38=2),0,I37*(1+Input!$B$56))</f>
        <v>492094.60355860234</v>
      </c>
      <c r="F38" s="5">
        <f>IF(D38=0,Input!$B$21+Input!$B$24+Input!$B$27,0)</f>
        <v>2400</v>
      </c>
      <c r="G38" s="5">
        <f>'Primary Details - Actual'!I38</f>
        <v>0</v>
      </c>
      <c r="H38" s="5">
        <f>IF(D38=1,'Primary Details - Actual'!O38,0)</f>
        <v>0</v>
      </c>
      <c r="I38" s="5">
        <f t="shared" si="3"/>
        <v>494494.60355860234</v>
      </c>
      <c r="J38" s="5"/>
      <c r="K38" s="5">
        <f>E38-'Primary Details - Actual'!G38</f>
        <v>189159.63063480641</v>
      </c>
      <c r="L38" s="5"/>
      <c r="M38" s="8"/>
      <c r="N38" s="8"/>
      <c r="O38" s="8"/>
    </row>
    <row r="39" spans="1:15" x14ac:dyDescent="0.25">
      <c r="A39" s="4">
        <f t="shared" si="1"/>
        <v>38</v>
      </c>
      <c r="B39" s="4" t="str">
        <f>IF(C39&gt;=Input!$B$5,C39-Input!$B$5,"")</f>
        <v/>
      </c>
      <c r="C39" s="4">
        <f>C38+1</f>
        <v>62</v>
      </c>
      <c r="D39" s="4">
        <f>IF(C39&lt;Input!$B$5,0,IF(AND(C39&gt;=Input!$B$5,C39&lt;Input!$B$5+Input!$B$6),1,2))</f>
        <v>0</v>
      </c>
      <c r="E39" s="5">
        <f>IF(OR(I38&lt;0,D39=2),0,I38*(1+Input!$B$56))</f>
        <v>499342.58986800036</v>
      </c>
      <c r="F39" s="5">
        <f>IF(D39=0,Input!$B$21+Input!$B$24+Input!$B$27,0)</f>
        <v>2400</v>
      </c>
      <c r="G39" s="5">
        <f>'Primary Details - Actual'!I39</f>
        <v>0</v>
      </c>
      <c r="H39" s="5">
        <f>IF(D39=1,'Primary Details - Actual'!O39,0)</f>
        <v>0</v>
      </c>
      <c r="I39" s="5">
        <f t="shared" si="3"/>
        <v>501742.58986800036</v>
      </c>
      <c r="J39" s="5"/>
      <c r="K39" s="5">
        <f>E39-'Primary Details - Actual'!G39</f>
        <v>191014.13681750058</v>
      </c>
      <c r="L39" s="5"/>
      <c r="M39" s="8"/>
      <c r="N39" s="8"/>
      <c r="O39" s="8"/>
    </row>
    <row r="40" spans="1:15" x14ac:dyDescent="0.25">
      <c r="A40" s="4">
        <f t="shared" si="1"/>
        <v>39</v>
      </c>
      <c r="B40" s="4" t="str">
        <f>IF(C40&gt;=Input!$B$5,C40-Input!$B$5,"")</f>
        <v/>
      </c>
      <c r="C40" s="4">
        <f t="shared" si="2"/>
        <v>63</v>
      </c>
      <c r="D40" s="4">
        <f>IF(C40&lt;Input!$B$5,0,IF(AND(C40&gt;=Input!$B$5,C40&lt;Input!$B$5+Input!$B$6),1,2))</f>
        <v>0</v>
      </c>
      <c r="E40" s="5">
        <f>IF(OR(I39&lt;0,D40=2),0,I39*(1+Input!$B$56))</f>
        <v>506661.63486670621</v>
      </c>
      <c r="F40" s="5">
        <f>IF(D40=0,Input!$B$21+Input!$B$24+Input!$B$27,0)</f>
        <v>2400</v>
      </c>
      <c r="G40" s="5">
        <f>'Primary Details - Actual'!I40</f>
        <v>0</v>
      </c>
      <c r="H40" s="5">
        <f>IF(D40=1,'Primary Details - Actual'!O40,0)</f>
        <v>0</v>
      </c>
      <c r="I40" s="5">
        <f t="shared" si="3"/>
        <v>509061.63486670621</v>
      </c>
      <c r="J40" s="5"/>
      <c r="K40" s="5">
        <f>E40-'Primary Details - Actual'!G40</f>
        <v>192886.82443335839</v>
      </c>
      <c r="L40" s="5"/>
      <c r="M40" s="8"/>
      <c r="N40" s="8"/>
      <c r="O40" s="8"/>
    </row>
    <row r="41" spans="1:15" x14ac:dyDescent="0.25">
      <c r="A41" s="4">
        <f t="shared" si="1"/>
        <v>40</v>
      </c>
      <c r="B41" s="4" t="str">
        <f>IF(C41&gt;=Input!$B$5,C41-Input!$B$5,"")</f>
        <v/>
      </c>
      <c r="C41" s="4">
        <f t="shared" si="2"/>
        <v>64</v>
      </c>
      <c r="D41" s="4">
        <f>IF(C41&lt;Input!$B$5,0,IF(AND(C41&gt;=Input!$B$5,C41&lt;Input!$B$5+Input!$B$6),1,2))</f>
        <v>0</v>
      </c>
      <c r="E41" s="5">
        <f>IF(OR(I40&lt;0,D41=2),0,I40*(1+Input!$B$56))</f>
        <v>514052.43520853663</v>
      </c>
      <c r="F41" s="5">
        <f>IF(D41=0,Input!$B$21+Input!$B$24+Input!$B$27,0)</f>
        <v>2400</v>
      </c>
      <c r="G41" s="5">
        <f>'Primary Details - Actual'!I41</f>
        <v>0</v>
      </c>
      <c r="H41" s="5">
        <f>IF(D41=1,'Primary Details - Actual'!O41,0)</f>
        <v>0</v>
      </c>
      <c r="I41" s="5">
        <f t="shared" si="3"/>
        <v>516452.43520853663</v>
      </c>
      <c r="J41" s="5"/>
      <c r="K41" s="5">
        <f>E41-'Primary Details - Actual'!G41</f>
        <v>194777.87173172459</v>
      </c>
      <c r="L41" s="5"/>
      <c r="M41" s="8"/>
      <c r="N41" s="8"/>
      <c r="O41" s="8"/>
    </row>
    <row r="42" spans="1:15" x14ac:dyDescent="0.25">
      <c r="A42" s="4">
        <f t="shared" si="1"/>
        <v>41</v>
      </c>
      <c r="B42" s="4">
        <f>IF(C42&gt;=Input!$B$5,C42-Input!$B$5,"")</f>
        <v>0</v>
      </c>
      <c r="C42" s="4">
        <f t="shared" si="2"/>
        <v>65</v>
      </c>
      <c r="D42" s="4">
        <f>IF(C42&lt;Input!$B$5,0,IF(AND(C42&gt;=Input!$B$5,C42&lt;Input!$B$5+Input!$B$6),1,2))</f>
        <v>1</v>
      </c>
      <c r="E42" s="5">
        <f>IF(OR(I41&lt;0,D42=2),0,I41*(1+Input!$B$56))</f>
        <v>521515.69437724777</v>
      </c>
      <c r="F42" s="5">
        <f>IF(D42=0,Input!$B$21+Input!$B$24+Input!$B$27,0)</f>
        <v>0</v>
      </c>
      <c r="G42" s="5">
        <f>'Primary Details - Actual'!I42</f>
        <v>35000</v>
      </c>
      <c r="H42" s="5">
        <f>IF(D42=1,'Primary Details - Actual'!O42,0)</f>
        <v>21853.760000000002</v>
      </c>
      <c r="I42" s="5">
        <f t="shared" si="3"/>
        <v>499661.93437724776</v>
      </c>
      <c r="J42" s="5"/>
      <c r="K42" s="5">
        <f>E42-'Primary Details - Actual'!G42</f>
        <v>196687.45870948659</v>
      </c>
      <c r="L42" s="5"/>
      <c r="M42" s="8"/>
      <c r="N42" s="8"/>
      <c r="O42" s="8"/>
    </row>
    <row r="43" spans="1:15" x14ac:dyDescent="0.25">
      <c r="A43" s="4">
        <f t="shared" si="1"/>
        <v>42</v>
      </c>
      <c r="B43" s="4">
        <f>IF(C43&gt;=Input!$B$5,C43-Input!$B$5,"")</f>
        <v>1</v>
      </c>
      <c r="C43" s="4">
        <f t="shared" si="2"/>
        <v>66</v>
      </c>
      <c r="D43" s="4">
        <f>IF(C43&lt;Input!$B$5,0,IF(AND(C43&gt;=Input!$B$5,C43&lt;Input!$B$5+Input!$B$6),1,2))</f>
        <v>1</v>
      </c>
      <c r="E43" s="5">
        <f>IF(OR(I42&lt;0,D43=2),0,I42*(1+Input!$B$56))</f>
        <v>504560.58079271094</v>
      </c>
      <c r="F43" s="5">
        <f>IF(D43=0,Input!$B$21+Input!$B$24+Input!$B$27,0)</f>
        <v>0</v>
      </c>
      <c r="G43" s="5">
        <f>'Primary Details - Actual'!I43</f>
        <v>35000</v>
      </c>
      <c r="H43" s="5">
        <f>IF(D43=1,'Primary Details - Actual'!O43,0)</f>
        <v>21727.816470588234</v>
      </c>
      <c r="I43" s="5">
        <f t="shared" si="3"/>
        <v>482832.76432212273</v>
      </c>
      <c r="J43" s="5"/>
      <c r="K43" s="5">
        <f>E43-'Primary Details - Actual'!G43</f>
        <v>198615.76712820702</v>
      </c>
      <c r="L43" s="5"/>
      <c r="M43" s="8"/>
      <c r="N43" s="8"/>
      <c r="O43" s="8"/>
    </row>
    <row r="44" spans="1:15" x14ac:dyDescent="0.25">
      <c r="A44" s="4">
        <f t="shared" si="1"/>
        <v>43</v>
      </c>
      <c r="B44" s="4">
        <f>IF(C44&gt;=Input!$B$5,C44-Input!$B$5,"")</f>
        <v>2</v>
      </c>
      <c r="C44" s="4">
        <f t="shared" si="2"/>
        <v>67</v>
      </c>
      <c r="D44" s="4">
        <f>IF(C44&lt;Input!$B$5,0,IF(AND(C44&gt;=Input!$B$5,C44&lt;Input!$B$5+Input!$B$6),1,2))</f>
        <v>1</v>
      </c>
      <c r="E44" s="5">
        <f>IF(OR(I43&lt;0,D44=2),0,I43*(1+Input!$B$56))</f>
        <v>487566.41887430038</v>
      </c>
      <c r="F44" s="5">
        <f>IF(D44=0,Input!$B$21+Input!$B$24+Input!$B$27,0)</f>
        <v>0</v>
      </c>
      <c r="G44" s="5">
        <f>'Primary Details - Actual'!I44</f>
        <v>35000</v>
      </c>
      <c r="H44" s="5">
        <f>IF(D44=1,'Primary Details - Actual'!O44,0)</f>
        <v>21600.638200692043</v>
      </c>
      <c r="I44" s="5">
        <f t="shared" si="3"/>
        <v>465965.78067360836</v>
      </c>
      <c r="J44" s="5"/>
      <c r="K44" s="5">
        <f>E44-'Primary Details - Actual'!G44</f>
        <v>200562.98053142469</v>
      </c>
      <c r="L44" s="5"/>
      <c r="M44" s="8"/>
      <c r="N44" s="8"/>
      <c r="O44" s="8"/>
    </row>
    <row r="45" spans="1:15" x14ac:dyDescent="0.25">
      <c r="A45" s="4">
        <f t="shared" si="1"/>
        <v>44</v>
      </c>
      <c r="B45" s="4">
        <f>IF(C45&gt;=Input!$B$5,C45-Input!$B$5,"")</f>
        <v>3</v>
      </c>
      <c r="C45" s="4">
        <f t="shared" si="2"/>
        <v>68</v>
      </c>
      <c r="D45" s="4">
        <f>IF(C45&lt;Input!$B$5,0,IF(AND(C45&gt;=Input!$B$5,C45&lt;Input!$B$5+Input!$B$6),1,2))</f>
        <v>1</v>
      </c>
      <c r="E45" s="5">
        <f>IF(OR(I44&lt;0,D45=2),0,I44*(1+Input!$B$56))</f>
        <v>470534.07264099666</v>
      </c>
      <c r="F45" s="5">
        <f>IF(D45=0,Input!$B$21+Input!$B$24+Input!$B$27,0)</f>
        <v>0</v>
      </c>
      <c r="G45" s="5">
        <f>'Primary Details - Actual'!I45</f>
        <v>35000</v>
      </c>
      <c r="H45" s="5">
        <f>IF(D45=1,'Primary Details - Actual'!O45,0)</f>
        <v>21472.213085012554</v>
      </c>
      <c r="I45" s="5">
        <f t="shared" si="3"/>
        <v>449061.85955598409</v>
      </c>
      <c r="J45" s="5"/>
      <c r="K45" s="5">
        <f>E45-'Primary Details - Actual'!G45</f>
        <v>202529.28426212491</v>
      </c>
      <c r="L45" s="5"/>
      <c r="M45" s="8"/>
      <c r="N45" s="8"/>
      <c r="O45" s="8"/>
    </row>
    <row r="46" spans="1:15" x14ac:dyDescent="0.25">
      <c r="A46" s="4">
        <f t="shared" si="1"/>
        <v>45</v>
      </c>
      <c r="B46" s="4">
        <f>IF(C46&gt;=Input!$B$5,C46-Input!$B$5,"")</f>
        <v>4</v>
      </c>
      <c r="C46" s="4">
        <f t="shared" si="2"/>
        <v>69</v>
      </c>
      <c r="D46" s="4">
        <f>IF(C46&lt;Input!$B$5,0,IF(AND(C46&gt;=Input!$B$5,C46&lt;Input!$B$5+Input!$B$6),1,2))</f>
        <v>1</v>
      </c>
      <c r="E46" s="5">
        <f>IF(OR(I45&lt;0,D46=2),0,I45*(1+Input!$B$56))</f>
        <v>453464.42680653295</v>
      </c>
      <c r="F46" s="5">
        <f>IF(D46=0,Input!$B$21+Input!$B$24+Input!$B$27,0)</f>
        <v>0</v>
      </c>
      <c r="G46" s="5">
        <f>'Primary Details - Actual'!I46</f>
        <v>35000</v>
      </c>
      <c r="H46" s="5">
        <f>IF(D46=1,'Primary Details - Actual'!O46,0)</f>
        <v>21342.528899571502</v>
      </c>
      <c r="I46" s="5">
        <f t="shared" si="3"/>
        <v>432121.89790696144</v>
      </c>
      <c r="J46" s="5"/>
      <c r="K46" s="5">
        <f>E46-'Primary Details - Actual'!G46</f>
        <v>204514.86548038104</v>
      </c>
      <c r="L46" s="5"/>
      <c r="M46" s="8"/>
      <c r="N46" s="8"/>
      <c r="O46" s="8"/>
    </row>
    <row r="47" spans="1:15" x14ac:dyDescent="0.25">
      <c r="A47" s="4">
        <f t="shared" si="1"/>
        <v>46</v>
      </c>
      <c r="B47" s="4">
        <f>IF(C47&gt;=Input!$B$5,C47-Input!$B$5,"")</f>
        <v>5</v>
      </c>
      <c r="C47" s="4">
        <f t="shared" si="2"/>
        <v>70</v>
      </c>
      <c r="D47" s="4">
        <f>IF(C47&lt;Input!$B$5,0,IF(AND(C47&gt;=Input!$B$5,C47&lt;Input!$B$5+Input!$B$6),1,2))</f>
        <v>1</v>
      </c>
      <c r="E47" s="5">
        <f>IF(OR(I46&lt;0,D47=2),0,I46*(1+Input!$B$56))</f>
        <v>436358.38710212772</v>
      </c>
      <c r="F47" s="5">
        <f>IF(D47=0,Input!$B$21+Input!$B$24+Input!$B$27,0)</f>
        <v>0</v>
      </c>
      <c r="G47" s="5">
        <f>'Primary Details - Actual'!I47</f>
        <v>35000</v>
      </c>
      <c r="H47" s="5">
        <f>IF(D47=1,'Primary Details - Actual'!O47,0)</f>
        <v>21211.573300547694</v>
      </c>
      <c r="I47" s="5">
        <f t="shared" si="3"/>
        <v>415146.81380157999</v>
      </c>
      <c r="J47" s="5"/>
      <c r="K47" s="5">
        <f>E47-'Primary Details - Actual'!G47</f>
        <v>206519.91318116907</v>
      </c>
      <c r="L47" s="5"/>
      <c r="M47" s="8"/>
      <c r="N47" s="8"/>
      <c r="O47" s="8"/>
    </row>
    <row r="48" spans="1:15" x14ac:dyDescent="0.25">
      <c r="A48" s="4">
        <f t="shared" si="1"/>
        <v>47</v>
      </c>
      <c r="B48" s="4">
        <f>IF(C48&gt;=Input!$B$5,C48-Input!$B$5,"")</f>
        <v>6</v>
      </c>
      <c r="C48" s="4">
        <f t="shared" si="2"/>
        <v>71</v>
      </c>
      <c r="D48" s="4">
        <f>IF(C48&lt;Input!$B$5,0,IF(AND(C48&gt;=Input!$B$5,C48&lt;Input!$B$5+Input!$B$6),1,2))</f>
        <v>1</v>
      </c>
      <c r="E48" s="5">
        <f>IF(OR(I47&lt;0,D48=2),0,I47*(1+Input!$B$56))</f>
        <v>419216.88060355623</v>
      </c>
      <c r="F48" s="5">
        <f>IF(D48=0,Input!$B$21+Input!$B$24+Input!$B$27,0)</f>
        <v>0</v>
      </c>
      <c r="G48" s="5">
        <f>'Primary Details - Actual'!I48</f>
        <v>35000</v>
      </c>
      <c r="H48" s="5">
        <f>IF(D48=1,'Primary Details - Actual'!O48,0)</f>
        <v>21079.33382310209</v>
      </c>
      <c r="I48" s="5">
        <f t="shared" si="3"/>
        <v>398137.54678045411</v>
      </c>
      <c r="J48" s="5"/>
      <c r="K48" s="5">
        <f>E48-'Primary Details - Actual'!G48</f>
        <v>208544.61821235696</v>
      </c>
      <c r="L48" s="5"/>
      <c r="M48" s="8"/>
      <c r="N48" s="8"/>
      <c r="O48" s="8"/>
    </row>
    <row r="49" spans="1:15" x14ac:dyDescent="0.25">
      <c r="A49" s="4">
        <f t="shared" si="1"/>
        <v>48</v>
      </c>
      <c r="B49" s="4">
        <f>IF(C49&gt;=Input!$B$5,C49-Input!$B$5,"")</f>
        <v>7</v>
      </c>
      <c r="C49" s="4">
        <f t="shared" si="2"/>
        <v>72</v>
      </c>
      <c r="D49" s="4">
        <f>IF(C49&lt;Input!$B$5,0,IF(AND(C49&gt;=Input!$B$5,C49&lt;Input!$B$5+Input!$B$6),1,2))</f>
        <v>1</v>
      </c>
      <c r="E49" s="5">
        <f>IF(OR(I48&lt;0,D49=2),0,I48*(1+Input!$B$56))</f>
        <v>402040.85606261541</v>
      </c>
      <c r="F49" s="5">
        <f>IF(D49=0,Input!$B$21+Input!$B$24+Input!$B$27,0)</f>
        <v>0</v>
      </c>
      <c r="G49" s="5">
        <f>'Primary Details - Actual'!I49</f>
        <v>35000</v>
      </c>
      <c r="H49" s="5">
        <f>IF(D49=1,'Primary Details - Actual'!O49,0)</f>
        <v>20945.797880191323</v>
      </c>
      <c r="I49" s="5">
        <f t="shared" si="3"/>
        <v>381095.05818242411</v>
      </c>
      <c r="J49" s="5"/>
      <c r="K49" s="5">
        <f>E49-'Primary Details - Actual'!G49</f>
        <v>210589.17329287023</v>
      </c>
      <c r="L49" s="5"/>
      <c r="M49" s="8"/>
      <c r="N49" s="8"/>
      <c r="O49" s="8"/>
    </row>
    <row r="50" spans="1:15" x14ac:dyDescent="0.25">
      <c r="A50" s="4">
        <f t="shared" si="1"/>
        <v>49</v>
      </c>
      <c r="B50" s="4">
        <f>IF(C50&gt;=Input!$B$5,C50-Input!$B$5,"")</f>
        <v>8</v>
      </c>
      <c r="C50" s="4">
        <f t="shared" si="2"/>
        <v>73</v>
      </c>
      <c r="D50" s="4">
        <f>IF(C50&lt;Input!$B$5,0,IF(AND(C50&gt;=Input!$B$5,C50&lt;Input!$B$5+Input!$B$6),1,2))</f>
        <v>1</v>
      </c>
      <c r="E50" s="5">
        <f>IF(OR(I49&lt;0,D50=2),0,I49*(1+Input!$B$56))</f>
        <v>384831.28424303612</v>
      </c>
      <c r="F50" s="5">
        <f>IF(D50=0,Input!$B$21+Input!$B$24+Input!$B$27,0)</f>
        <v>0</v>
      </c>
      <c r="G50" s="5">
        <f>'Primary Details - Actual'!I50</f>
        <v>35000</v>
      </c>
      <c r="H50" s="5">
        <f>IF(D50=1,'Primary Details - Actual'!O50,0)</f>
        <v>20810.95276136967</v>
      </c>
      <c r="I50" s="5">
        <f t="shared" si="3"/>
        <v>364020.33148166642</v>
      </c>
      <c r="J50" s="5"/>
      <c r="K50" s="5">
        <f>E50-'Primary Details - Actual'!G50</f>
        <v>212653.77303103567</v>
      </c>
      <c r="L50" s="5"/>
      <c r="M50" s="8"/>
      <c r="N50" s="8"/>
      <c r="O50" s="8"/>
    </row>
    <row r="51" spans="1:15" x14ac:dyDescent="0.25">
      <c r="A51" s="4">
        <f t="shared" si="1"/>
        <v>50</v>
      </c>
      <c r="B51" s="4">
        <f>IF(C51&gt;=Input!$B$5,C51-Input!$B$5,"")</f>
        <v>9</v>
      </c>
      <c r="C51" s="4">
        <f t="shared" si="2"/>
        <v>74</v>
      </c>
      <c r="D51" s="4">
        <f>IF(C51&lt;Input!$B$5,0,IF(AND(C51&gt;=Input!$B$5,C51&lt;Input!$B$5+Input!$B$6),1,2))</f>
        <v>1</v>
      </c>
      <c r="E51" s="5">
        <f>IF(OR(I50&lt;0,D51=2),0,I50*(1+Input!$B$56))</f>
        <v>367589.15826089843</v>
      </c>
      <c r="F51" s="5">
        <f>IF(D51=0,Input!$B$21+Input!$B$24+Input!$B$27,0)</f>
        <v>0</v>
      </c>
      <c r="G51" s="5">
        <f>'Primary Details - Actual'!I51</f>
        <v>35000</v>
      </c>
      <c r="H51" s="5">
        <f>IF(D51=1,'Primary Details - Actual'!O51,0)</f>
        <v>20674.785631579176</v>
      </c>
      <c r="I51" s="5">
        <f t="shared" si="3"/>
        <v>346914.37262931926</v>
      </c>
      <c r="J51" s="5"/>
      <c r="K51" s="5">
        <f>E51-'Primary Details - Actual'!G51</f>
        <v>214738.6139431046</v>
      </c>
      <c r="L51" s="5"/>
      <c r="M51" s="8"/>
      <c r="N51" s="8"/>
      <c r="O51" s="8"/>
    </row>
    <row r="52" spans="1:15" x14ac:dyDescent="0.25">
      <c r="A52" s="4">
        <f t="shared" si="1"/>
        <v>51</v>
      </c>
      <c r="B52" s="4">
        <f>IF(C52&gt;=Input!$B$5,C52-Input!$B$5,"")</f>
        <v>10</v>
      </c>
      <c r="C52" s="4">
        <f t="shared" si="2"/>
        <v>75</v>
      </c>
      <c r="D52" s="4">
        <f>IF(C52&lt;Input!$B$5,0,IF(AND(C52&gt;=Input!$B$5,C52&lt;Input!$B$5+Input!$B$6),1,2))</f>
        <v>1</v>
      </c>
      <c r="E52" s="5">
        <f>IF(OR(I51&lt;0,D52=2),0,I51*(1+Input!$B$56))</f>
        <v>350315.49392960669</v>
      </c>
      <c r="F52" s="5">
        <f>IF(D52=0,Input!$B$21+Input!$B$24+Input!$B$27,0)</f>
        <v>0</v>
      </c>
      <c r="G52" s="5">
        <f>'Primary Details - Actual'!I52</f>
        <v>35000</v>
      </c>
      <c r="H52" s="5">
        <f>IF(D52=1,'Primary Details - Actual'!O52,0)</f>
        <v>20537.283529927994</v>
      </c>
      <c r="I52" s="5">
        <f t="shared" si="3"/>
        <v>329778.21039967868</v>
      </c>
      <c r="J52" s="5"/>
      <c r="K52" s="5">
        <f>E52-'Primary Details - Actual'!G52</f>
        <v>216843.89447195857</v>
      </c>
      <c r="L52" s="5"/>
      <c r="M52" s="8"/>
      <c r="N52" s="8"/>
      <c r="O52" s="8"/>
    </row>
    <row r="53" spans="1:15" x14ac:dyDescent="0.25">
      <c r="A53" s="4">
        <f t="shared" si="1"/>
        <v>52</v>
      </c>
      <c r="B53" s="4">
        <f>IF(C53&gt;=Input!$B$5,C53-Input!$B$5,"")</f>
        <v>11</v>
      </c>
      <c r="C53" s="4">
        <f t="shared" si="2"/>
        <v>76</v>
      </c>
      <c r="D53" s="4">
        <f>IF(C53&lt;Input!$B$5,0,IF(AND(C53&gt;=Input!$B$5,C53&lt;Input!$B$5+Input!$B$6),1,2))</f>
        <v>1</v>
      </c>
      <c r="E53" s="5">
        <f>IF(OR(I52&lt;0,D53=2),0,I52*(1+Input!$B$56))</f>
        <v>333011.33010947943</v>
      </c>
      <c r="F53" s="5">
        <f>IF(D53=0,Input!$B$21+Input!$B$24+Input!$B$27,0)</f>
        <v>0</v>
      </c>
      <c r="G53" s="5">
        <f>'Primary Details - Actual'!I53</f>
        <v>35000</v>
      </c>
      <c r="H53" s="5">
        <f>IF(D53=1,'Primary Details - Actual'!O53,0)</f>
        <v>20398.433368456703</v>
      </c>
      <c r="I53" s="5">
        <f t="shared" si="3"/>
        <v>312612.89674102271</v>
      </c>
      <c r="J53" s="5"/>
      <c r="K53" s="5">
        <f>E53-'Primary Details - Actual'!G53</f>
        <v>218969.81500599737</v>
      </c>
      <c r="L53" s="5"/>
      <c r="M53" s="8"/>
      <c r="N53" s="8"/>
      <c r="O53" s="8"/>
    </row>
    <row r="54" spans="1:15" x14ac:dyDescent="0.25">
      <c r="A54" s="4">
        <f t="shared" si="1"/>
        <v>53</v>
      </c>
      <c r="B54" s="4">
        <f>IF(C54&gt;=Input!$B$5,C54-Input!$B$5,"")</f>
        <v>12</v>
      </c>
      <c r="C54" s="4">
        <f t="shared" si="2"/>
        <v>77</v>
      </c>
      <c r="D54" s="4">
        <f>IF(C54&lt;Input!$B$5,0,IF(AND(C54&gt;=Input!$B$5,C54&lt;Input!$B$5+Input!$B$6),1,2))</f>
        <v>1</v>
      </c>
      <c r="E54" s="5">
        <f>IF(OR(I53&lt;0,D54=2),0,I53*(1+Input!$B$56))</f>
        <v>315677.7290620131</v>
      </c>
      <c r="F54" s="5">
        <f>IF(D54=0,Input!$B$21+Input!$B$24+Input!$B$27,0)</f>
        <v>0</v>
      </c>
      <c r="G54" s="5">
        <f>'Primary Details - Actual'!I54</f>
        <v>35000</v>
      </c>
      <c r="H54" s="5">
        <f>IF(D54=1,'Primary Details - Actual'!O54,0)</f>
        <v>20258.221930892556</v>
      </c>
      <c r="I54" s="5">
        <f t="shared" si="3"/>
        <v>295419.50713112054</v>
      </c>
      <c r="J54" s="5"/>
      <c r="K54" s="5">
        <f>E54-'Primary Details - Actual'!G54</f>
        <v>221116.57789821297</v>
      </c>
      <c r="L54" s="5"/>
      <c r="M54" s="8"/>
      <c r="N54" s="8"/>
      <c r="O54" s="8"/>
    </row>
    <row r="55" spans="1:15" x14ac:dyDescent="0.25">
      <c r="A55" s="4">
        <f t="shared" si="1"/>
        <v>54</v>
      </c>
      <c r="B55" s="4">
        <f>IF(C55&gt;=Input!$B$5,C55-Input!$B$5,"")</f>
        <v>13</v>
      </c>
      <c r="C55" s="4">
        <f>C54+1</f>
        <v>78</v>
      </c>
      <c r="D55" s="4">
        <f>IF(C55&lt;Input!$B$5,0,IF(AND(C55&gt;=Input!$B$5,C55&lt;Input!$B$5+Input!$B$6),1,2))</f>
        <v>1</v>
      </c>
      <c r="E55" s="5">
        <f>IF(OR(I54&lt;0,D55=2),0,I54*(1+Input!$B$56))</f>
        <v>298315.7768088766</v>
      </c>
      <c r="F55" s="5">
        <f>IF(D55=0,Input!$B$21+Input!$B$24+Input!$B$27,0)</f>
        <v>0</v>
      </c>
      <c r="G55" s="5">
        <f>'Primary Details - Actual'!I55</f>
        <v>35000</v>
      </c>
      <c r="H55" s="5">
        <f>IF(D55=1,'Primary Details - Actual'!O55,0)</f>
        <v>20116.635871391503</v>
      </c>
      <c r="I55" s="5">
        <f t="shared" si="3"/>
        <v>278199.14093748509</v>
      </c>
      <c r="J55" s="5"/>
      <c r="K55" s="5">
        <f>E55-'Primary Details - Actual'!G55</f>
        <v>223284.38748545034</v>
      </c>
      <c r="L55" s="5"/>
      <c r="M55" s="8"/>
      <c r="N55" s="8"/>
      <c r="O55" s="8"/>
    </row>
    <row r="56" spans="1:15" x14ac:dyDescent="0.25">
      <c r="A56" s="4">
        <f t="shared" si="1"/>
        <v>55</v>
      </c>
      <c r="B56" s="4">
        <f>IF(C56&gt;=Input!$B$5,C56-Input!$B$5,"")</f>
        <v>14</v>
      </c>
      <c r="C56" s="4">
        <f t="shared" si="2"/>
        <v>79</v>
      </c>
      <c r="D56" s="4">
        <f>IF(C56&lt;Input!$B$5,0,IF(AND(C56&gt;=Input!$B$5,C56&lt;Input!$B$5+Input!$B$6),1,2))</f>
        <v>1</v>
      </c>
      <c r="E56" s="5">
        <f>IF(OR(I55&lt;0,D56=2),0,I55*(1+Input!$B$56))</f>
        <v>280926.58349569573</v>
      </c>
      <c r="F56" s="5">
        <f>IF(D56=0,Input!$B$21+Input!$B$24+Input!$B$27,0)</f>
        <v>0</v>
      </c>
      <c r="G56" s="5">
        <f>'Primary Details - Actual'!I56</f>
        <v>35000</v>
      </c>
      <c r="H56" s="5">
        <f>IF(D56=1,'Primary Details - Actual'!O56,0)</f>
        <v>19973.661713267891</v>
      </c>
      <c r="I56" s="5">
        <f t="shared" si="3"/>
        <v>260952.92178242785</v>
      </c>
      <c r="J56" s="5"/>
      <c r="K56" s="5">
        <f>E56-'Primary Details - Actual'!G56</f>
        <v>225473.45010785671</v>
      </c>
      <c r="L56" s="5"/>
      <c r="M56" s="8"/>
      <c r="N56" s="8"/>
      <c r="O56" s="8"/>
    </row>
    <row r="57" spans="1:15" x14ac:dyDescent="0.25">
      <c r="A57" s="4">
        <f t="shared" si="1"/>
        <v>56</v>
      </c>
      <c r="B57" s="4">
        <f>IF(C57&gt;=Input!$B$5,C57-Input!$B$5,"")</f>
        <v>15</v>
      </c>
      <c r="C57" s="4">
        <f t="shared" si="2"/>
        <v>80</v>
      </c>
      <c r="D57" s="4">
        <f>IF(C57&lt;Input!$B$5,0,IF(AND(C57&gt;=Input!$B$5,C57&lt;Input!$B$5+Input!$B$6),1,2))</f>
        <v>1</v>
      </c>
      <c r="E57" s="5">
        <f>IF(OR(I56&lt;0,D57=2),0,I56*(1+Input!$B$56))</f>
        <v>263511.28376068693</v>
      </c>
      <c r="F57" s="5">
        <f>IF(D57=0,Input!$B$21+Input!$B$24+Input!$B$27,0)</f>
        <v>0</v>
      </c>
      <c r="G57" s="5">
        <f>'Primary Details - Actual'!I57</f>
        <v>35000</v>
      </c>
      <c r="H57" s="5">
        <f>IF(D57=1,'Primary Details - Actual'!O57,0)</f>
        <v>19829.285847711693</v>
      </c>
      <c r="I57" s="5">
        <f t="shared" si="3"/>
        <v>243681.99791297523</v>
      </c>
      <c r="J57" s="5"/>
      <c r="K57" s="5">
        <f>E57-'Primary Details - Actual'!G57</f>
        <v>227683.97412852198</v>
      </c>
      <c r="L57" s="5"/>
      <c r="M57" s="8"/>
      <c r="N57" s="8"/>
      <c r="O57" s="8"/>
    </row>
    <row r="58" spans="1:15" x14ac:dyDescent="0.25">
      <c r="A58" s="4">
        <f t="shared" si="1"/>
        <v>57</v>
      </c>
      <c r="B58" s="4">
        <f>IF(C58&gt;=Input!$B$5,C58-Input!$B$5,"")</f>
        <v>16</v>
      </c>
      <c r="C58" s="4">
        <f t="shared" si="2"/>
        <v>81</v>
      </c>
      <c r="D58" s="4">
        <f>IF(C58&lt;Input!$B$5,0,IF(AND(C58&gt;=Input!$B$5,C58&lt;Input!$B$5+Input!$B$6),1,2))</f>
        <v>1</v>
      </c>
      <c r="E58" s="5">
        <f>IF(OR(I57&lt;0,D58=2),0,I57*(1+Input!$B$56))</f>
        <v>246071.03710820046</v>
      </c>
      <c r="F58" s="5">
        <f>IF(D58=0,Input!$B$21+Input!$B$24+Input!$B$27,0)</f>
        <v>0</v>
      </c>
      <c r="G58" s="5">
        <f>'Primary Details - Actual'!I58</f>
        <v>35000</v>
      </c>
      <c r="H58" s="5">
        <f>IF(D58=1,'Primary Details - Actual'!O58,0)</f>
        <v>19683.494532493183</v>
      </c>
      <c r="I58" s="5">
        <f t="shared" si="3"/>
        <v>226387.54257570728</v>
      </c>
      <c r="J58" s="5"/>
      <c r="K58" s="5">
        <f>E58-'Primary Details - Actual'!G58</f>
        <v>229916.16995331136</v>
      </c>
      <c r="L58" s="5"/>
      <c r="M58" s="8"/>
      <c r="N58" s="8"/>
      <c r="O58" s="8"/>
    </row>
    <row r="59" spans="1:15" x14ac:dyDescent="0.25">
      <c r="A59" s="4">
        <f t="shared" si="1"/>
        <v>58</v>
      </c>
      <c r="B59" s="4">
        <f>IF(C59&gt;=Input!$B$5,C59-Input!$B$5,"")</f>
        <v>17</v>
      </c>
      <c r="C59" s="4">
        <f t="shared" si="2"/>
        <v>82</v>
      </c>
      <c r="D59" s="4">
        <f>IF(C59&lt;Input!$B$5,0,IF(AND(C59&gt;=Input!$B$5,C59&lt;Input!$B$5+Input!$B$6),1,2))</f>
        <v>1</v>
      </c>
      <c r="E59" s="5">
        <f>IF(OR(I58&lt;0,D59=2),0,I58*(1+Input!$B$56))</f>
        <v>228607.02828723381</v>
      </c>
      <c r="F59" s="5">
        <f>IF(D59=0,Input!$B$21+Input!$B$24+Input!$B$27,0)</f>
        <v>0</v>
      </c>
      <c r="G59" s="5">
        <f>'Primary Details - Actual'!I59</f>
        <v>35000</v>
      </c>
      <c r="H59" s="5">
        <f>IF(D59=1,'Primary Details - Actual'!O59,0)</f>
        <v>19536.27389065488</v>
      </c>
      <c r="I59" s="5">
        <f t="shared" si="3"/>
        <v>209070.75439657894</v>
      </c>
      <c r="J59" s="5"/>
      <c r="K59" s="5">
        <f>E59-'Primary Details - Actual'!G59</f>
        <v>228607.02828723381</v>
      </c>
      <c r="L59" s="5"/>
      <c r="M59" s="8"/>
      <c r="N59" s="8"/>
      <c r="O59" s="8"/>
    </row>
    <row r="60" spans="1:15" x14ac:dyDescent="0.25">
      <c r="A60" s="4">
        <f t="shared" si="1"/>
        <v>59</v>
      </c>
      <c r="B60" s="4">
        <f>IF(C60&gt;=Input!$B$5,C60-Input!$B$5,"")</f>
        <v>18</v>
      </c>
      <c r="C60" s="4">
        <f>C59+1</f>
        <v>83</v>
      </c>
      <c r="D60" s="4">
        <f>IF(C60&lt;Input!$B$5,0,IF(AND(C60&gt;=Input!$B$5,C60&lt;Input!$B$5+Input!$B$6),1,2))</f>
        <v>1</v>
      </c>
      <c r="E60" s="5">
        <f>IF(OR(I59&lt;0,D60=2),0,I59*(1+Input!$B$56))</f>
        <v>211120.46767497677</v>
      </c>
      <c r="F60" s="5">
        <f>IF(D60=0,Input!$B$21+Input!$B$24+Input!$B$27,0)</f>
        <v>0</v>
      </c>
      <c r="G60" s="5">
        <f>'Primary Details - Actual'!I60</f>
        <v>35000</v>
      </c>
      <c r="H60" s="5">
        <f>IF(D60=1,'Primary Details - Actual'!O60,0)</f>
        <v>19387.609909190713</v>
      </c>
      <c r="I60" s="5">
        <f t="shared" si="3"/>
        <v>191732.85776578606</v>
      </c>
      <c r="J60" s="5"/>
      <c r="K60" s="5">
        <f>E60-'Primary Details - Actual'!G60</f>
        <v>211120.46767497677</v>
      </c>
      <c r="L60" s="5"/>
      <c r="M60" s="8"/>
      <c r="N60" s="8"/>
      <c r="O60" s="8"/>
    </row>
    <row r="61" spans="1:15" x14ac:dyDescent="0.25">
      <c r="A61" s="4">
        <f t="shared" si="1"/>
        <v>60</v>
      </c>
      <c r="B61" s="4">
        <f>IF(C61&gt;=Input!$B$5,C61-Input!$B$5,"")</f>
        <v>19</v>
      </c>
      <c r="C61" s="4">
        <f t="shared" si="2"/>
        <v>84</v>
      </c>
      <c r="D61" s="4">
        <f>IF(C61&lt;Input!$B$5,0,IF(AND(C61&gt;=Input!$B$5,C61&lt;Input!$B$5+Input!$B$6),1,2))</f>
        <v>1</v>
      </c>
      <c r="E61" s="5">
        <f>IF(OR(I60&lt;0,D61=2),0,I60*(1+Input!$B$56))</f>
        <v>193612.59166545063</v>
      </c>
      <c r="F61" s="5">
        <f>IF(D61=0,Input!$B$21+Input!$B$24+Input!$B$27,0)</f>
        <v>0</v>
      </c>
      <c r="G61" s="5">
        <f>'Primary Details - Actual'!I61</f>
        <v>35000</v>
      </c>
      <c r="H61" s="5">
        <f>IF(D61=1,'Primary Details - Actual'!O61,0)</f>
        <v>19237.488437712196</v>
      </c>
      <c r="I61" s="5">
        <f t="shared" si="3"/>
        <v>174375.10322773844</v>
      </c>
      <c r="J61" s="5"/>
      <c r="K61" s="5">
        <f>E61-'Primary Details - Actual'!G61</f>
        <v>193612.59166545063</v>
      </c>
      <c r="L61" s="5"/>
      <c r="M61" s="8"/>
      <c r="N61" s="8"/>
      <c r="O61" s="8"/>
    </row>
    <row r="62" spans="1:15" x14ac:dyDescent="0.25">
      <c r="A62" s="4">
        <f t="shared" si="1"/>
        <v>61</v>
      </c>
      <c r="B62" s="4">
        <f>IF(C62&gt;=Input!$B$5,C62-Input!$B$5,"")</f>
        <v>20</v>
      </c>
      <c r="C62" s="4">
        <f t="shared" si="2"/>
        <v>85</v>
      </c>
      <c r="D62" s="4">
        <f>IF(C62&lt;Input!$B$5,0,IF(AND(C62&gt;=Input!$B$5,C62&lt;Input!$B$5+Input!$B$6),1,2))</f>
        <v>1</v>
      </c>
      <c r="E62" s="5">
        <f>IF(OR(I61&lt;0,D62=2),0,I61*(1+Input!$B$56))</f>
        <v>176084.6630633045</v>
      </c>
      <c r="F62" s="5">
        <f>IF(D62=0,Input!$B$21+Input!$B$24+Input!$B$27,0)</f>
        <v>0</v>
      </c>
      <c r="G62" s="5">
        <f>'Primary Details - Actual'!I62</f>
        <v>35000</v>
      </c>
      <c r="H62" s="5">
        <f>IF(D62=1,'Primary Details - Actual'!O62,0)</f>
        <v>19085.895187101531</v>
      </c>
      <c r="I62" s="5">
        <f t="shared" si="3"/>
        <v>156998.76787620297</v>
      </c>
      <c r="J62" s="5"/>
      <c r="K62" s="5">
        <f>E62-'Primary Details - Actual'!G62</f>
        <v>176084.6630633045</v>
      </c>
      <c r="L62" s="5"/>
      <c r="M62" s="8"/>
      <c r="N62" s="8"/>
      <c r="O62" s="8"/>
    </row>
    <row r="63" spans="1:15" x14ac:dyDescent="0.25">
      <c r="A63" s="4">
        <f t="shared" si="1"/>
        <v>62</v>
      </c>
      <c r="B63" s="4">
        <f>IF(C63&gt;=Input!$B$5,C63-Input!$B$5,"")</f>
        <v>21</v>
      </c>
      <c r="C63" s="4">
        <f t="shared" si="2"/>
        <v>86</v>
      </c>
      <c r="D63" s="4">
        <f>IF(C63&lt;Input!$B$5,0,IF(AND(C63&gt;=Input!$B$5,C63&lt;Input!$B$5+Input!$B$6),1,2))</f>
        <v>1</v>
      </c>
      <c r="E63" s="5">
        <f>IF(OR(I62&lt;0,D63=2),0,I62*(1+Input!$B$56))</f>
        <v>158537.97148283239</v>
      </c>
      <c r="F63" s="5">
        <f>IF(D63=0,Input!$B$21+Input!$B$24+Input!$B$27,0)</f>
        <v>0</v>
      </c>
      <c r="G63" s="5">
        <f>'Primary Details - Actual'!I63</f>
        <v>35000</v>
      </c>
      <c r="H63" s="5">
        <f>IF(D63=1,'Primary Details - Actual'!O63,0)</f>
        <v>18932.815728151545</v>
      </c>
      <c r="I63" s="5">
        <f t="shared" si="3"/>
        <v>139605.15575468086</v>
      </c>
      <c r="J63" s="5"/>
      <c r="K63" s="5">
        <f>E63-'Primary Details - Actual'!G63</f>
        <v>158537.97148283239</v>
      </c>
      <c r="L63" s="5"/>
      <c r="M63" s="8"/>
      <c r="N63" s="8"/>
      <c r="O63" s="8"/>
    </row>
    <row r="64" spans="1:15" x14ac:dyDescent="0.25">
      <c r="A64" s="4">
        <f t="shared" si="1"/>
        <v>63</v>
      </c>
      <c r="B64" s="4">
        <f>IF(C64&gt;=Input!$B$5,C64-Input!$B$5,"")</f>
        <v>22</v>
      </c>
      <c r="C64" s="4">
        <f t="shared" si="2"/>
        <v>87</v>
      </c>
      <c r="D64" s="4">
        <f>IF(C64&lt;Input!$B$5,0,IF(AND(C64&gt;=Input!$B$5,C64&lt;Input!$B$5+Input!$B$6),1,2))</f>
        <v>1</v>
      </c>
      <c r="E64" s="5">
        <f>IF(OR(I63&lt;0,D64=2),0,I63*(1+Input!$B$56))</f>
        <v>140973.83375227576</v>
      </c>
      <c r="F64" s="5">
        <f>IF(D64=0,Input!$B$21+Input!$B$24+Input!$B$27,0)</f>
        <v>0</v>
      </c>
      <c r="G64" s="5">
        <f>'Primary Details - Actual'!I64</f>
        <v>35000</v>
      </c>
      <c r="H64" s="5">
        <f>IF(D64=1,'Primary Details - Actual'!O64,0)</f>
        <v>18778.235490192252</v>
      </c>
      <c r="I64" s="5">
        <f t="shared" si="3"/>
        <v>122195.59826208351</v>
      </c>
      <c r="J64" s="5"/>
      <c r="K64" s="5">
        <f>E64-'Primary Details - Actual'!G64</f>
        <v>140973.83375227576</v>
      </c>
      <c r="L64" s="5"/>
      <c r="M64" s="8"/>
      <c r="N64" s="8"/>
      <c r="O64" s="8"/>
    </row>
    <row r="65" spans="1:15" x14ac:dyDescent="0.25">
      <c r="A65" s="4">
        <f t="shared" si="1"/>
        <v>64</v>
      </c>
      <c r="B65" s="4">
        <f>IF(C65&gt;=Input!$B$5,C65-Input!$B$5,"")</f>
        <v>23</v>
      </c>
      <c r="C65" s="4">
        <f t="shared" si="2"/>
        <v>88</v>
      </c>
      <c r="D65" s="4">
        <f>IF(C65&lt;Input!$B$5,0,IF(AND(C65&gt;=Input!$B$5,C65&lt;Input!$B$5+Input!$B$6),1,2))</f>
        <v>1</v>
      </c>
      <c r="E65" s="5">
        <f>IF(OR(I64&lt;0,D65=2),0,I64*(1+Input!$B$56))</f>
        <v>123393.59432347649</v>
      </c>
      <c r="F65" s="5">
        <f>IF(D65=0,Input!$B$21+Input!$B$24+Input!$B$27,0)</f>
        <v>0</v>
      </c>
      <c r="G65" s="5">
        <f>'Primary Details - Actual'!I65</f>
        <v>35000</v>
      </c>
      <c r="H65" s="5">
        <f>IF(D65=1,'Primary Details - Actual'!O65,0)</f>
        <v>18622.139759703939</v>
      </c>
      <c r="I65" s="5">
        <f t="shared" si="3"/>
        <v>104771.45456377254</v>
      </c>
      <c r="J65" s="5"/>
      <c r="K65" s="5">
        <f>E65-'Primary Details - Actual'!G65</f>
        <v>123393.59432347649</v>
      </c>
      <c r="L65" s="5"/>
      <c r="M65" s="8"/>
      <c r="N65" s="8"/>
      <c r="O65" s="8"/>
    </row>
    <row r="66" spans="1:15" x14ac:dyDescent="0.25">
      <c r="A66" s="4">
        <f t="shared" si="1"/>
        <v>65</v>
      </c>
      <c r="B66" s="4">
        <f>IF(C66&gt;=Input!$B$5,C66-Input!$B$5,"")</f>
        <v>24</v>
      </c>
      <c r="C66" s="4">
        <f t="shared" si="2"/>
        <v>89</v>
      </c>
      <c r="D66" s="4">
        <f>IF(C66&lt;Input!$B$5,0,IF(AND(C66&gt;=Input!$B$5,C66&lt;Input!$B$5+Input!$B$6),1,2))</f>
        <v>1</v>
      </c>
      <c r="E66" s="5">
        <f>IF(OR(I65&lt;0,D66=2),0,I65*(1+Input!$B$56))</f>
        <v>105798.62568694678</v>
      </c>
      <c r="F66" s="5">
        <f>IF(D66=0,Input!$B$21+Input!$B$24+Input!$B$27,0)</f>
        <v>0</v>
      </c>
      <c r="G66" s="5">
        <f>'Primary Details - Actual'!I66</f>
        <v>35000</v>
      </c>
      <c r="H66" s="5">
        <f>IF(D66=1,'Primary Details - Actual'!O66,0)</f>
        <v>18464.513678916723</v>
      </c>
      <c r="I66" s="5">
        <f t="shared" si="3"/>
        <v>87334.112008030061</v>
      </c>
      <c r="J66" s="5"/>
      <c r="K66" s="5">
        <f>E66-'Primary Details - Actual'!G66</f>
        <v>105798.62568694678</v>
      </c>
      <c r="L66" s="5"/>
      <c r="M66" s="8"/>
      <c r="N66" s="8"/>
      <c r="O66" s="8"/>
    </row>
    <row r="67" spans="1:15" x14ac:dyDescent="0.25">
      <c r="A67" s="4">
        <f t="shared" si="1"/>
        <v>66</v>
      </c>
      <c r="B67" s="4">
        <f>IF(C67&gt;=Input!$B$5,C67-Input!$B$5,"")</f>
        <v>25</v>
      </c>
      <c r="C67" s="4">
        <f t="shared" si="2"/>
        <v>90</v>
      </c>
      <c r="D67" s="4">
        <f>IF(C67&lt;Input!$B$5,0,IF(AND(C67&gt;=Input!$B$5,C67&lt;Input!$B$5+Input!$B$6),1,2))</f>
        <v>1</v>
      </c>
      <c r="E67" s="5">
        <f>IF(OR(I66&lt;0,D67=2),0,I66*(1+Input!$B$56))</f>
        <v>88190.328792422515</v>
      </c>
      <c r="F67" s="5">
        <f>IF(D67=0,Input!$B$21+Input!$B$24+Input!$B$27,0)</f>
        <v>0</v>
      </c>
      <c r="G67" s="5">
        <f>'Primary Details - Actual'!I67</f>
        <v>35000</v>
      </c>
      <c r="H67" s="5">
        <f>IF(D67=1,'Primary Details - Actual'!O67,0)</f>
        <v>18305.342244396303</v>
      </c>
      <c r="I67" s="5">
        <f t="shared" ref="I67:I98" si="4">IF(D67=2,I66,E67+F67-H67)</f>
        <v>69884.986548026209</v>
      </c>
      <c r="J67" s="5"/>
      <c r="K67" s="5">
        <f>E67-'Primary Details - Actual'!G67</f>
        <v>88190.328792422515</v>
      </c>
      <c r="L67" s="5"/>
      <c r="M67" s="8"/>
      <c r="N67" s="8"/>
      <c r="O67" s="8"/>
    </row>
    <row r="68" spans="1:15" x14ac:dyDescent="0.25">
      <c r="A68" s="4">
        <f t="shared" ref="A68:A102" si="5">A67+1</f>
        <v>67</v>
      </c>
      <c r="B68" s="4">
        <f>IF(C68&gt;=Input!$B$5,C68-Input!$B$5,"")</f>
        <v>26</v>
      </c>
      <c r="C68" s="4">
        <f t="shared" ref="C68:C102" si="6">C67+1</f>
        <v>91</v>
      </c>
      <c r="D68" s="4">
        <f>IF(C68&lt;Input!$B$5,0,IF(AND(C68&gt;=Input!$B$5,C68&lt;Input!$B$5+Input!$B$6),1,2))</f>
        <v>1</v>
      </c>
      <c r="E68" s="5">
        <f>IF(OR(I67&lt;0,D68=2),0,I67*(1+Input!$B$56))</f>
        <v>70570.133474967646</v>
      </c>
      <c r="F68" s="5">
        <f>IF(D68=0,Input!$B$21+Input!$B$24+Input!$B$27,0)</f>
        <v>0</v>
      </c>
      <c r="G68" s="5">
        <f>'Primary Details - Actual'!I68</f>
        <v>35000</v>
      </c>
      <c r="H68" s="5">
        <f>IF(D68=1,'Primary Details - Actual'!O68,0)</f>
        <v>18144.610305615875</v>
      </c>
      <c r="I68" s="5">
        <f t="shared" si="4"/>
        <v>52425.523169351771</v>
      </c>
      <c r="J68" s="5"/>
      <c r="K68" s="5">
        <f>E68-'Primary Details - Actual'!G68</f>
        <v>70570.133474967646</v>
      </c>
      <c r="L68" s="5"/>
      <c r="M68" s="8"/>
      <c r="N68" s="8"/>
      <c r="O68" s="8"/>
    </row>
    <row r="69" spans="1:15" x14ac:dyDescent="0.25">
      <c r="A69" s="4">
        <f t="shared" si="5"/>
        <v>68</v>
      </c>
      <c r="B69" s="4">
        <f>IF(C69&gt;=Input!$B$5,C69-Input!$B$5,"")</f>
        <v>27</v>
      </c>
      <c r="C69" s="4">
        <f t="shared" si="6"/>
        <v>92</v>
      </c>
      <c r="D69" s="4">
        <f>IF(C69&lt;Input!$B$5,0,IF(AND(C69&gt;=Input!$B$5,C69&lt;Input!$B$5+Input!$B$6),1,2))</f>
        <v>1</v>
      </c>
      <c r="E69" s="5">
        <f>IF(OR(I68&lt;0,D69=2),0,I68*(1+Input!$B$56))</f>
        <v>52939.498886698355</v>
      </c>
      <c r="F69" s="5">
        <f>IF(D69=0,Input!$B$21+Input!$B$24+Input!$B$27,0)</f>
        <v>0</v>
      </c>
      <c r="G69" s="5">
        <f>'Primary Details - Actual'!I69</f>
        <v>35000</v>
      </c>
      <c r="H69" s="5">
        <f>IF(D69=1,'Primary Details - Actual'!O69,0)</f>
        <v>17982.302563514073</v>
      </c>
      <c r="I69" s="5">
        <f t="shared" si="4"/>
        <v>34957.196323184282</v>
      </c>
      <c r="J69" s="5"/>
      <c r="K69" s="5">
        <f>E69-'Primary Details - Actual'!G69</f>
        <v>52939.498886698355</v>
      </c>
      <c r="L69" s="5"/>
      <c r="M69" s="8"/>
      <c r="N69" s="8"/>
      <c r="O69" s="8"/>
    </row>
    <row r="70" spans="1:15" x14ac:dyDescent="0.25">
      <c r="A70" s="4">
        <f t="shared" si="5"/>
        <v>69</v>
      </c>
      <c r="B70" s="4">
        <f>IF(C70&gt;=Input!$B$5,C70-Input!$B$5,"")</f>
        <v>28</v>
      </c>
      <c r="C70" s="4">
        <f t="shared" si="6"/>
        <v>93</v>
      </c>
      <c r="D70" s="4">
        <f>IF(C70&lt;Input!$B$5,0,IF(AND(C70&gt;=Input!$B$5,C70&lt;Input!$B$5+Input!$B$6),1,2))</f>
        <v>1</v>
      </c>
      <c r="E70" s="5">
        <f>IF(OR(I69&lt;0,D70=2),0,I69*(1+Input!$B$56))</f>
        <v>35299.913934195894</v>
      </c>
      <c r="F70" s="5">
        <f>IF(D70=0,Input!$B$21+Input!$B$24+Input!$B$27,0)</f>
        <v>0</v>
      </c>
      <c r="G70" s="5">
        <f>'Primary Details - Actual'!I70</f>
        <v>35000</v>
      </c>
      <c r="H70" s="5">
        <f>IF(D70=1,'Primary Details - Actual'!O70,0)</f>
        <v>17818.403569038725</v>
      </c>
      <c r="I70" s="5">
        <f t="shared" si="4"/>
        <v>17481.51036515717</v>
      </c>
      <c r="J70" s="5"/>
      <c r="K70" s="5">
        <f>E70-'Primary Details - Actual'!G70</f>
        <v>35299.913934195894</v>
      </c>
      <c r="L70" s="5"/>
      <c r="M70" s="8"/>
      <c r="N70" s="8"/>
      <c r="O70" s="8"/>
    </row>
    <row r="71" spans="1:15" x14ac:dyDescent="0.25">
      <c r="A71" s="4">
        <f t="shared" si="5"/>
        <v>70</v>
      </c>
      <c r="B71" s="4">
        <f>IF(C71&gt;=Input!$B$5,C71-Input!$B$5,"")</f>
        <v>29</v>
      </c>
      <c r="C71" s="4">
        <f t="shared" si="6"/>
        <v>94</v>
      </c>
      <c r="D71" s="4">
        <f>IF(C71&lt;Input!$B$5,0,IF(AND(C71&gt;=Input!$B$5,C71&lt;Input!$B$5+Input!$B$6),1,2))</f>
        <v>1</v>
      </c>
      <c r="E71" s="5">
        <f>IF(OR(I70&lt;0,D71=2),0,I70*(1+Input!$B$56))</f>
        <v>17652.897721678317</v>
      </c>
      <c r="F71" s="5">
        <f>IF(D71=0,Input!$B$21+Input!$B$24+Input!$B$27,0)</f>
        <v>0</v>
      </c>
      <c r="G71" s="5">
        <f>'Primary Details - Actual'!I71</f>
        <v>35000</v>
      </c>
      <c r="H71" s="5">
        <f>IF(D71=1,'Primary Details - Actual'!O71,0)</f>
        <v>17652.89772167636</v>
      </c>
      <c r="I71" s="5">
        <f t="shared" si="4"/>
        <v>1.9572325982153416E-9</v>
      </c>
      <c r="J71" s="5"/>
      <c r="K71" s="5">
        <f>E71-'Primary Details - Actual'!G71</f>
        <v>17652.897721678317</v>
      </c>
      <c r="L71" s="5"/>
      <c r="M71" s="8"/>
      <c r="N71" s="8"/>
      <c r="O71" s="8"/>
    </row>
    <row r="72" spans="1:15" x14ac:dyDescent="0.25">
      <c r="A72" s="4">
        <f t="shared" si="5"/>
        <v>71</v>
      </c>
      <c r="B72" s="4">
        <f>IF(C72&gt;=Input!$B$5,C72-Input!$B$5,"")</f>
        <v>30</v>
      </c>
      <c r="C72" s="4">
        <f t="shared" si="6"/>
        <v>95</v>
      </c>
      <c r="D72" s="4">
        <f>IF(C72&lt;Input!$B$5,0,IF(AND(C72&gt;=Input!$B$5,C72&lt;Input!$B$5+Input!$B$6),1,2))</f>
        <v>2</v>
      </c>
      <c r="E72" s="5">
        <f>IF(OR(I71&lt;0,D72=2),0,I71*(1+Input!$B$56))</f>
        <v>0</v>
      </c>
      <c r="F72" s="5">
        <f>IF(D72=0,Input!$B$21+Input!$B$24+Input!$B$27,0)</f>
        <v>0</v>
      </c>
      <c r="G72" s="5">
        <f>'Primary Details - Actual'!I72</f>
        <v>0</v>
      </c>
      <c r="H72" s="5">
        <f>IF(D72=1,'Primary Details - Actual'!O72,0)</f>
        <v>0</v>
      </c>
      <c r="I72" s="5">
        <f t="shared" si="4"/>
        <v>1.9572325982153416E-9</v>
      </c>
      <c r="J72" s="5"/>
      <c r="K72" s="5">
        <f>E72-'Primary Details - Actual'!G72</f>
        <v>0</v>
      </c>
      <c r="L72" s="5"/>
      <c r="M72" s="8"/>
      <c r="N72" s="8"/>
      <c r="O72" s="8"/>
    </row>
    <row r="73" spans="1:15" x14ac:dyDescent="0.25">
      <c r="A73" s="4">
        <f t="shared" si="5"/>
        <v>72</v>
      </c>
      <c r="B73" s="4">
        <f>IF(C73&gt;=Input!$B$5,C73-Input!$B$5,"")</f>
        <v>31</v>
      </c>
      <c r="C73" s="4">
        <f t="shared" si="6"/>
        <v>96</v>
      </c>
      <c r="D73" s="4">
        <f>IF(C73&lt;Input!$B$5,0,IF(AND(C73&gt;=Input!$B$5,C73&lt;Input!$B$5+Input!$B$6),1,2))</f>
        <v>2</v>
      </c>
      <c r="E73" s="5">
        <f>IF(OR(I72&lt;0,D73=2),0,I72*(1+Input!$B$56))</f>
        <v>0</v>
      </c>
      <c r="F73" s="5">
        <f>IF(D73=0,Input!$B$21+Input!$B$24+Input!$B$27,0)</f>
        <v>0</v>
      </c>
      <c r="G73" s="5">
        <f>'Primary Details - Actual'!I73</f>
        <v>0</v>
      </c>
      <c r="H73" s="5">
        <f>IF(D73=1,'Primary Details - Actual'!O73,0)</f>
        <v>0</v>
      </c>
      <c r="I73" s="5">
        <f t="shared" si="4"/>
        <v>1.9572325982153416E-9</v>
      </c>
      <c r="J73" s="5"/>
      <c r="K73" s="5">
        <f>E73-'Primary Details - Actual'!G73</f>
        <v>0</v>
      </c>
      <c r="L73" s="5"/>
      <c r="M73" s="8"/>
      <c r="N73" s="8"/>
      <c r="O73" s="8"/>
    </row>
    <row r="74" spans="1:15" x14ac:dyDescent="0.25">
      <c r="A74" s="4">
        <f t="shared" si="5"/>
        <v>73</v>
      </c>
      <c r="B74" s="4">
        <f>IF(C74&gt;=Input!$B$5,C74-Input!$B$5,"")</f>
        <v>32</v>
      </c>
      <c r="C74" s="4">
        <f t="shared" si="6"/>
        <v>97</v>
      </c>
      <c r="D74" s="4">
        <f>IF(C74&lt;Input!$B$5,0,IF(AND(C74&gt;=Input!$B$5,C74&lt;Input!$B$5+Input!$B$6),1,2))</f>
        <v>2</v>
      </c>
      <c r="E74" s="5">
        <f>IF(OR(I73&lt;0,D74=2),0,I73*(1+Input!$B$56))</f>
        <v>0</v>
      </c>
      <c r="F74" s="5">
        <f>IF(D74=0,Input!$B$21+Input!$B$24+Input!$B$27,0)</f>
        <v>0</v>
      </c>
      <c r="G74" s="5">
        <f>'Primary Details - Actual'!I74</f>
        <v>0</v>
      </c>
      <c r="H74" s="5">
        <f>IF(D74=1,'Primary Details - Actual'!O74,0)</f>
        <v>0</v>
      </c>
      <c r="I74" s="5">
        <f t="shared" si="4"/>
        <v>1.9572325982153416E-9</v>
      </c>
      <c r="J74" s="5"/>
      <c r="K74" s="5">
        <f>E74-'Primary Details - Actual'!G74</f>
        <v>0</v>
      </c>
      <c r="L74" s="5"/>
      <c r="M74" s="8"/>
      <c r="N74" s="8"/>
      <c r="O74" s="8"/>
    </row>
    <row r="75" spans="1:15" x14ac:dyDescent="0.25">
      <c r="A75" s="4">
        <f t="shared" si="5"/>
        <v>74</v>
      </c>
      <c r="B75" s="4">
        <f>IF(C75&gt;=Input!$B$5,C75-Input!$B$5,"")</f>
        <v>33</v>
      </c>
      <c r="C75" s="4">
        <f t="shared" si="6"/>
        <v>98</v>
      </c>
      <c r="D75" s="4">
        <f>IF(C75&lt;Input!$B$5,0,IF(AND(C75&gt;=Input!$B$5,C75&lt;Input!$B$5+Input!$B$6),1,2))</f>
        <v>2</v>
      </c>
      <c r="E75" s="5">
        <f>IF(OR(I74&lt;0,D75=2),0,I74*(1+Input!$B$56))</f>
        <v>0</v>
      </c>
      <c r="F75" s="5">
        <f>IF(D75=0,Input!$B$21+Input!$B$24+Input!$B$27,0)</f>
        <v>0</v>
      </c>
      <c r="G75" s="5">
        <f>'Primary Details - Actual'!I75</f>
        <v>0</v>
      </c>
      <c r="H75" s="5">
        <f>IF(D75=1,'Primary Details - Actual'!O75,0)</f>
        <v>0</v>
      </c>
      <c r="I75" s="5">
        <f t="shared" si="4"/>
        <v>1.9572325982153416E-9</v>
      </c>
      <c r="J75" s="5"/>
      <c r="K75" s="5">
        <f>E75-'Primary Details - Actual'!G75</f>
        <v>0</v>
      </c>
      <c r="L75" s="5"/>
      <c r="M75" s="8"/>
      <c r="N75" s="8"/>
      <c r="O75" s="8"/>
    </row>
    <row r="76" spans="1:15" x14ac:dyDescent="0.25">
      <c r="A76" s="4">
        <f t="shared" si="5"/>
        <v>75</v>
      </c>
      <c r="B76" s="4">
        <f>IF(C76&gt;=Input!$B$5,C76-Input!$B$5,"")</f>
        <v>34</v>
      </c>
      <c r="C76" s="4">
        <f t="shared" si="6"/>
        <v>99</v>
      </c>
      <c r="D76" s="4">
        <f>IF(C76&lt;Input!$B$5,0,IF(AND(C76&gt;=Input!$B$5,C76&lt;Input!$B$5+Input!$B$6),1,2))</f>
        <v>2</v>
      </c>
      <c r="E76" s="5">
        <f>IF(OR(I75&lt;0,D76=2),0,I75*(1+Input!$B$56))</f>
        <v>0</v>
      </c>
      <c r="F76" s="5">
        <f>IF(D76=0,Input!$B$21+Input!$B$24+Input!$B$27,0)</f>
        <v>0</v>
      </c>
      <c r="G76" s="5">
        <f>'Primary Details - Actual'!I76</f>
        <v>0</v>
      </c>
      <c r="H76" s="5">
        <f>IF(D76=1,'Primary Details - Actual'!O76,0)</f>
        <v>0</v>
      </c>
      <c r="I76" s="5">
        <f t="shared" si="4"/>
        <v>1.9572325982153416E-9</v>
      </c>
      <c r="J76" s="5"/>
      <c r="K76" s="5">
        <f>E76-'Primary Details - Actual'!G76</f>
        <v>0</v>
      </c>
      <c r="L76" s="5"/>
      <c r="M76" s="8"/>
      <c r="N76" s="8"/>
      <c r="O76" s="8"/>
    </row>
    <row r="77" spans="1:15" x14ac:dyDescent="0.25">
      <c r="A77" s="4">
        <f t="shared" si="5"/>
        <v>76</v>
      </c>
      <c r="B77" s="4">
        <f>IF(C77&gt;=Input!$B$5,C77-Input!$B$5,"")</f>
        <v>35</v>
      </c>
      <c r="C77" s="4">
        <f t="shared" si="6"/>
        <v>100</v>
      </c>
      <c r="D77" s="4">
        <f>IF(C77&lt;Input!$B$5,0,IF(AND(C77&gt;=Input!$B$5,C77&lt;Input!$B$5+Input!$B$6),1,2))</f>
        <v>2</v>
      </c>
      <c r="E77" s="5">
        <f>IF(OR(I76&lt;0,D77=2),0,I76*(1+Input!$B$56))</f>
        <v>0</v>
      </c>
      <c r="F77" s="5">
        <f>IF(D77=0,Input!$B$21+Input!$B$24+Input!$B$27,0)</f>
        <v>0</v>
      </c>
      <c r="G77" s="5">
        <f>'Primary Details - Actual'!I77</f>
        <v>0</v>
      </c>
      <c r="H77" s="5">
        <f>IF(D77=1,'Primary Details - Actual'!O77,0)</f>
        <v>0</v>
      </c>
      <c r="I77" s="5">
        <f t="shared" si="4"/>
        <v>1.9572325982153416E-9</v>
      </c>
      <c r="J77" s="5"/>
      <c r="K77" s="5">
        <f>E77-'Primary Details - Actual'!G77</f>
        <v>0</v>
      </c>
      <c r="L77" s="5"/>
      <c r="M77" s="8"/>
      <c r="N77" s="8"/>
      <c r="O77" s="8"/>
    </row>
    <row r="78" spans="1:15" x14ac:dyDescent="0.25">
      <c r="A78" s="4">
        <f t="shared" si="5"/>
        <v>77</v>
      </c>
      <c r="B78" s="4">
        <f>IF(C78&gt;=Input!$B$5,C78-Input!$B$5,"")</f>
        <v>36</v>
      </c>
      <c r="C78" s="4">
        <f t="shared" si="6"/>
        <v>101</v>
      </c>
      <c r="D78" s="4">
        <f>IF(C78&lt;Input!$B$5,0,IF(AND(C78&gt;=Input!$B$5,C78&lt;Input!$B$5+Input!$B$6),1,2))</f>
        <v>2</v>
      </c>
      <c r="E78" s="5">
        <f>IF(OR(I77&lt;0,D78=2),0,I77*(1+Input!$B$56))</f>
        <v>0</v>
      </c>
      <c r="F78" s="5">
        <f>IF(D78=0,Input!$B$21+Input!$B$24+Input!$B$27,0)</f>
        <v>0</v>
      </c>
      <c r="G78" s="5">
        <f>'Primary Details - Actual'!I78</f>
        <v>0</v>
      </c>
      <c r="H78" s="5">
        <f>IF(D78=1,'Primary Details - Actual'!O78,0)</f>
        <v>0</v>
      </c>
      <c r="I78" s="5">
        <f t="shared" si="4"/>
        <v>1.9572325982153416E-9</v>
      </c>
      <c r="J78" s="5"/>
      <c r="K78" s="5">
        <f>E78-'Primary Details - Actual'!G78</f>
        <v>0</v>
      </c>
      <c r="L78" s="5"/>
      <c r="M78" s="8"/>
      <c r="N78" s="8"/>
      <c r="O78" s="8"/>
    </row>
    <row r="79" spans="1:15" x14ac:dyDescent="0.25">
      <c r="A79" s="4">
        <f t="shared" si="5"/>
        <v>78</v>
      </c>
      <c r="B79" s="4">
        <f>IF(C79&gt;=Input!$B$5,C79-Input!$B$5,"")</f>
        <v>37</v>
      </c>
      <c r="C79" s="4">
        <f t="shared" si="6"/>
        <v>102</v>
      </c>
      <c r="D79" s="4">
        <f>IF(C79&lt;Input!$B$5,0,IF(AND(C79&gt;=Input!$B$5,C79&lt;Input!$B$5+Input!$B$6),1,2))</f>
        <v>2</v>
      </c>
      <c r="E79" s="5">
        <f>IF(OR(I78&lt;0,D79=2),0,I78*(1+Input!$B$56))</f>
        <v>0</v>
      </c>
      <c r="F79" s="5">
        <f>IF(D79=0,Input!$B$21+Input!$B$24+Input!$B$27,0)</f>
        <v>0</v>
      </c>
      <c r="G79" s="5">
        <f>'Primary Details - Actual'!I79</f>
        <v>0</v>
      </c>
      <c r="H79" s="5">
        <f>IF(D79=1,'Primary Details - Actual'!O79,0)</f>
        <v>0</v>
      </c>
      <c r="I79" s="5">
        <f t="shared" si="4"/>
        <v>1.9572325982153416E-9</v>
      </c>
      <c r="J79" s="5"/>
      <c r="K79" s="5">
        <f>E79-'Primary Details - Actual'!G79</f>
        <v>0</v>
      </c>
      <c r="L79" s="5"/>
      <c r="M79" s="8"/>
      <c r="N79" s="8"/>
      <c r="O79" s="8"/>
    </row>
    <row r="80" spans="1:15" x14ac:dyDescent="0.25">
      <c r="A80" s="4">
        <f t="shared" si="5"/>
        <v>79</v>
      </c>
      <c r="B80" s="4">
        <f>IF(C80&gt;=Input!$B$5,C80-Input!$B$5,"")</f>
        <v>38</v>
      </c>
      <c r="C80" s="4">
        <f t="shared" si="6"/>
        <v>103</v>
      </c>
      <c r="D80" s="4">
        <f>IF(C80&lt;Input!$B$5,0,IF(AND(C80&gt;=Input!$B$5,C80&lt;Input!$B$5+Input!$B$6),1,2))</f>
        <v>2</v>
      </c>
      <c r="E80" s="5">
        <f>IF(OR(I79&lt;0,D80=2),0,I79*(1+Input!$B$56))</f>
        <v>0</v>
      </c>
      <c r="F80" s="5">
        <f>IF(D80=0,Input!$B$21+Input!$B$24+Input!$B$27,0)</f>
        <v>0</v>
      </c>
      <c r="G80" s="5">
        <f>'Primary Details - Actual'!I80</f>
        <v>0</v>
      </c>
      <c r="H80" s="5">
        <f>IF(D80=1,'Primary Details - Actual'!O80,0)</f>
        <v>0</v>
      </c>
      <c r="I80" s="5">
        <f t="shared" si="4"/>
        <v>1.9572325982153416E-9</v>
      </c>
      <c r="J80" s="5"/>
      <c r="K80" s="5">
        <f>E80-'Primary Details - Actual'!G80</f>
        <v>0</v>
      </c>
      <c r="L80" s="5"/>
      <c r="M80" s="8"/>
      <c r="N80" s="8"/>
      <c r="O80" s="8"/>
    </row>
    <row r="81" spans="1:15" x14ac:dyDescent="0.25">
      <c r="A81" s="4">
        <f t="shared" si="5"/>
        <v>80</v>
      </c>
      <c r="B81" s="4">
        <f>IF(C81&gt;=Input!$B$5,C81-Input!$B$5,"")</f>
        <v>39</v>
      </c>
      <c r="C81" s="4">
        <f t="shared" si="6"/>
        <v>104</v>
      </c>
      <c r="D81" s="4">
        <f>IF(C81&lt;Input!$B$5,0,IF(AND(C81&gt;=Input!$B$5,C81&lt;Input!$B$5+Input!$B$6),1,2))</f>
        <v>2</v>
      </c>
      <c r="E81" s="5">
        <f>IF(OR(I80&lt;0,D81=2),0,I80*(1+Input!$B$56))</f>
        <v>0</v>
      </c>
      <c r="F81" s="5">
        <f>IF(D81=0,Input!$B$21+Input!$B$24+Input!$B$27,0)</f>
        <v>0</v>
      </c>
      <c r="G81" s="5">
        <f>'Primary Details - Actual'!I81</f>
        <v>0</v>
      </c>
      <c r="H81" s="5">
        <f>IF(D81=1,'Primary Details - Actual'!O81,0)</f>
        <v>0</v>
      </c>
      <c r="I81" s="5">
        <f t="shared" si="4"/>
        <v>1.9572325982153416E-9</v>
      </c>
      <c r="J81" s="5"/>
      <c r="K81" s="5">
        <f>E81-'Primary Details - Actual'!G81</f>
        <v>0</v>
      </c>
      <c r="L81" s="5"/>
      <c r="M81" s="8"/>
      <c r="N81" s="8"/>
      <c r="O81" s="8"/>
    </row>
    <row r="82" spans="1:15" x14ac:dyDescent="0.25">
      <c r="A82" s="4">
        <f t="shared" si="5"/>
        <v>81</v>
      </c>
      <c r="B82" s="4">
        <f>IF(C82&gt;=Input!$B$5,C82-Input!$B$5,"")</f>
        <v>40</v>
      </c>
      <c r="C82" s="4">
        <f t="shared" si="6"/>
        <v>105</v>
      </c>
      <c r="D82" s="4">
        <f>IF(C82&lt;Input!$B$5,0,IF(AND(C82&gt;=Input!$B$5,C82&lt;Input!$B$5+Input!$B$6),1,2))</f>
        <v>2</v>
      </c>
      <c r="E82" s="5">
        <f>IF(OR(I81&lt;0,D82=2),0,I81*(1+Input!$B$56))</f>
        <v>0</v>
      </c>
      <c r="F82" s="5">
        <f>IF(D82=0,Input!$B$21+Input!$B$24+Input!$B$27,0)</f>
        <v>0</v>
      </c>
      <c r="G82" s="5">
        <f>'Primary Details - Actual'!I82</f>
        <v>0</v>
      </c>
      <c r="H82" s="5">
        <f>IF(D82=1,'Primary Details - Actual'!O82,0)</f>
        <v>0</v>
      </c>
      <c r="I82" s="5">
        <f t="shared" si="4"/>
        <v>1.9572325982153416E-9</v>
      </c>
      <c r="J82" s="5"/>
      <c r="K82" s="5">
        <f>E82-'Primary Details - Actual'!G82</f>
        <v>0</v>
      </c>
      <c r="L82" s="5"/>
      <c r="M82" s="8"/>
      <c r="N82" s="8"/>
      <c r="O82" s="8"/>
    </row>
    <row r="83" spans="1:15" x14ac:dyDescent="0.25">
      <c r="A83" s="4">
        <f t="shared" si="5"/>
        <v>82</v>
      </c>
      <c r="B83" s="4">
        <f>IF(C83&gt;=Input!$B$5,C83-Input!$B$5,"")</f>
        <v>41</v>
      </c>
      <c r="C83" s="4">
        <f t="shared" si="6"/>
        <v>106</v>
      </c>
      <c r="D83" s="4">
        <f>IF(C83&lt;Input!$B$5,0,IF(AND(C83&gt;=Input!$B$5,C83&lt;Input!$B$5+Input!$B$6),1,2))</f>
        <v>2</v>
      </c>
      <c r="E83" s="5">
        <f>IF(OR(I82&lt;0,D83=2),0,I82*(1+Input!$B$56))</f>
        <v>0</v>
      </c>
      <c r="F83" s="5">
        <f>IF(D83=0,Input!$B$21+Input!$B$24+Input!$B$27,0)</f>
        <v>0</v>
      </c>
      <c r="G83" s="5">
        <f>'Primary Details - Actual'!I83</f>
        <v>0</v>
      </c>
      <c r="H83" s="5">
        <f>IF(D83=1,'Primary Details - Actual'!O83,0)</f>
        <v>0</v>
      </c>
      <c r="I83" s="5">
        <f t="shared" si="4"/>
        <v>1.9572325982153416E-9</v>
      </c>
      <c r="J83" s="5"/>
      <c r="K83" s="5">
        <f>E83-'Primary Details - Actual'!G83</f>
        <v>0</v>
      </c>
      <c r="L83" s="5"/>
      <c r="M83" s="8"/>
      <c r="N83" s="8"/>
      <c r="O83" s="8"/>
    </row>
    <row r="84" spans="1:15" x14ac:dyDescent="0.25">
      <c r="A84" s="4">
        <f t="shared" si="5"/>
        <v>83</v>
      </c>
      <c r="B84" s="4">
        <f>IF(C84&gt;=Input!$B$5,C84-Input!$B$5,"")</f>
        <v>42</v>
      </c>
      <c r="C84" s="4">
        <f t="shared" si="6"/>
        <v>107</v>
      </c>
      <c r="D84" s="4">
        <f>IF(C84&lt;Input!$B$5,0,IF(AND(C84&gt;=Input!$B$5,C84&lt;Input!$B$5+Input!$B$6),1,2))</f>
        <v>2</v>
      </c>
      <c r="E84" s="5">
        <f>IF(OR(I83&lt;0,D84=2),0,I83*(1+Input!$B$56))</f>
        <v>0</v>
      </c>
      <c r="F84" s="5">
        <f>IF(D84=0,Input!$B$21+Input!$B$24+Input!$B$27,0)</f>
        <v>0</v>
      </c>
      <c r="G84" s="5">
        <f>'Primary Details - Actual'!I84</f>
        <v>0</v>
      </c>
      <c r="H84" s="5">
        <f>IF(D84=1,'Primary Details - Actual'!O84,0)</f>
        <v>0</v>
      </c>
      <c r="I84" s="5">
        <f t="shared" si="4"/>
        <v>1.9572325982153416E-9</v>
      </c>
      <c r="J84" s="5"/>
      <c r="K84" s="5">
        <f>E84-'Primary Details - Actual'!G84</f>
        <v>0</v>
      </c>
      <c r="L84" s="5"/>
      <c r="M84" s="8"/>
      <c r="N84" s="8"/>
      <c r="O84" s="8"/>
    </row>
    <row r="85" spans="1:15" x14ac:dyDescent="0.25">
      <c r="A85" s="4">
        <f t="shared" si="5"/>
        <v>84</v>
      </c>
      <c r="B85" s="4">
        <f>IF(C85&gt;=Input!$B$5,C85-Input!$B$5,"")</f>
        <v>43</v>
      </c>
      <c r="C85" s="4">
        <f t="shared" si="6"/>
        <v>108</v>
      </c>
      <c r="D85" s="4">
        <f>IF(C85&lt;Input!$B$5,0,IF(AND(C85&gt;=Input!$B$5,C85&lt;Input!$B$5+Input!$B$6),1,2))</f>
        <v>2</v>
      </c>
      <c r="E85" s="5">
        <f>IF(OR(I84&lt;0,D85=2),0,I84*(1+Input!$B$56))</f>
        <v>0</v>
      </c>
      <c r="F85" s="5">
        <f>IF(D85=0,Input!$B$21+Input!$B$24+Input!$B$27,0)</f>
        <v>0</v>
      </c>
      <c r="G85" s="5">
        <f>'Primary Details - Actual'!I85</f>
        <v>0</v>
      </c>
      <c r="H85" s="5">
        <f>IF(D85=1,'Primary Details - Actual'!O85,0)</f>
        <v>0</v>
      </c>
      <c r="I85" s="5">
        <f t="shared" si="4"/>
        <v>1.9572325982153416E-9</v>
      </c>
      <c r="J85" s="5"/>
      <c r="K85" s="5">
        <f>E85-'Primary Details - Actual'!G85</f>
        <v>0</v>
      </c>
      <c r="L85" s="5"/>
      <c r="M85" s="8"/>
      <c r="N85" s="8"/>
      <c r="O85" s="8"/>
    </row>
    <row r="86" spans="1:15" x14ac:dyDescent="0.25">
      <c r="A86" s="4">
        <f t="shared" si="5"/>
        <v>85</v>
      </c>
      <c r="B86" s="4">
        <f>IF(C86&gt;=Input!$B$5,C86-Input!$B$5,"")</f>
        <v>44</v>
      </c>
      <c r="C86" s="4">
        <f t="shared" si="6"/>
        <v>109</v>
      </c>
      <c r="D86" s="4">
        <f>IF(C86&lt;Input!$B$5,0,IF(AND(C86&gt;=Input!$B$5,C86&lt;Input!$B$5+Input!$B$6),1,2))</f>
        <v>2</v>
      </c>
      <c r="E86" s="5">
        <f>IF(OR(I85&lt;0,D86=2),0,I85*(1+Input!$B$56))</f>
        <v>0</v>
      </c>
      <c r="F86" s="5">
        <f>IF(D86=0,Input!$B$21+Input!$B$24+Input!$B$27,0)</f>
        <v>0</v>
      </c>
      <c r="G86" s="5">
        <f>'Primary Details - Actual'!I86</f>
        <v>0</v>
      </c>
      <c r="H86" s="5">
        <f>IF(D86=1,'Primary Details - Actual'!O86,0)</f>
        <v>0</v>
      </c>
      <c r="I86" s="5">
        <f t="shared" si="4"/>
        <v>1.9572325982153416E-9</v>
      </c>
      <c r="J86" s="5"/>
      <c r="K86" s="5">
        <f>E86-'Primary Details - Actual'!G86</f>
        <v>0</v>
      </c>
      <c r="L86" s="5"/>
      <c r="M86" s="8"/>
      <c r="N86" s="8"/>
      <c r="O86" s="8"/>
    </row>
    <row r="87" spans="1:15" x14ac:dyDescent="0.25">
      <c r="A87" s="4">
        <f t="shared" si="5"/>
        <v>86</v>
      </c>
      <c r="B87" s="4">
        <f>IF(C87&gt;=Input!$B$5,C87-Input!$B$5,"")</f>
        <v>45</v>
      </c>
      <c r="C87" s="4">
        <f t="shared" si="6"/>
        <v>110</v>
      </c>
      <c r="D87" s="4">
        <f>IF(C87&lt;Input!$B$5,0,IF(AND(C87&gt;=Input!$B$5,C87&lt;Input!$B$5+Input!$B$6),1,2))</f>
        <v>2</v>
      </c>
      <c r="E87" s="5">
        <f>IF(OR(I86&lt;0,D87=2),0,I86*(1+Input!$B$56))</f>
        <v>0</v>
      </c>
      <c r="F87" s="5">
        <f>IF(D87=0,Input!$B$21+Input!$B$24+Input!$B$27,0)</f>
        <v>0</v>
      </c>
      <c r="G87" s="5">
        <f>'Primary Details - Actual'!I87</f>
        <v>0</v>
      </c>
      <c r="H87" s="5">
        <f>IF(D87=1,'Primary Details - Actual'!O87,0)</f>
        <v>0</v>
      </c>
      <c r="I87" s="5">
        <f t="shared" si="4"/>
        <v>1.9572325982153416E-9</v>
      </c>
      <c r="J87" s="5"/>
      <c r="K87" s="5">
        <f>E87-'Primary Details - Actual'!G87</f>
        <v>0</v>
      </c>
      <c r="L87" s="5"/>
      <c r="M87" s="8"/>
      <c r="N87" s="8"/>
      <c r="O87" s="8"/>
    </row>
    <row r="88" spans="1:15" x14ac:dyDescent="0.25">
      <c r="A88" s="4">
        <f t="shared" si="5"/>
        <v>87</v>
      </c>
      <c r="B88" s="4">
        <f>IF(C88&gt;=Input!$B$5,C88-Input!$B$5,"")</f>
        <v>46</v>
      </c>
      <c r="C88" s="4">
        <f t="shared" si="6"/>
        <v>111</v>
      </c>
      <c r="D88" s="4">
        <f>IF(C88&lt;Input!$B$5,0,IF(AND(C88&gt;=Input!$B$5,C88&lt;Input!$B$5+Input!$B$6),1,2))</f>
        <v>2</v>
      </c>
      <c r="E88" s="5">
        <f>IF(OR(I87&lt;0,D88=2),0,I87*(1+Input!$B$56))</f>
        <v>0</v>
      </c>
      <c r="F88" s="5">
        <f>IF(D88=0,Input!$B$21+Input!$B$24+Input!$B$27,0)</f>
        <v>0</v>
      </c>
      <c r="G88" s="5">
        <f>'Primary Details - Actual'!I88</f>
        <v>0</v>
      </c>
      <c r="H88" s="5">
        <f>IF(D88=1,'Primary Details - Actual'!O88,0)</f>
        <v>0</v>
      </c>
      <c r="I88" s="5">
        <f t="shared" si="4"/>
        <v>1.9572325982153416E-9</v>
      </c>
      <c r="J88" s="5"/>
      <c r="K88" s="5">
        <f>E88-'Primary Details - Actual'!G88</f>
        <v>0</v>
      </c>
      <c r="L88" s="5"/>
      <c r="M88" s="8"/>
      <c r="N88" s="8"/>
      <c r="O88" s="8"/>
    </row>
    <row r="89" spans="1:15" x14ac:dyDescent="0.25">
      <c r="A89" s="4">
        <f t="shared" si="5"/>
        <v>88</v>
      </c>
      <c r="B89" s="4">
        <f>IF(C89&gt;=Input!$B$5,C89-Input!$B$5,"")</f>
        <v>47</v>
      </c>
      <c r="C89" s="4">
        <f t="shared" si="6"/>
        <v>112</v>
      </c>
      <c r="D89" s="4">
        <f>IF(C89&lt;Input!$B$5,0,IF(AND(C89&gt;=Input!$B$5,C89&lt;Input!$B$5+Input!$B$6),1,2))</f>
        <v>2</v>
      </c>
      <c r="E89" s="5">
        <f>IF(OR(I88&lt;0,D89=2),0,I88*(1+Input!$B$56))</f>
        <v>0</v>
      </c>
      <c r="F89" s="5">
        <f>IF(D89=0,Input!$B$21+Input!$B$24+Input!$B$27,0)</f>
        <v>0</v>
      </c>
      <c r="G89" s="5">
        <f>'Primary Details - Actual'!I89</f>
        <v>0</v>
      </c>
      <c r="H89" s="5">
        <f>IF(D89=1,'Primary Details - Actual'!O89,0)</f>
        <v>0</v>
      </c>
      <c r="I89" s="5">
        <f t="shared" si="4"/>
        <v>1.9572325982153416E-9</v>
      </c>
      <c r="J89" s="5"/>
      <c r="K89" s="5">
        <f>E89-'Primary Details - Actual'!G89</f>
        <v>0</v>
      </c>
      <c r="L89" s="5"/>
      <c r="M89" s="8"/>
      <c r="N89" s="8"/>
      <c r="O89" s="8"/>
    </row>
    <row r="90" spans="1:15" x14ac:dyDescent="0.25">
      <c r="A90" s="4">
        <f t="shared" si="5"/>
        <v>89</v>
      </c>
      <c r="B90" s="4">
        <f>IF(C90&gt;=Input!$B$5,C90-Input!$B$5,"")</f>
        <v>48</v>
      </c>
      <c r="C90" s="4">
        <f t="shared" si="6"/>
        <v>113</v>
      </c>
      <c r="D90" s="4">
        <f>IF(C90&lt;Input!$B$5,0,IF(AND(C90&gt;=Input!$B$5,C90&lt;Input!$B$5+Input!$B$6),1,2))</f>
        <v>2</v>
      </c>
      <c r="E90" s="5">
        <f>IF(OR(I89&lt;0,D90=2),0,I89*(1+Input!$B$56))</f>
        <v>0</v>
      </c>
      <c r="F90" s="5">
        <f>IF(D90=0,Input!$B$21+Input!$B$24+Input!$B$27,0)</f>
        <v>0</v>
      </c>
      <c r="G90" s="5">
        <f>'Primary Details - Actual'!I90</f>
        <v>0</v>
      </c>
      <c r="H90" s="5">
        <f>IF(D90=1,'Primary Details - Actual'!O90,0)</f>
        <v>0</v>
      </c>
      <c r="I90" s="5">
        <f t="shared" si="4"/>
        <v>1.9572325982153416E-9</v>
      </c>
      <c r="J90" s="5"/>
      <c r="K90" s="5">
        <f>E90-'Primary Details - Actual'!G90</f>
        <v>0</v>
      </c>
      <c r="L90" s="5"/>
      <c r="M90" s="8"/>
      <c r="N90" s="8"/>
      <c r="O90" s="8"/>
    </row>
    <row r="91" spans="1:15" x14ac:dyDescent="0.25">
      <c r="A91" s="4">
        <f t="shared" si="5"/>
        <v>90</v>
      </c>
      <c r="B91" s="4">
        <f>IF(C91&gt;=Input!$B$5,C91-Input!$B$5,"")</f>
        <v>49</v>
      </c>
      <c r="C91" s="4">
        <f t="shared" si="6"/>
        <v>114</v>
      </c>
      <c r="D91" s="4">
        <f>IF(C91&lt;Input!$B$5,0,IF(AND(C91&gt;=Input!$B$5,C91&lt;Input!$B$5+Input!$B$6),1,2))</f>
        <v>2</v>
      </c>
      <c r="E91" s="5">
        <f>IF(OR(I90&lt;0,D91=2),0,I90*(1+Input!$B$56))</f>
        <v>0</v>
      </c>
      <c r="F91" s="5">
        <f>IF(D91=0,Input!$B$21+Input!$B$24+Input!$B$27,0)</f>
        <v>0</v>
      </c>
      <c r="G91" s="5">
        <f>'Primary Details - Actual'!I91</f>
        <v>0</v>
      </c>
      <c r="H91" s="5">
        <f>IF(D91=1,'Primary Details - Actual'!O91,0)</f>
        <v>0</v>
      </c>
      <c r="I91" s="5">
        <f t="shared" si="4"/>
        <v>1.9572325982153416E-9</v>
      </c>
      <c r="J91" s="5"/>
      <c r="K91" s="5">
        <f>E91-'Primary Details - Actual'!G91</f>
        <v>0</v>
      </c>
      <c r="L91" s="5"/>
      <c r="M91" s="8"/>
      <c r="N91" s="8"/>
      <c r="O91" s="8"/>
    </row>
    <row r="92" spans="1:15" x14ac:dyDescent="0.25">
      <c r="A92" s="4">
        <f t="shared" si="5"/>
        <v>91</v>
      </c>
      <c r="B92" s="4">
        <f>IF(C92&gt;=Input!$B$5,C92-Input!$B$5,"")</f>
        <v>50</v>
      </c>
      <c r="C92" s="4">
        <f t="shared" si="6"/>
        <v>115</v>
      </c>
      <c r="D92" s="4">
        <f>IF(C92&lt;Input!$B$5,0,IF(AND(C92&gt;=Input!$B$5,C92&lt;Input!$B$5+Input!$B$6),1,2))</f>
        <v>2</v>
      </c>
      <c r="E92" s="5">
        <f>IF(OR(I91&lt;0,D92=2),0,I91*(1+Input!$B$56))</f>
        <v>0</v>
      </c>
      <c r="F92" s="5">
        <f>IF(D92=0,Input!$B$21+Input!$B$24+Input!$B$27,0)</f>
        <v>0</v>
      </c>
      <c r="G92" s="5">
        <f>'Primary Details - Actual'!I92</f>
        <v>0</v>
      </c>
      <c r="H92" s="5">
        <f>IF(D92=1,'Primary Details - Actual'!O92,0)</f>
        <v>0</v>
      </c>
      <c r="I92" s="5">
        <f t="shared" si="4"/>
        <v>1.9572325982153416E-9</v>
      </c>
      <c r="J92" s="5"/>
      <c r="K92" s="5">
        <f>E92-'Primary Details - Actual'!G92</f>
        <v>0</v>
      </c>
      <c r="L92" s="5"/>
      <c r="M92" s="8"/>
      <c r="N92" s="8"/>
      <c r="O92" s="8"/>
    </row>
    <row r="93" spans="1:15" x14ac:dyDescent="0.25">
      <c r="A93" s="4">
        <f t="shared" si="5"/>
        <v>92</v>
      </c>
      <c r="B93" s="4">
        <f>IF(C93&gt;=Input!$B$5,C93-Input!$B$5,"")</f>
        <v>51</v>
      </c>
      <c r="C93" s="4">
        <f t="shared" si="6"/>
        <v>116</v>
      </c>
      <c r="D93" s="4">
        <f>IF(C93&lt;Input!$B$5,0,IF(AND(C93&gt;=Input!$B$5,C93&lt;Input!$B$5+Input!$B$6),1,2))</f>
        <v>2</v>
      </c>
      <c r="E93" s="5">
        <f>IF(OR(I92&lt;0,D93=2),0,I92*(1+Input!$B$56))</f>
        <v>0</v>
      </c>
      <c r="F93" s="5">
        <f>IF(D93=0,Input!$B$21+Input!$B$24+Input!$B$27,0)</f>
        <v>0</v>
      </c>
      <c r="G93" s="5">
        <f>'Primary Details - Actual'!I93</f>
        <v>0</v>
      </c>
      <c r="H93" s="5">
        <f>IF(D93=1,'Primary Details - Actual'!O93,0)</f>
        <v>0</v>
      </c>
      <c r="I93" s="5">
        <f t="shared" si="4"/>
        <v>1.9572325982153416E-9</v>
      </c>
      <c r="J93" s="5"/>
      <c r="K93" s="5">
        <f>E93-'Primary Details - Actual'!G93</f>
        <v>0</v>
      </c>
      <c r="L93" s="5"/>
      <c r="M93" s="8"/>
      <c r="N93" s="8"/>
      <c r="O93" s="8"/>
    </row>
    <row r="94" spans="1:15" x14ac:dyDescent="0.25">
      <c r="A94" s="4">
        <f t="shared" si="5"/>
        <v>93</v>
      </c>
      <c r="B94" s="4">
        <f>IF(C94&gt;=Input!$B$5,C94-Input!$B$5,"")</f>
        <v>52</v>
      </c>
      <c r="C94" s="4">
        <f t="shared" si="6"/>
        <v>117</v>
      </c>
      <c r="D94" s="4">
        <f>IF(C94&lt;Input!$B$5,0,IF(AND(C94&gt;=Input!$B$5,C94&lt;Input!$B$5+Input!$B$6),1,2))</f>
        <v>2</v>
      </c>
      <c r="E94" s="5">
        <f>IF(OR(I93&lt;0,D94=2),0,I93*(1+Input!$B$56))</f>
        <v>0</v>
      </c>
      <c r="F94" s="5">
        <f>IF(D94=0,Input!$B$21+Input!$B$24+Input!$B$27,0)</f>
        <v>0</v>
      </c>
      <c r="G94" s="5">
        <f>'Primary Details - Actual'!I94</f>
        <v>0</v>
      </c>
      <c r="H94" s="5">
        <f>IF(D94=1,'Primary Details - Actual'!O94,0)</f>
        <v>0</v>
      </c>
      <c r="I94" s="5">
        <f t="shared" si="4"/>
        <v>1.9572325982153416E-9</v>
      </c>
      <c r="J94" s="5"/>
      <c r="K94" s="5">
        <f>E94-'Primary Details - Actual'!G94</f>
        <v>0</v>
      </c>
      <c r="L94" s="5"/>
      <c r="M94" s="8"/>
      <c r="N94" s="8"/>
      <c r="O94" s="8"/>
    </row>
    <row r="95" spans="1:15" x14ac:dyDescent="0.25">
      <c r="A95" s="4">
        <f t="shared" si="5"/>
        <v>94</v>
      </c>
      <c r="B95" s="4">
        <f>IF(C95&gt;=Input!$B$5,C95-Input!$B$5,"")</f>
        <v>53</v>
      </c>
      <c r="C95" s="4">
        <f t="shared" si="6"/>
        <v>118</v>
      </c>
      <c r="D95" s="4">
        <f>IF(C95&lt;Input!$B$5,0,IF(AND(C95&gt;=Input!$B$5,C95&lt;Input!$B$5+Input!$B$6),1,2))</f>
        <v>2</v>
      </c>
      <c r="E95" s="5">
        <f>IF(OR(I94&lt;0,D95=2),0,I94*(1+Input!$B$56))</f>
        <v>0</v>
      </c>
      <c r="F95" s="5">
        <f>IF(D95=0,Input!$B$21+Input!$B$24+Input!$B$27,0)</f>
        <v>0</v>
      </c>
      <c r="G95" s="5">
        <f>'Primary Details - Actual'!I95</f>
        <v>0</v>
      </c>
      <c r="H95" s="5">
        <f>IF(D95=1,'Primary Details - Actual'!O95,0)</f>
        <v>0</v>
      </c>
      <c r="I95" s="5">
        <f t="shared" si="4"/>
        <v>1.9572325982153416E-9</v>
      </c>
      <c r="J95" s="5"/>
      <c r="K95" s="5">
        <f>E95-'Primary Details - Actual'!G95</f>
        <v>0</v>
      </c>
      <c r="L95" s="5"/>
      <c r="M95" s="8"/>
      <c r="N95" s="8"/>
      <c r="O95" s="8"/>
    </row>
    <row r="96" spans="1:15" x14ac:dyDescent="0.25">
      <c r="A96" s="4">
        <f t="shared" si="5"/>
        <v>95</v>
      </c>
      <c r="B96" s="4">
        <f>IF(C96&gt;=Input!$B$5,C96-Input!$B$5,"")</f>
        <v>54</v>
      </c>
      <c r="C96" s="4">
        <f>C95+1</f>
        <v>119</v>
      </c>
      <c r="D96" s="4">
        <f>IF(C96&lt;Input!$B$5,0,IF(AND(C96&gt;=Input!$B$5,C96&lt;Input!$B$5+Input!$B$6),1,2))</f>
        <v>2</v>
      </c>
      <c r="E96" s="5">
        <f>IF(OR(I95&lt;0,D96=2),0,I95*(1+Input!$B$56))</f>
        <v>0</v>
      </c>
      <c r="F96" s="5">
        <f>IF(D96=0,Input!$B$21+Input!$B$24+Input!$B$27,0)</f>
        <v>0</v>
      </c>
      <c r="G96" s="5">
        <f>'Primary Details - Actual'!I96</f>
        <v>0</v>
      </c>
      <c r="H96" s="5">
        <f>IF(D96=1,'Primary Details - Actual'!O96,0)</f>
        <v>0</v>
      </c>
      <c r="I96" s="5">
        <f t="shared" si="4"/>
        <v>1.9572325982153416E-9</v>
      </c>
      <c r="J96" s="5"/>
      <c r="K96" s="5">
        <f>E96-'Primary Details - Actual'!G96</f>
        <v>0</v>
      </c>
      <c r="L96" s="5"/>
      <c r="M96" s="8"/>
      <c r="N96" s="8"/>
      <c r="O96" s="8"/>
    </row>
    <row r="97" spans="1:15" x14ac:dyDescent="0.25">
      <c r="A97" s="4">
        <f t="shared" si="5"/>
        <v>96</v>
      </c>
      <c r="B97" s="4">
        <f>IF(C97&gt;=Input!$B$5,C97-Input!$B$5,"")</f>
        <v>55</v>
      </c>
      <c r="C97" s="4">
        <f t="shared" si="6"/>
        <v>120</v>
      </c>
      <c r="D97" s="4">
        <f>IF(C97&lt;Input!$B$5,0,IF(AND(C97&gt;=Input!$B$5,C97&lt;Input!$B$5+Input!$B$6),1,2))</f>
        <v>2</v>
      </c>
      <c r="E97" s="5">
        <f>IF(OR(I96&lt;0,D97=2),0,I96*(1+Input!$B$56))</f>
        <v>0</v>
      </c>
      <c r="F97" s="5">
        <f>IF(D97=0,Input!$B$21+Input!$B$24+Input!$B$27,0)</f>
        <v>0</v>
      </c>
      <c r="G97" s="5">
        <f>'Primary Details - Actual'!I97</f>
        <v>0</v>
      </c>
      <c r="H97" s="5">
        <f>IF(D97=1,'Primary Details - Actual'!O97,0)</f>
        <v>0</v>
      </c>
      <c r="I97" s="5">
        <f t="shared" si="4"/>
        <v>1.9572325982153416E-9</v>
      </c>
      <c r="J97" s="5"/>
      <c r="K97" s="5">
        <f>E97-'Primary Details - Actual'!G97</f>
        <v>0</v>
      </c>
      <c r="L97" s="5"/>
      <c r="M97" s="8"/>
      <c r="N97" s="8"/>
      <c r="O97" s="8"/>
    </row>
    <row r="98" spans="1:15" x14ac:dyDescent="0.25">
      <c r="A98" s="4">
        <f t="shared" si="5"/>
        <v>97</v>
      </c>
      <c r="B98" s="4">
        <f>IF(C98&gt;=Input!$B$5,C98-Input!$B$5,"")</f>
        <v>56</v>
      </c>
      <c r="C98" s="4">
        <f t="shared" si="6"/>
        <v>121</v>
      </c>
      <c r="D98" s="4">
        <f>IF(C98&lt;Input!$B$5,0,IF(AND(C98&gt;=Input!$B$5,C98&lt;Input!$B$5+Input!$B$6),1,2))</f>
        <v>2</v>
      </c>
      <c r="E98" s="5">
        <f>IF(OR(I97&lt;0,D98=2),0,I97*(1+Input!$B$56))</f>
        <v>0</v>
      </c>
      <c r="F98" s="5">
        <f>IF(D98=0,Input!$B$21+Input!$B$24+Input!$B$27,0)</f>
        <v>0</v>
      </c>
      <c r="G98" s="5">
        <f>'Primary Details - Actual'!I98</f>
        <v>0</v>
      </c>
      <c r="H98" s="5">
        <f>IF(D98=1,'Primary Details - Actual'!O98,0)</f>
        <v>0</v>
      </c>
      <c r="I98" s="5">
        <f t="shared" si="4"/>
        <v>1.9572325982153416E-9</v>
      </c>
      <c r="J98" s="5"/>
      <c r="K98" s="5">
        <f>E98-'Primary Details - Actual'!G98</f>
        <v>0</v>
      </c>
      <c r="L98" s="5"/>
      <c r="M98" s="8"/>
      <c r="N98" s="8"/>
      <c r="O98" s="8"/>
    </row>
    <row r="99" spans="1:15" x14ac:dyDescent="0.25">
      <c r="A99" s="4">
        <f t="shared" si="5"/>
        <v>98</v>
      </c>
      <c r="B99" s="4">
        <f>IF(C99&gt;=Input!$B$5,C99-Input!$B$5,"")</f>
        <v>57</v>
      </c>
      <c r="C99" s="4">
        <f t="shared" si="6"/>
        <v>122</v>
      </c>
      <c r="D99" s="4">
        <f>IF(C99&lt;Input!$B$5,0,IF(AND(C99&gt;=Input!$B$5,C99&lt;Input!$B$5+Input!$B$6),1,2))</f>
        <v>2</v>
      </c>
      <c r="E99" s="5">
        <f>IF(OR(I98&lt;0,D99=2),0,I98*(1+Input!$B$56))</f>
        <v>0</v>
      </c>
      <c r="F99" s="5">
        <f>IF(D99=0,Input!$B$21+Input!$B$24+Input!$B$27,0)</f>
        <v>0</v>
      </c>
      <c r="G99" s="5">
        <f>'Primary Details - Actual'!I99</f>
        <v>0</v>
      </c>
      <c r="H99" s="5">
        <f>IF(D99=1,'Primary Details - Actual'!O99,0)</f>
        <v>0</v>
      </c>
      <c r="I99" s="5">
        <f t="shared" ref="I99:I102" si="7">IF(D99=2,I98,E99+F99-H99)</f>
        <v>1.9572325982153416E-9</v>
      </c>
      <c r="J99" s="5"/>
      <c r="K99" s="5">
        <f>E99-'Primary Details - Actual'!G99</f>
        <v>0</v>
      </c>
      <c r="L99" s="5"/>
      <c r="M99" s="8"/>
      <c r="N99" s="8"/>
      <c r="O99" s="8"/>
    </row>
    <row r="100" spans="1:15" x14ac:dyDescent="0.25">
      <c r="A100" s="4">
        <f t="shared" si="5"/>
        <v>99</v>
      </c>
      <c r="B100" s="4">
        <f>IF(C100&gt;=Input!$B$5,C100-Input!$B$5,"")</f>
        <v>58</v>
      </c>
      <c r="C100" s="4">
        <f t="shared" si="6"/>
        <v>123</v>
      </c>
      <c r="D100" s="4">
        <f>IF(C100&lt;Input!$B$5,0,IF(AND(C100&gt;=Input!$B$5,C100&lt;Input!$B$5+Input!$B$6),1,2))</f>
        <v>2</v>
      </c>
      <c r="E100" s="5">
        <f>IF(OR(I99&lt;0,D100=2),0,I99*(1+Input!$B$56))</f>
        <v>0</v>
      </c>
      <c r="F100" s="5">
        <f>IF(D100=0,Input!$B$21+Input!$B$24+Input!$B$27,0)</f>
        <v>0</v>
      </c>
      <c r="G100" s="5">
        <f>'Primary Details - Actual'!I100</f>
        <v>0</v>
      </c>
      <c r="H100" s="5">
        <f>IF(D100=1,'Primary Details - Actual'!O100,0)</f>
        <v>0</v>
      </c>
      <c r="I100" s="5">
        <f t="shared" si="7"/>
        <v>1.9572325982153416E-9</v>
      </c>
      <c r="J100" s="5"/>
      <c r="K100" s="5">
        <f>E100-'Primary Details - Actual'!G100</f>
        <v>0</v>
      </c>
      <c r="L100" s="5"/>
      <c r="M100" s="8"/>
      <c r="N100" s="8"/>
      <c r="O100" s="8"/>
    </row>
    <row r="101" spans="1:15" x14ac:dyDescent="0.25">
      <c r="A101" s="4">
        <f t="shared" si="5"/>
        <v>100</v>
      </c>
      <c r="B101" s="4">
        <f>IF(C101&gt;=Input!$B$5,C101-Input!$B$5,"")</f>
        <v>59</v>
      </c>
      <c r="C101" s="4">
        <f t="shared" si="6"/>
        <v>124</v>
      </c>
      <c r="D101" s="4">
        <f>IF(C101&lt;Input!$B$5,0,IF(AND(C101&gt;=Input!$B$5,C101&lt;Input!$B$5+Input!$B$6),1,2))</f>
        <v>2</v>
      </c>
      <c r="E101" s="5">
        <f>IF(OR(I100&lt;0,D101=2),0,I100*(1+Input!$B$56))</f>
        <v>0</v>
      </c>
      <c r="F101" s="5">
        <f>IF(D101=0,Input!$B$21+Input!$B$24+Input!$B$27,0)</f>
        <v>0</v>
      </c>
      <c r="G101" s="5">
        <f>'Primary Details - Actual'!I101</f>
        <v>0</v>
      </c>
      <c r="H101" s="5">
        <f>IF(D101=1,'Primary Details - Actual'!O101,0)</f>
        <v>0</v>
      </c>
      <c r="I101" s="5">
        <f t="shared" si="7"/>
        <v>1.9572325982153416E-9</v>
      </c>
      <c r="J101" s="5"/>
      <c r="K101" s="5">
        <f>E101-'Primary Details - Actual'!G101</f>
        <v>0</v>
      </c>
      <c r="L101" s="5"/>
      <c r="M101" s="8"/>
      <c r="N101" s="8"/>
      <c r="O101" s="8"/>
    </row>
    <row r="102" spans="1:15" x14ac:dyDescent="0.25">
      <c r="A102" s="4">
        <f t="shared" si="5"/>
        <v>101</v>
      </c>
      <c r="B102" s="4">
        <f>IF(C102&gt;=Input!$B$5,C102-Input!$B$5,"")</f>
        <v>60</v>
      </c>
      <c r="C102" s="4">
        <f t="shared" si="6"/>
        <v>125</v>
      </c>
      <c r="D102" s="4">
        <f>IF(C102&lt;Input!$B$5,0,IF(AND(C102&gt;=Input!$B$5,C102&lt;Input!$B$5+Input!$B$6),1,2))</f>
        <v>2</v>
      </c>
      <c r="E102" s="5">
        <f>IF(OR(I101&lt;0,D102=2),0,I101*(1+Input!$B$56))</f>
        <v>0</v>
      </c>
      <c r="F102" s="5">
        <f>IF(D102=0,Input!$B$21+Input!$B$24+Input!$B$27,0)</f>
        <v>0</v>
      </c>
      <c r="G102" s="5">
        <f>'Primary Details - Actual'!I102</f>
        <v>0</v>
      </c>
      <c r="H102" s="5">
        <f>IF(D102=1,'Primary Details - Actual'!O102,0)</f>
        <v>0</v>
      </c>
      <c r="I102" s="5">
        <f t="shared" si="7"/>
        <v>1.9572325982153416E-9</v>
      </c>
      <c r="J102" s="5"/>
      <c r="K102" s="5">
        <f>E102-'Primary Details - Actual'!G102</f>
        <v>0</v>
      </c>
      <c r="L102" s="5"/>
      <c r="M102" s="8"/>
      <c r="N102" s="8"/>
      <c r="O102" s="8"/>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topLeftCell="A27" zoomScale="85" zoomScaleNormal="85" workbookViewId="0">
      <selection activeCell="O66" sqref="O66"/>
    </sheetView>
  </sheetViews>
  <sheetFormatPr defaultRowHeight="15" x14ac:dyDescent="0.25"/>
  <cols>
    <col min="1" max="1" width="9.85546875" style="4" customWidth="1"/>
    <col min="2" max="2" width="10.140625" style="4" customWidth="1"/>
    <col min="3" max="3" width="4.42578125" style="4" bestFit="1" customWidth="1"/>
    <col min="4" max="4" width="8.42578125" style="4" customWidth="1"/>
    <col min="5" max="6" width="5.85546875" style="4" customWidth="1"/>
    <col min="7" max="7" width="12.5703125" bestFit="1" customWidth="1"/>
    <col min="8" max="8" width="13.7109375" customWidth="1"/>
    <col min="9" max="9" width="15.28515625" bestFit="1" customWidth="1"/>
    <col min="10" max="10" width="16.140625" customWidth="1"/>
    <col min="11" max="11" width="15.7109375" bestFit="1" customWidth="1"/>
    <col min="12" max="12" width="14" customWidth="1"/>
    <col min="13" max="13" width="17.42578125" hidden="1" customWidth="1"/>
    <col min="14" max="16" width="17.42578125" customWidth="1"/>
    <col min="17" max="17" width="7.85546875" style="4" customWidth="1"/>
    <col min="18" max="18" width="13.85546875" customWidth="1"/>
  </cols>
  <sheetData>
    <row r="1" spans="1:19" ht="33" customHeight="1" x14ac:dyDescent="0.25">
      <c r="A1" s="4" t="s">
        <v>26</v>
      </c>
      <c r="B1" s="10" t="s">
        <v>39</v>
      </c>
      <c r="C1" s="4" t="s">
        <v>20</v>
      </c>
      <c r="D1" s="4" t="s">
        <v>21</v>
      </c>
      <c r="E1" s="10" t="s">
        <v>68</v>
      </c>
      <c r="F1" s="10" t="s">
        <v>69</v>
      </c>
      <c r="G1" s="10" t="s">
        <v>22</v>
      </c>
      <c r="H1" s="4" t="s">
        <v>23</v>
      </c>
      <c r="I1" s="4" t="s">
        <v>35</v>
      </c>
      <c r="J1" s="4" t="s">
        <v>24</v>
      </c>
      <c r="K1" s="4" t="s">
        <v>8</v>
      </c>
      <c r="L1" s="10" t="s">
        <v>11</v>
      </c>
      <c r="M1" s="10" t="s">
        <v>37</v>
      </c>
      <c r="N1" s="10" t="s">
        <v>41</v>
      </c>
      <c r="O1" s="10" t="s">
        <v>38</v>
      </c>
      <c r="P1" s="10" t="s">
        <v>25</v>
      </c>
      <c r="Q1" s="10"/>
    </row>
    <row r="2" spans="1:19" x14ac:dyDescent="0.25">
      <c r="A2" s="4">
        <v>1</v>
      </c>
      <c r="B2" s="4" t="str">
        <f>IF(C2&gt;=Input!$C$5,C2-Input!$C$5,"")</f>
        <v/>
      </c>
      <c r="C2" s="4">
        <f>Input!C4</f>
        <v>25</v>
      </c>
      <c r="D2" s="4">
        <f>IF(C2&lt;Input!$C$5,0,IF(AND(C2&gt;=Input!$C$5,C2&lt;Input!$C$5+Input!$C$6),1,2))</f>
        <v>0</v>
      </c>
      <c r="E2" s="4">
        <f>IF(C2&gt;=Input!$B$61,1,0)</f>
        <v>0</v>
      </c>
      <c r="F2" s="4">
        <f>IF(AND(C2&gt;=Input!$B$62,D2=1),1,0)</f>
        <v>0</v>
      </c>
      <c r="G2" s="5">
        <f>Input!C19+Input!C22+Input!C25</f>
        <v>140000</v>
      </c>
      <c r="H2" s="5">
        <f>IF(D2=0,Input!$C$21+Input!$C$24+Input!$C$27,0)</f>
        <v>2400</v>
      </c>
      <c r="I2" s="5">
        <f>IF(D2=1,Input!$B$72,0)</f>
        <v>0</v>
      </c>
      <c r="J2" s="5">
        <f>IF(F2=1,FV(Input!$B$56,B2,,-Input!$C$12),0)</f>
        <v>0</v>
      </c>
      <c r="K2" s="5">
        <f>IF(E2=1,FV(Input!$B$56,B2,,-Input!$C$13),0)</f>
        <v>0</v>
      </c>
      <c r="L2" s="5">
        <f>IF(D2=1,Input!$C$16+Input!$C$14+Input!$C$15,0)</f>
        <v>0</v>
      </c>
      <c r="M2" s="8" t="s">
        <v>70</v>
      </c>
      <c r="N2" s="8">
        <f>J2+K2+L2</f>
        <v>0</v>
      </c>
      <c r="O2" s="5">
        <f>IF(D2=1,I2-J2-K2-L2,0)</f>
        <v>0</v>
      </c>
      <c r="P2" s="5">
        <f>G2+H2-O2</f>
        <v>142400</v>
      </c>
      <c r="R2" s="7" t="e">
        <f>IF(PV(Input!$B$56,'Spouse Details - Hypothetical'!B2,0,'Spouse Details - Hypothetical'!H2,1),0,PV(Input!$B$56,'Spouse Details - Hypothetical'!B2,0,'Spouse Details - Hypothetical'!H2,1))</f>
        <v>#VALUE!</v>
      </c>
      <c r="S2">
        <f t="shared" ref="S2:S65" si="0">IFERROR(R2,0)</f>
        <v>0</v>
      </c>
    </row>
    <row r="3" spans="1:19" x14ac:dyDescent="0.25">
      <c r="A3" s="4">
        <f>A2+1</f>
        <v>2</v>
      </c>
      <c r="B3" s="4" t="str">
        <f>IF(C3&gt;=Input!$C$5,C3-Input!$C$5,"")</f>
        <v/>
      </c>
      <c r="C3" s="4">
        <f>C2+1</f>
        <v>26</v>
      </c>
      <c r="D3" s="4">
        <f>IF(C3&lt;Input!$C$5,0,IF(AND(C3&gt;=Input!$C$5,C3&lt;Input!$C$5+Input!$C$6),1,2))</f>
        <v>0</v>
      </c>
      <c r="E3" s="4">
        <f>IF(C3&gt;=Input!$B$61,1,0)</f>
        <v>0</v>
      </c>
      <c r="F3" s="4">
        <f>IF(AND(C3&gt;=Input!$B$62,D3=1),1,0)</f>
        <v>0</v>
      </c>
      <c r="G3" s="5">
        <f>IF(OR(P2&lt;0,D3=2),0,P2*(1+Input!$B$56))</f>
        <v>143796.07843137253</v>
      </c>
      <c r="H3" s="5">
        <f>IF(D3=0,Input!$C$21+Input!$C$24+Input!$C$27,0)</f>
        <v>2400</v>
      </c>
      <c r="I3" s="5">
        <f>IF(D3=1,Input!$B$72,0)</f>
        <v>0</v>
      </c>
      <c r="J3" s="5">
        <f>IF(F3=1,FV(Input!$B$56,B3,,-Input!$C$12),0)</f>
        <v>0</v>
      </c>
      <c r="K3" s="5">
        <f>IF(E3=1,FV(Input!$B$56,B3,,-Input!$C$13),0)</f>
        <v>0</v>
      </c>
      <c r="L3" s="5">
        <f>IF(D3=1,Input!$C$16+Input!$C$14+Input!$C$15,0)</f>
        <v>0</v>
      </c>
      <c r="M3" s="8"/>
      <c r="N3" s="8">
        <f t="shared" ref="N3:N66" si="1">J3+K3+L3</f>
        <v>0</v>
      </c>
      <c r="O3" s="5">
        <f t="shared" ref="O3:O66" si="2">IF(D3=1,I3-J3-K3-L3,0)</f>
        <v>0</v>
      </c>
      <c r="P3" s="5">
        <f t="shared" ref="P3:P66" si="3">IF(D3=2,P2,G3+H3-O3)</f>
        <v>146196.07843137253</v>
      </c>
      <c r="R3" s="7" t="e">
        <f>PV(Input!$B$56,'Spouse Details - Hypothetical'!B3,0,'Spouse Details - Hypothetical'!H3,1)</f>
        <v>#VALUE!</v>
      </c>
      <c r="S3">
        <f t="shared" si="0"/>
        <v>0</v>
      </c>
    </row>
    <row r="4" spans="1:19" x14ac:dyDescent="0.25">
      <c r="A4" s="4">
        <f t="shared" ref="A4:A67" si="4">A3+1</f>
        <v>3</v>
      </c>
      <c r="B4" s="4" t="str">
        <f>IF(C4&gt;=Input!$C$5,C4-Input!$C$5,"")</f>
        <v/>
      </c>
      <c r="C4" s="4">
        <f t="shared" ref="C4:C67" si="5">C3+1</f>
        <v>27</v>
      </c>
      <c r="D4" s="4">
        <f>IF(C4&lt;Input!$C$5,0,IF(AND(C4&gt;=Input!$C$5,C4&lt;Input!$C$5+Input!$C$6),1,2))</f>
        <v>0</v>
      </c>
      <c r="E4" s="4">
        <f>IF(C4&gt;=Input!$B$61,1,0)</f>
        <v>0</v>
      </c>
      <c r="F4" s="4">
        <f>IF(AND(C4&gt;=Input!$B$62,D4=1),1,0)</f>
        <v>0</v>
      </c>
      <c r="G4" s="5">
        <f>IF(OR(P3&lt;0,D4=2),0,P3*(1+Input!$B$56))</f>
        <v>147629.3733179546</v>
      </c>
      <c r="H4" s="5">
        <f>IF(D4=0,Input!$C$21+Input!$C$24+Input!$C$27,0)</f>
        <v>2400</v>
      </c>
      <c r="I4" s="5">
        <f>IF(D4=1,Input!$B$72,0)</f>
        <v>0</v>
      </c>
      <c r="J4" s="5">
        <f>IF(F4=1,FV(Input!$B$56,B4,,-Input!$C$12),0)</f>
        <v>0</v>
      </c>
      <c r="K4" s="5">
        <f>IF(E4=1,FV(Input!$B$56,B4,,-Input!$C$13),0)</f>
        <v>0</v>
      </c>
      <c r="L4" s="5">
        <f>IF(D4=1,Input!$C$16+Input!$C$14+Input!$C$15,0)</f>
        <v>0</v>
      </c>
      <c r="M4" s="8"/>
      <c r="N4" s="8">
        <f t="shared" si="1"/>
        <v>0</v>
      </c>
      <c r="O4" s="5">
        <f t="shared" si="2"/>
        <v>0</v>
      </c>
      <c r="P4" s="5">
        <f t="shared" si="3"/>
        <v>150029.3733179546</v>
      </c>
      <c r="R4" s="7" t="e">
        <f>PV(Input!$B$56,'Spouse Details - Hypothetical'!B4,0,'Spouse Details - Hypothetical'!H4,1)</f>
        <v>#VALUE!</v>
      </c>
      <c r="S4">
        <f t="shared" si="0"/>
        <v>0</v>
      </c>
    </row>
    <row r="5" spans="1:19" x14ac:dyDescent="0.25">
      <c r="A5" s="4">
        <f t="shared" si="4"/>
        <v>4</v>
      </c>
      <c r="B5" s="4" t="str">
        <f>IF(C5&gt;=Input!$C$5,C5-Input!$C$5,"")</f>
        <v/>
      </c>
      <c r="C5" s="4">
        <f t="shared" si="5"/>
        <v>28</v>
      </c>
      <c r="D5" s="4">
        <f>IF(C5&lt;Input!$C$5,0,IF(AND(C5&gt;=Input!$C$5,C5&lt;Input!$C$5+Input!$C$6),1,2))</f>
        <v>0</v>
      </c>
      <c r="E5" s="4">
        <f>IF(C5&gt;=Input!$B$61,1,0)</f>
        <v>0</v>
      </c>
      <c r="F5" s="4">
        <f>IF(AND(C5&gt;=Input!$B$62,D5=1),1,0)</f>
        <v>0</v>
      </c>
      <c r="G5" s="5">
        <f>IF(OR(P4&lt;0,D5=2),0,P4*(1+Input!$B$56))</f>
        <v>151500.24952695414</v>
      </c>
      <c r="H5" s="5">
        <f>IF(D5=0,Input!$C$21+Input!$C$24+Input!$C$27,0)</f>
        <v>2400</v>
      </c>
      <c r="I5" s="5">
        <f>IF(D5=1,Input!$B$72,0)</f>
        <v>0</v>
      </c>
      <c r="J5" s="5">
        <f>IF(F5=1,FV(Input!$B$56,B5,,-Input!$C$12),0)</f>
        <v>0</v>
      </c>
      <c r="K5" s="5">
        <f>IF(E5=1,FV(Input!$B$56,B5,,-Input!$C$13),0)</f>
        <v>0</v>
      </c>
      <c r="L5" s="5">
        <f>IF(D5=1,Input!$C$16+Input!$C$14+Input!$C$15,0)</f>
        <v>0</v>
      </c>
      <c r="M5" s="8"/>
      <c r="N5" s="8">
        <f t="shared" si="1"/>
        <v>0</v>
      </c>
      <c r="O5" s="5">
        <f t="shared" si="2"/>
        <v>0</v>
      </c>
      <c r="P5" s="5">
        <f t="shared" si="3"/>
        <v>153900.24952695414</v>
      </c>
      <c r="R5" s="7" t="e">
        <f>PV(Input!$B$56,'Spouse Details - Hypothetical'!B5,0,'Spouse Details - Hypothetical'!H5,1)</f>
        <v>#VALUE!</v>
      </c>
      <c r="S5">
        <f t="shared" si="0"/>
        <v>0</v>
      </c>
    </row>
    <row r="6" spans="1:19" x14ac:dyDescent="0.25">
      <c r="A6" s="4">
        <f t="shared" si="4"/>
        <v>5</v>
      </c>
      <c r="B6" s="4" t="str">
        <f>IF(C6&gt;=Input!$C$5,C6-Input!$C$5,"")</f>
        <v/>
      </c>
      <c r="C6" s="4">
        <f t="shared" si="5"/>
        <v>29</v>
      </c>
      <c r="D6" s="4">
        <f>IF(C6&lt;Input!$C$5,0,IF(AND(C6&gt;=Input!$C$5,C6&lt;Input!$C$5+Input!$C$6),1,2))</f>
        <v>0</v>
      </c>
      <c r="E6" s="4">
        <f>IF(C6&gt;=Input!$B$61,1,0)</f>
        <v>0</v>
      </c>
      <c r="F6" s="4">
        <f>IF(AND(C6&gt;=Input!$B$62,D6=1),1,0)</f>
        <v>0</v>
      </c>
      <c r="G6" s="5">
        <f>IF(OR(P5&lt;0,D6=2),0,P5*(1+Input!$B$56))</f>
        <v>155409.07550270858</v>
      </c>
      <c r="H6" s="5">
        <f>IF(D6=0,Input!$C$21+Input!$C$24+Input!$C$27,0)</f>
        <v>2400</v>
      </c>
      <c r="I6" s="5">
        <f>IF(D6=1,Input!$B$72,0)</f>
        <v>0</v>
      </c>
      <c r="J6" s="5">
        <f>IF(F6=1,FV(Input!$B$56,B6,,-Input!$C$12),0)</f>
        <v>0</v>
      </c>
      <c r="K6" s="5">
        <f>IF(E6=1,FV(Input!$B$56,B6,,-Input!$C$13),0)</f>
        <v>0</v>
      </c>
      <c r="L6" s="5">
        <f>IF(D6=1,Input!$C$16+Input!$C$14+Input!$C$15,0)</f>
        <v>0</v>
      </c>
      <c r="M6" s="8"/>
      <c r="N6" s="8">
        <f t="shared" si="1"/>
        <v>0</v>
      </c>
      <c r="O6" s="5">
        <f t="shared" si="2"/>
        <v>0</v>
      </c>
      <c r="P6" s="5">
        <f t="shared" si="3"/>
        <v>157809.07550270858</v>
      </c>
      <c r="R6" s="7" t="e">
        <f>PV(Input!$B$56,'Spouse Details - Hypothetical'!B6,0,'Spouse Details - Hypothetical'!H6,1)</f>
        <v>#VALUE!</v>
      </c>
      <c r="S6">
        <f t="shared" si="0"/>
        <v>0</v>
      </c>
    </row>
    <row r="7" spans="1:19" x14ac:dyDescent="0.25">
      <c r="A7" s="4">
        <f t="shared" si="4"/>
        <v>6</v>
      </c>
      <c r="B7" s="4" t="str">
        <f>IF(C7&gt;=Input!$C$5,C7-Input!$C$5,"")</f>
        <v/>
      </c>
      <c r="C7" s="4">
        <f t="shared" si="5"/>
        <v>30</v>
      </c>
      <c r="D7" s="4">
        <f>IF(C7&lt;Input!$C$5,0,IF(AND(C7&gt;=Input!$C$5,C7&lt;Input!$C$5+Input!$C$6),1,2))</f>
        <v>0</v>
      </c>
      <c r="E7" s="4">
        <f>IF(C7&gt;=Input!$B$61,1,0)</f>
        <v>0</v>
      </c>
      <c r="F7" s="4">
        <f>IF(AND(C7&gt;=Input!$B$62,D7=1),1,0)</f>
        <v>0</v>
      </c>
      <c r="G7" s="5">
        <f>IF(OR(P6&lt;0,D7=2),0,P6*(1+Input!$B$56))</f>
        <v>159356.22330175474</v>
      </c>
      <c r="H7" s="5">
        <f>IF(D7=0,Input!$C$21+Input!$C$24+Input!$C$27,0)</f>
        <v>2400</v>
      </c>
      <c r="I7" s="5">
        <f>IF(D7=1,Input!$B$72,0)</f>
        <v>0</v>
      </c>
      <c r="J7" s="5">
        <f>IF(F7=1,FV(Input!$B$56,B7,,-Input!$C$12),0)</f>
        <v>0</v>
      </c>
      <c r="K7" s="5">
        <f>IF(E7=1,FV(Input!$B$56,B7,,-Input!$C$13),0)</f>
        <v>0</v>
      </c>
      <c r="L7" s="5">
        <f>IF(D7=1,Input!$C$16+Input!$C$14+Input!$C$15,0)</f>
        <v>0</v>
      </c>
      <c r="M7" s="8"/>
      <c r="N7" s="8">
        <f t="shared" si="1"/>
        <v>0</v>
      </c>
      <c r="O7" s="5">
        <f t="shared" si="2"/>
        <v>0</v>
      </c>
      <c r="P7" s="5">
        <f t="shared" si="3"/>
        <v>161756.22330175474</v>
      </c>
      <c r="R7" s="7" t="e">
        <f>PV(Input!$B$56,'Spouse Details - Hypothetical'!B7,0,'Spouse Details - Hypothetical'!H7,1)</f>
        <v>#VALUE!</v>
      </c>
      <c r="S7">
        <f t="shared" si="0"/>
        <v>0</v>
      </c>
    </row>
    <row r="8" spans="1:19" x14ac:dyDescent="0.25">
      <c r="A8" s="4">
        <f t="shared" si="4"/>
        <v>7</v>
      </c>
      <c r="B8" s="4" t="str">
        <f>IF(C8&gt;=Input!$C$5,C8-Input!$C$5,"")</f>
        <v/>
      </c>
      <c r="C8" s="4">
        <f t="shared" si="5"/>
        <v>31</v>
      </c>
      <c r="D8" s="4">
        <f>IF(C8&lt;Input!$C$5,0,IF(AND(C8&gt;=Input!$C$5,C8&lt;Input!$C$5+Input!$C$6),1,2))</f>
        <v>0</v>
      </c>
      <c r="E8" s="4">
        <f>IF(C8&gt;=Input!$B$61,1,0)</f>
        <v>0</v>
      </c>
      <c r="F8" s="4">
        <f>IF(AND(C8&gt;=Input!$B$62,D8=1),1,0)</f>
        <v>0</v>
      </c>
      <c r="G8" s="5">
        <f>IF(OR(P7&lt;0,D8=2),0,P7*(1+Input!$B$56))</f>
        <v>163342.06862824253</v>
      </c>
      <c r="H8" s="5">
        <f>IF(D8=0,Input!$C$21+Input!$C$24+Input!$C$27,0)</f>
        <v>2400</v>
      </c>
      <c r="I8" s="5">
        <f>IF(D8=1,Input!$B$72,0)</f>
        <v>0</v>
      </c>
      <c r="J8" s="5">
        <f>IF(F8=1,FV(Input!$B$56,B8,,-Input!$C$12),0)</f>
        <v>0</v>
      </c>
      <c r="K8" s="5">
        <f>IF(E8=1,FV(Input!$B$56,B8,,-Input!$C$13),0)</f>
        <v>0</v>
      </c>
      <c r="L8" s="5">
        <f>IF(D8=1,Input!$C$16+Input!$C$14+Input!$C$15,0)</f>
        <v>0</v>
      </c>
      <c r="M8" s="8"/>
      <c r="N8" s="8">
        <f t="shared" si="1"/>
        <v>0</v>
      </c>
      <c r="O8" s="5">
        <f t="shared" si="2"/>
        <v>0</v>
      </c>
      <c r="P8" s="5">
        <f t="shared" si="3"/>
        <v>165742.06862824253</v>
      </c>
      <c r="R8" s="7" t="e">
        <f>PV(Input!$B$56,'Spouse Details - Hypothetical'!B8,0,'Spouse Details - Hypothetical'!H8,1)</f>
        <v>#VALUE!</v>
      </c>
      <c r="S8">
        <f t="shared" si="0"/>
        <v>0</v>
      </c>
    </row>
    <row r="9" spans="1:19" x14ac:dyDescent="0.25">
      <c r="A9" s="4">
        <f t="shared" si="4"/>
        <v>8</v>
      </c>
      <c r="B9" s="4" t="str">
        <f>IF(C9&gt;=Input!$C$5,C9-Input!$C$5,"")</f>
        <v/>
      </c>
      <c r="C9" s="4">
        <f t="shared" si="5"/>
        <v>32</v>
      </c>
      <c r="D9" s="4">
        <f>IF(C9&lt;Input!$C$5,0,IF(AND(C9&gt;=Input!$C$5,C9&lt;Input!$C$5+Input!$C$6),1,2))</f>
        <v>0</v>
      </c>
      <c r="E9" s="4">
        <f>IF(C9&gt;=Input!$B$61,1,0)</f>
        <v>0</v>
      </c>
      <c r="F9" s="4">
        <f>IF(AND(C9&gt;=Input!$B$62,D9=1),1,0)</f>
        <v>0</v>
      </c>
      <c r="G9" s="5">
        <f>IF(OR(P8&lt;0,D9=2),0,P8*(1+Input!$B$56))</f>
        <v>167366.99086969587</v>
      </c>
      <c r="H9" s="5">
        <f>IF(D9=0,Input!$C$21+Input!$C$24+Input!$C$27,0)</f>
        <v>2400</v>
      </c>
      <c r="I9" s="5">
        <f>IF(D9=1,Input!$B$72,0)</f>
        <v>0</v>
      </c>
      <c r="J9" s="5">
        <f>IF(F9=1,FV(Input!$B$56,B9,,-Input!$C$12),0)</f>
        <v>0</v>
      </c>
      <c r="K9" s="5">
        <f>IF(E9=1,FV(Input!$B$56,B9,,-Input!$C$13),0)</f>
        <v>0</v>
      </c>
      <c r="L9" s="5">
        <f>IF(D9=1,Input!$C$16+Input!$C$14+Input!$C$15,0)</f>
        <v>0</v>
      </c>
      <c r="M9" s="8"/>
      <c r="N9" s="8">
        <f t="shared" si="1"/>
        <v>0</v>
      </c>
      <c r="O9" s="5">
        <f t="shared" si="2"/>
        <v>0</v>
      </c>
      <c r="P9" s="5">
        <f t="shared" si="3"/>
        <v>169766.99086969587</v>
      </c>
      <c r="R9" s="7" t="e">
        <f>PV(Input!$B$56,'Spouse Details - Hypothetical'!B9,0,'Spouse Details - Hypothetical'!H9,1)</f>
        <v>#VALUE!</v>
      </c>
      <c r="S9">
        <f t="shared" si="0"/>
        <v>0</v>
      </c>
    </row>
    <row r="10" spans="1:19" x14ac:dyDescent="0.25">
      <c r="A10" s="4">
        <f t="shared" si="4"/>
        <v>9</v>
      </c>
      <c r="B10" s="4" t="str">
        <f>IF(C10&gt;=Input!$C$5,C10-Input!$C$5,"")</f>
        <v/>
      </c>
      <c r="C10" s="4">
        <f t="shared" si="5"/>
        <v>33</v>
      </c>
      <c r="D10" s="4">
        <f>IF(C10&lt;Input!$C$5,0,IF(AND(C10&gt;=Input!$C$5,C10&lt;Input!$C$5+Input!$C$6),1,2))</f>
        <v>0</v>
      </c>
      <c r="E10" s="4">
        <f>IF(C10&gt;=Input!$B$61,1,0)</f>
        <v>0</v>
      </c>
      <c r="F10" s="4">
        <f>IF(AND(C10&gt;=Input!$B$62,D10=1),1,0)</f>
        <v>0</v>
      </c>
      <c r="G10" s="5">
        <f>IF(OR(P9&lt;0,D10=2),0,P9*(1+Input!$B$56))</f>
        <v>171431.37313312426</v>
      </c>
      <c r="H10" s="5">
        <f>IF(D10=0,Input!$C$21+Input!$C$24+Input!$C$27,0)</f>
        <v>2400</v>
      </c>
      <c r="I10" s="5">
        <f>IF(D10=1,Input!$B$72,0)</f>
        <v>0</v>
      </c>
      <c r="J10" s="5">
        <f>IF(F10=1,FV(Input!$B$56,B10,,-Input!$C$12),0)</f>
        <v>0</v>
      </c>
      <c r="K10" s="5">
        <f>IF(E10=1,FV(Input!$B$56,B10,,-Input!$C$13),0)</f>
        <v>0</v>
      </c>
      <c r="L10" s="5">
        <f>IF(D10=1,Input!$C$16+Input!$C$14+Input!$C$15,0)</f>
        <v>0</v>
      </c>
      <c r="M10" s="8"/>
      <c r="N10" s="8">
        <f t="shared" si="1"/>
        <v>0</v>
      </c>
      <c r="O10" s="5">
        <f t="shared" si="2"/>
        <v>0</v>
      </c>
      <c r="P10" s="5">
        <f t="shared" si="3"/>
        <v>173831.37313312426</v>
      </c>
      <c r="R10" s="7" t="e">
        <f>PV(Input!$B$56,'Spouse Details - Hypothetical'!B10,0,'Spouse Details - Hypothetical'!H10,1)</f>
        <v>#VALUE!</v>
      </c>
      <c r="S10">
        <f t="shared" si="0"/>
        <v>0</v>
      </c>
    </row>
    <row r="11" spans="1:19" x14ac:dyDescent="0.25">
      <c r="A11" s="4">
        <f t="shared" si="4"/>
        <v>10</v>
      </c>
      <c r="B11" s="4" t="str">
        <f>IF(C11&gt;=Input!$C$5,C11-Input!$C$5,"")</f>
        <v/>
      </c>
      <c r="C11" s="4">
        <f t="shared" si="5"/>
        <v>34</v>
      </c>
      <c r="D11" s="4">
        <f>IF(C11&lt;Input!$C$5,0,IF(AND(C11&gt;=Input!$C$5,C11&lt;Input!$C$5+Input!$C$6),1,2))</f>
        <v>0</v>
      </c>
      <c r="E11" s="4">
        <f>IF(C11&gt;=Input!$B$61,1,0)</f>
        <v>0</v>
      </c>
      <c r="F11" s="4">
        <f>IF(AND(C11&gt;=Input!$B$62,D11=1),1,0)</f>
        <v>0</v>
      </c>
      <c r="G11" s="5">
        <f>IF(OR(P10&lt;0,D11=2),0,P10*(1+Input!$B$56))</f>
        <v>175535.60228148822</v>
      </c>
      <c r="H11" s="5">
        <f>IF(D11=0,Input!$C$21+Input!$C$24+Input!$C$27,0)</f>
        <v>2400</v>
      </c>
      <c r="I11" s="5">
        <f>IF(D11=1,Input!$B$72,0)</f>
        <v>0</v>
      </c>
      <c r="J11" s="5">
        <f>IF(F11=1,FV(Input!$B$56,B11,,-Input!$C$12),0)</f>
        <v>0</v>
      </c>
      <c r="K11" s="5">
        <f>IF(E11=1,FV(Input!$B$56,B11,,-Input!$C$13),0)</f>
        <v>0</v>
      </c>
      <c r="L11" s="5">
        <f>IF(D11=1,Input!$C$16+Input!$C$14+Input!$C$15,0)</f>
        <v>0</v>
      </c>
      <c r="M11" s="8"/>
      <c r="N11" s="8">
        <f t="shared" si="1"/>
        <v>0</v>
      </c>
      <c r="O11" s="5">
        <f t="shared" si="2"/>
        <v>0</v>
      </c>
      <c r="P11" s="5">
        <f t="shared" si="3"/>
        <v>177935.60228148822</v>
      </c>
      <c r="R11" s="7" t="e">
        <f>PV(Input!$B$56,'Spouse Details - Hypothetical'!B11,0,'Spouse Details - Hypothetical'!H11,1)</f>
        <v>#VALUE!</v>
      </c>
      <c r="S11">
        <f t="shared" si="0"/>
        <v>0</v>
      </c>
    </row>
    <row r="12" spans="1:19" x14ac:dyDescent="0.25">
      <c r="A12" s="4">
        <f t="shared" si="4"/>
        <v>11</v>
      </c>
      <c r="B12" s="4" t="str">
        <f>IF(C12&gt;=Input!$C$5,C12-Input!$C$5,"")</f>
        <v/>
      </c>
      <c r="C12" s="4">
        <f t="shared" si="5"/>
        <v>35</v>
      </c>
      <c r="D12" s="4">
        <f>IF(C12&lt;Input!$C$5,0,IF(AND(C12&gt;=Input!$C$5,C12&lt;Input!$C$5+Input!$C$6),1,2))</f>
        <v>0</v>
      </c>
      <c r="E12" s="4">
        <f>IF(C12&gt;=Input!$B$61,1,0)</f>
        <v>0</v>
      </c>
      <c r="F12" s="4">
        <f>IF(AND(C12&gt;=Input!$B$62,D12=1),1,0)</f>
        <v>0</v>
      </c>
      <c r="G12" s="5">
        <f>IF(OR(P11&lt;0,D12=2),0,P11*(1+Input!$B$56))</f>
        <v>179680.06897052241</v>
      </c>
      <c r="H12" s="5">
        <f>IF(D12=0,Input!$C$21+Input!$C$24+Input!$C$27,0)</f>
        <v>2400</v>
      </c>
      <c r="I12" s="5">
        <f>IF(D12=1,Input!$B$72,0)</f>
        <v>0</v>
      </c>
      <c r="J12" s="5">
        <f>IF(F12=1,FV(Input!$B$56,B12,,-Input!$C$12),0)</f>
        <v>0</v>
      </c>
      <c r="K12" s="5">
        <f>IF(E12=1,FV(Input!$B$56,B12,,-Input!$C$13),0)</f>
        <v>0</v>
      </c>
      <c r="L12" s="5">
        <f>IF(D12=1,Input!$C$16+Input!$C$14+Input!$C$15,0)</f>
        <v>0</v>
      </c>
      <c r="M12" s="8"/>
      <c r="N12" s="8">
        <f t="shared" si="1"/>
        <v>0</v>
      </c>
      <c r="O12" s="5">
        <f t="shared" si="2"/>
        <v>0</v>
      </c>
      <c r="P12" s="5">
        <f t="shared" si="3"/>
        <v>182080.06897052241</v>
      </c>
      <c r="R12" s="7" t="e">
        <f>PV(Input!$B$56,'Spouse Details - Hypothetical'!B12,0,'Spouse Details - Hypothetical'!H12,1)</f>
        <v>#VALUE!</v>
      </c>
      <c r="S12">
        <f t="shared" si="0"/>
        <v>0</v>
      </c>
    </row>
    <row r="13" spans="1:19" x14ac:dyDescent="0.25">
      <c r="A13" s="4">
        <f t="shared" si="4"/>
        <v>12</v>
      </c>
      <c r="B13" s="4" t="str">
        <f>IF(C13&gt;=Input!$C$5,C13-Input!$C$5,"")</f>
        <v/>
      </c>
      <c r="C13" s="4">
        <f t="shared" si="5"/>
        <v>36</v>
      </c>
      <c r="D13" s="4">
        <f>IF(C13&lt;Input!$C$5,0,IF(AND(C13&gt;=Input!$C$5,C13&lt;Input!$C$5+Input!$C$6),1,2))</f>
        <v>0</v>
      </c>
      <c r="E13" s="4">
        <f>IF(C13&gt;=Input!$B$61,1,0)</f>
        <v>0</v>
      </c>
      <c r="F13" s="4">
        <f>IF(AND(C13&gt;=Input!$B$62,D13=1),1,0)</f>
        <v>0</v>
      </c>
      <c r="G13" s="5">
        <f>IF(OR(P12&lt;0,D13=2),0,P12*(1+Input!$B$56))</f>
        <v>183865.16768591967</v>
      </c>
      <c r="H13" s="5">
        <f>IF(D13=0,Input!$C$21+Input!$C$24+Input!$C$27,0)</f>
        <v>2400</v>
      </c>
      <c r="I13" s="5">
        <f>IF(D13=1,Input!$B$72,0)</f>
        <v>0</v>
      </c>
      <c r="J13" s="5">
        <f>IF(F13=1,FV(Input!$B$56,B13,,-Input!$C$12),0)</f>
        <v>0</v>
      </c>
      <c r="K13" s="5">
        <f>IF(E13=1,FV(Input!$B$56,B13,,-Input!$C$13),0)</f>
        <v>0</v>
      </c>
      <c r="L13" s="5">
        <f>IF(D13=1,Input!$C$16+Input!$C$14+Input!$C$15,0)</f>
        <v>0</v>
      </c>
      <c r="M13" s="8"/>
      <c r="N13" s="8">
        <f t="shared" si="1"/>
        <v>0</v>
      </c>
      <c r="O13" s="5">
        <f t="shared" si="2"/>
        <v>0</v>
      </c>
      <c r="P13" s="5">
        <f t="shared" si="3"/>
        <v>186265.16768591967</v>
      </c>
      <c r="R13" s="7" t="e">
        <f>PV(Input!$B$56,'Spouse Details - Hypothetical'!B13,0,'Spouse Details - Hypothetical'!H13,1)</f>
        <v>#VALUE!</v>
      </c>
      <c r="S13">
        <f t="shared" si="0"/>
        <v>0</v>
      </c>
    </row>
    <row r="14" spans="1:19" x14ac:dyDescent="0.25">
      <c r="A14" s="4">
        <f t="shared" si="4"/>
        <v>13</v>
      </c>
      <c r="B14" s="4" t="str">
        <f>IF(C14&gt;=Input!$C$5,C14-Input!$C$5,"")</f>
        <v/>
      </c>
      <c r="C14" s="4">
        <f t="shared" si="5"/>
        <v>37</v>
      </c>
      <c r="D14" s="4">
        <f>IF(C14&lt;Input!$C$5,0,IF(AND(C14&gt;=Input!$C$5,C14&lt;Input!$C$5+Input!$C$6),1,2))</f>
        <v>0</v>
      </c>
      <c r="E14" s="4">
        <f>IF(C14&gt;=Input!$B$61,1,0)</f>
        <v>0</v>
      </c>
      <c r="F14" s="4">
        <f>IF(AND(C14&gt;=Input!$B$62,D14=1),1,0)</f>
        <v>0</v>
      </c>
      <c r="G14" s="5">
        <f>IF(OR(P13&lt;0,D14=2),0,P13*(1+Input!$B$56))</f>
        <v>188091.29678087967</v>
      </c>
      <c r="H14" s="5">
        <f>IF(D14=0,Input!$C$21+Input!$C$24+Input!$C$27,0)</f>
        <v>2400</v>
      </c>
      <c r="I14" s="5">
        <f>IF(D14=1,Input!$B$72,0)</f>
        <v>0</v>
      </c>
      <c r="J14" s="5">
        <f>IF(F14=1,FV(Input!$B$56,B14,,-Input!$C$12),0)</f>
        <v>0</v>
      </c>
      <c r="K14" s="5">
        <f>IF(E14=1,FV(Input!$B$56,B14,,-Input!$C$13),0)</f>
        <v>0</v>
      </c>
      <c r="L14" s="5">
        <f>IF(D14=1,Input!$C$16+Input!$C$14+Input!$C$15,0)</f>
        <v>0</v>
      </c>
      <c r="M14" s="8"/>
      <c r="N14" s="8">
        <f t="shared" si="1"/>
        <v>0</v>
      </c>
      <c r="O14" s="5">
        <f t="shared" si="2"/>
        <v>0</v>
      </c>
      <c r="P14" s="5">
        <f t="shared" si="3"/>
        <v>190491.29678087967</v>
      </c>
      <c r="R14" s="7" t="e">
        <f>PV(Input!$B$56,'Spouse Details - Hypothetical'!B14,0,'Spouse Details - Hypothetical'!H14,1)</f>
        <v>#VALUE!</v>
      </c>
      <c r="S14">
        <f t="shared" si="0"/>
        <v>0</v>
      </c>
    </row>
    <row r="15" spans="1:19" x14ac:dyDescent="0.25">
      <c r="A15" s="4">
        <f t="shared" si="4"/>
        <v>14</v>
      </c>
      <c r="B15" s="4" t="str">
        <f>IF(C15&gt;=Input!$C$5,C15-Input!$C$5,"")</f>
        <v/>
      </c>
      <c r="C15" s="4">
        <f t="shared" si="5"/>
        <v>38</v>
      </c>
      <c r="D15" s="4">
        <f>IF(C15&lt;Input!$C$5,0,IF(AND(C15&gt;=Input!$C$5,C15&lt;Input!$C$5+Input!$C$6),1,2))</f>
        <v>0</v>
      </c>
      <c r="E15" s="4">
        <f>IF(C15&gt;=Input!$B$61,1,0)</f>
        <v>0</v>
      </c>
      <c r="F15" s="4">
        <f>IF(AND(C15&gt;=Input!$B$62,D15=1),1,0)</f>
        <v>0</v>
      </c>
      <c r="G15" s="5">
        <f>IF(OR(P14&lt;0,D15=2),0,P14*(1+Input!$B$56))</f>
        <v>192358.85851402555</v>
      </c>
      <c r="H15" s="5">
        <f>IF(D15=0,Input!$C$21+Input!$C$24+Input!$C$27,0)</f>
        <v>2400</v>
      </c>
      <c r="I15" s="5">
        <f>IF(D15=1,Input!$B$72,0)</f>
        <v>0</v>
      </c>
      <c r="J15" s="5">
        <f>IF(F15=1,FV(Input!$B$56,B15,,-Input!$C$12),0)</f>
        <v>0</v>
      </c>
      <c r="K15" s="5">
        <f>IF(E15=1,FV(Input!$B$56,B15,,-Input!$C$13),0)</f>
        <v>0</v>
      </c>
      <c r="L15" s="5">
        <f>IF(D15=1,Input!$C$16+Input!$C$14+Input!$C$15,0)</f>
        <v>0</v>
      </c>
      <c r="M15" s="8"/>
      <c r="N15" s="8">
        <f t="shared" si="1"/>
        <v>0</v>
      </c>
      <c r="O15" s="5">
        <f t="shared" si="2"/>
        <v>0</v>
      </c>
      <c r="P15" s="5">
        <f t="shared" si="3"/>
        <v>194758.85851402555</v>
      </c>
      <c r="R15" s="7" t="e">
        <f>PV(Input!$B$56,'Spouse Details - Hypothetical'!B15,0,'Spouse Details - Hypothetical'!H15,1)</f>
        <v>#VALUE!</v>
      </c>
      <c r="S15">
        <f t="shared" si="0"/>
        <v>0</v>
      </c>
    </row>
    <row r="16" spans="1:19" x14ac:dyDescent="0.25">
      <c r="A16" s="4">
        <f t="shared" si="4"/>
        <v>15</v>
      </c>
      <c r="B16" s="4" t="str">
        <f>IF(C16&gt;=Input!$C$5,C16-Input!$C$5,"")</f>
        <v/>
      </c>
      <c r="C16" s="4">
        <f t="shared" si="5"/>
        <v>39</v>
      </c>
      <c r="D16" s="4">
        <f>IF(C16&lt;Input!$C$5,0,IF(AND(C16&gt;=Input!$C$5,C16&lt;Input!$C$5+Input!$C$6),1,2))</f>
        <v>0</v>
      </c>
      <c r="E16" s="4">
        <f>IF(C16&gt;=Input!$B$61,1,0)</f>
        <v>0</v>
      </c>
      <c r="F16" s="4">
        <f>IF(AND(C16&gt;=Input!$B$62,D16=1),1,0)</f>
        <v>0</v>
      </c>
      <c r="G16" s="5">
        <f>IF(OR(P15&lt;0,D16=2),0,P15*(1+Input!$B$56))</f>
        <v>196668.25908769245</v>
      </c>
      <c r="H16" s="5">
        <f>IF(D16=0,Input!$C$21+Input!$C$24+Input!$C$27,0)</f>
        <v>2400</v>
      </c>
      <c r="I16" s="5">
        <f>IF(D16=1,Input!$B$72,0)</f>
        <v>0</v>
      </c>
      <c r="J16" s="5">
        <f>IF(F16=1,FV(Input!$B$56,B16,,-Input!$C$12),0)</f>
        <v>0</v>
      </c>
      <c r="K16" s="5">
        <f>IF(E16=1,FV(Input!$B$56,B16,,-Input!$C$13),0)</f>
        <v>0</v>
      </c>
      <c r="L16" s="5">
        <f>IF(D16=1,Input!$C$16+Input!$C$14+Input!$C$15,0)</f>
        <v>0</v>
      </c>
      <c r="M16" s="8"/>
      <c r="N16" s="8">
        <f t="shared" si="1"/>
        <v>0</v>
      </c>
      <c r="O16" s="5">
        <f t="shared" si="2"/>
        <v>0</v>
      </c>
      <c r="P16" s="5">
        <f t="shared" si="3"/>
        <v>199068.25908769245</v>
      </c>
      <c r="R16" s="7" t="e">
        <f>PV(Input!$B$56,'Spouse Details - Hypothetical'!B16,0,'Spouse Details - Hypothetical'!H16,1)</f>
        <v>#VALUE!</v>
      </c>
      <c r="S16">
        <f t="shared" si="0"/>
        <v>0</v>
      </c>
    </row>
    <row r="17" spans="1:19" x14ac:dyDescent="0.25">
      <c r="A17" s="4">
        <f t="shared" si="4"/>
        <v>16</v>
      </c>
      <c r="B17" s="4" t="str">
        <f>IF(C17&gt;=Input!$C$5,C17-Input!$C$5,"")</f>
        <v/>
      </c>
      <c r="C17" s="4">
        <f t="shared" si="5"/>
        <v>40</v>
      </c>
      <c r="D17" s="4">
        <f>IF(C17&lt;Input!$C$5,0,IF(AND(C17&gt;=Input!$C$5,C17&lt;Input!$C$5+Input!$C$6),1,2))</f>
        <v>0</v>
      </c>
      <c r="E17" s="4">
        <f>IF(C17&gt;=Input!$B$61,1,0)</f>
        <v>0</v>
      </c>
      <c r="F17" s="4">
        <f>IF(AND(C17&gt;=Input!$B$62,D17=1),1,0)</f>
        <v>0</v>
      </c>
      <c r="G17" s="5">
        <f>IF(OR(P16&lt;0,D17=2),0,P16*(1+Input!$B$56))</f>
        <v>201019.9086865914</v>
      </c>
      <c r="H17" s="5">
        <f>IF(D17=0,Input!$C$21+Input!$C$24+Input!$C$27,0)</f>
        <v>2400</v>
      </c>
      <c r="I17" s="5">
        <f>IF(D17=1,Input!$B$72,0)</f>
        <v>0</v>
      </c>
      <c r="J17" s="5">
        <f>IF(F17=1,FV(Input!$B$56,B17,,-Input!$C$12),0)</f>
        <v>0</v>
      </c>
      <c r="K17" s="5">
        <f>IF(E17=1,FV(Input!$B$56,B17,,-Input!$C$13),0)</f>
        <v>0</v>
      </c>
      <c r="L17" s="5">
        <f>IF(D17=1,Input!$C$16+Input!$C$14+Input!$C$15,0)</f>
        <v>0</v>
      </c>
      <c r="M17" s="8"/>
      <c r="N17" s="8">
        <f t="shared" si="1"/>
        <v>0</v>
      </c>
      <c r="O17" s="5">
        <f t="shared" si="2"/>
        <v>0</v>
      </c>
      <c r="P17" s="5">
        <f t="shared" si="3"/>
        <v>203419.9086865914</v>
      </c>
      <c r="R17" s="7" t="e">
        <f>PV(Input!$B$56,'Spouse Details - Hypothetical'!B17,0,'Spouse Details - Hypothetical'!H17,1)</f>
        <v>#VALUE!</v>
      </c>
      <c r="S17">
        <f t="shared" si="0"/>
        <v>0</v>
      </c>
    </row>
    <row r="18" spans="1:19" x14ac:dyDescent="0.25">
      <c r="A18" s="4">
        <f t="shared" si="4"/>
        <v>17</v>
      </c>
      <c r="B18" s="4" t="str">
        <f>IF(C18&gt;=Input!$C$5,C18-Input!$C$5,"")</f>
        <v/>
      </c>
      <c r="C18" s="4">
        <f t="shared" si="5"/>
        <v>41</v>
      </c>
      <c r="D18" s="4">
        <f>IF(C18&lt;Input!$C$5,0,IF(AND(C18&gt;=Input!$C$5,C18&lt;Input!$C$5+Input!$C$6),1,2))</f>
        <v>0</v>
      </c>
      <c r="E18" s="4">
        <f>IF(C18&gt;=Input!$B$61,1,0)</f>
        <v>0</v>
      </c>
      <c r="F18" s="4">
        <f>IF(AND(C18&gt;=Input!$B$62,D18=1),1,0)</f>
        <v>0</v>
      </c>
      <c r="G18" s="5">
        <f>IF(OR(P17&lt;0,D18=2),0,P17*(1+Input!$B$56))</f>
        <v>205414.22151685209</v>
      </c>
      <c r="H18" s="5">
        <f>IF(D18=0,Input!$C$21+Input!$C$24+Input!$C$27,0)</f>
        <v>2400</v>
      </c>
      <c r="I18" s="5">
        <f>IF(D18=1,Input!$B$72,0)</f>
        <v>0</v>
      </c>
      <c r="J18" s="5">
        <f>IF(F18=1,FV(Input!$B$56,B18,,-Input!$C$12),0)</f>
        <v>0</v>
      </c>
      <c r="K18" s="5">
        <f>IF(E18=1,FV(Input!$B$56,B18,,-Input!$C$13),0)</f>
        <v>0</v>
      </c>
      <c r="L18" s="5">
        <f>IF(D18=1,Input!$C$16+Input!$C$14+Input!$C$15,0)</f>
        <v>0</v>
      </c>
      <c r="M18" s="8"/>
      <c r="N18" s="8">
        <f t="shared" si="1"/>
        <v>0</v>
      </c>
      <c r="O18" s="5">
        <f t="shared" si="2"/>
        <v>0</v>
      </c>
      <c r="P18" s="5">
        <f t="shared" si="3"/>
        <v>207814.22151685209</v>
      </c>
      <c r="R18" s="7" t="e">
        <f>PV(Input!$B$56,'Spouse Details - Hypothetical'!B18,0,'Spouse Details - Hypothetical'!H18,1)</f>
        <v>#VALUE!</v>
      </c>
      <c r="S18">
        <f t="shared" si="0"/>
        <v>0</v>
      </c>
    </row>
    <row r="19" spans="1:19" x14ac:dyDescent="0.25">
      <c r="A19" s="4">
        <f t="shared" si="4"/>
        <v>18</v>
      </c>
      <c r="B19" s="4" t="str">
        <f>IF(C19&gt;=Input!$C$5,C19-Input!$C$5,"")</f>
        <v/>
      </c>
      <c r="C19" s="4">
        <f t="shared" si="5"/>
        <v>42</v>
      </c>
      <c r="D19" s="4">
        <f>IF(C19&lt;Input!$C$5,0,IF(AND(C19&gt;=Input!$C$5,C19&lt;Input!$C$5+Input!$C$6),1,2))</f>
        <v>0</v>
      </c>
      <c r="E19" s="4">
        <f>IF(C19&gt;=Input!$B$61,1,0)</f>
        <v>0</v>
      </c>
      <c r="F19" s="4">
        <f>IF(AND(C19&gt;=Input!$B$62,D19=1),1,0)</f>
        <v>0</v>
      </c>
      <c r="G19" s="5">
        <f>IF(OR(P18&lt;0,D19=2),0,P18*(1+Input!$B$56))</f>
        <v>209851.61584544869</v>
      </c>
      <c r="H19" s="5">
        <f>IF(D19=0,Input!$C$21+Input!$C$24+Input!$C$27,0)</f>
        <v>2400</v>
      </c>
      <c r="I19" s="5">
        <f>IF(D19=1,Input!$B$72,0)</f>
        <v>0</v>
      </c>
      <c r="J19" s="5">
        <f>IF(F19=1,FV(Input!$B$56,B19,,-Input!$C$12),0)</f>
        <v>0</v>
      </c>
      <c r="K19" s="5">
        <f>IF(E19=1,FV(Input!$B$56,B19,,-Input!$C$13),0)</f>
        <v>0</v>
      </c>
      <c r="L19" s="5">
        <f>IF(D19=1,Input!$C$16+Input!$C$14+Input!$C$15,0)</f>
        <v>0</v>
      </c>
      <c r="M19" s="8"/>
      <c r="N19" s="8">
        <f t="shared" si="1"/>
        <v>0</v>
      </c>
      <c r="O19" s="5">
        <f t="shared" si="2"/>
        <v>0</v>
      </c>
      <c r="P19" s="5">
        <f t="shared" si="3"/>
        <v>212251.61584544869</v>
      </c>
      <c r="R19" s="7" t="e">
        <f>PV(Input!$B$56,'Spouse Details - Hypothetical'!B19,0,'Spouse Details - Hypothetical'!H19,1)</f>
        <v>#VALUE!</v>
      </c>
      <c r="S19">
        <f t="shared" si="0"/>
        <v>0</v>
      </c>
    </row>
    <row r="20" spans="1:19" x14ac:dyDescent="0.25">
      <c r="A20" s="4">
        <f t="shared" si="4"/>
        <v>19</v>
      </c>
      <c r="B20" s="4" t="str">
        <f>IF(C20&gt;=Input!$C$5,C20-Input!$C$5,"")</f>
        <v/>
      </c>
      <c r="C20" s="4">
        <f t="shared" si="5"/>
        <v>43</v>
      </c>
      <c r="D20" s="4">
        <f>IF(C20&lt;Input!$C$5,0,IF(AND(C20&gt;=Input!$C$5,C20&lt;Input!$C$5+Input!$C$6),1,2))</f>
        <v>0</v>
      </c>
      <c r="E20" s="4">
        <f>IF(C20&gt;=Input!$B$61,1,0)</f>
        <v>0</v>
      </c>
      <c r="F20" s="4">
        <f>IF(AND(C20&gt;=Input!$B$62,D20=1),1,0)</f>
        <v>0</v>
      </c>
      <c r="G20" s="5">
        <f>IF(OR(P19&lt;0,D20=2),0,P19*(1+Input!$B$56))</f>
        <v>214332.51404001191</v>
      </c>
      <c r="H20" s="5">
        <f>IF(D20=0,Input!$C$21+Input!$C$24+Input!$C$27,0)</f>
        <v>2400</v>
      </c>
      <c r="I20" s="5">
        <f>IF(D20=1,Input!$B$72,0)</f>
        <v>0</v>
      </c>
      <c r="J20" s="5">
        <f>IF(F20=1,FV(Input!$B$56,B20,,-Input!$C$12),0)</f>
        <v>0</v>
      </c>
      <c r="K20" s="5">
        <f>IF(E20=1,FV(Input!$B$56,B20,,-Input!$C$13),0)</f>
        <v>0</v>
      </c>
      <c r="L20" s="5">
        <f>IF(D20=1,Input!$C$16+Input!$C$14+Input!$C$15,0)</f>
        <v>0</v>
      </c>
      <c r="M20" s="8"/>
      <c r="N20" s="8">
        <f t="shared" si="1"/>
        <v>0</v>
      </c>
      <c r="O20" s="5">
        <f t="shared" si="2"/>
        <v>0</v>
      </c>
      <c r="P20" s="5">
        <f t="shared" si="3"/>
        <v>216732.51404001191</v>
      </c>
      <c r="R20" s="7" t="e">
        <f>PV(Input!$B$56,'Spouse Details - Hypothetical'!B20,0,'Spouse Details - Hypothetical'!H20,1)</f>
        <v>#VALUE!</v>
      </c>
      <c r="S20">
        <f t="shared" si="0"/>
        <v>0</v>
      </c>
    </row>
    <row r="21" spans="1:19" x14ac:dyDescent="0.25">
      <c r="A21" s="4">
        <f t="shared" si="4"/>
        <v>20</v>
      </c>
      <c r="B21" s="4" t="str">
        <f>IF(C21&gt;=Input!$C$5,C21-Input!$C$5,"")</f>
        <v/>
      </c>
      <c r="C21" s="4">
        <f t="shared" si="5"/>
        <v>44</v>
      </c>
      <c r="D21" s="4">
        <f>IF(C21&lt;Input!$C$5,0,IF(AND(C21&gt;=Input!$C$5,C21&lt;Input!$C$5+Input!$C$6),1,2))</f>
        <v>0</v>
      </c>
      <c r="E21" s="4">
        <f>IF(C21&gt;=Input!$B$61,1,0)</f>
        <v>0</v>
      </c>
      <c r="F21" s="4">
        <f>IF(AND(C21&gt;=Input!$B$62,D21=1),1,0)</f>
        <v>0</v>
      </c>
      <c r="G21" s="5">
        <f>IF(OR(P20&lt;0,D21=2),0,P20*(1+Input!$B$56))</f>
        <v>218857.34260903162</v>
      </c>
      <c r="H21" s="5">
        <f>IF(D21=0,Input!$C$21+Input!$C$24+Input!$C$27,0)</f>
        <v>2400</v>
      </c>
      <c r="I21" s="5">
        <f>IF(D21=1,Input!$B$72,0)</f>
        <v>0</v>
      </c>
      <c r="J21" s="5">
        <f>IF(F21=1,FV(Input!$B$56,B21,,-Input!$C$12),0)</f>
        <v>0</v>
      </c>
      <c r="K21" s="5">
        <f>IF(E21=1,FV(Input!$B$56,B21,,-Input!$C$13),0)</f>
        <v>0</v>
      </c>
      <c r="L21" s="5">
        <f>IF(D21=1,Input!$C$16+Input!$C$14+Input!$C$15,0)</f>
        <v>0</v>
      </c>
      <c r="M21" s="8"/>
      <c r="N21" s="8">
        <f t="shared" si="1"/>
        <v>0</v>
      </c>
      <c r="O21" s="5">
        <f t="shared" si="2"/>
        <v>0</v>
      </c>
      <c r="P21" s="5">
        <f t="shared" si="3"/>
        <v>221257.34260903162</v>
      </c>
      <c r="R21" s="7" t="e">
        <f>PV(Input!$B$56,'Spouse Details - Hypothetical'!B21,0,'Spouse Details - Hypothetical'!H21,1)</f>
        <v>#VALUE!</v>
      </c>
      <c r="S21">
        <f t="shared" si="0"/>
        <v>0</v>
      </c>
    </row>
    <row r="22" spans="1:19" x14ac:dyDescent="0.25">
      <c r="A22" s="4">
        <f t="shared" si="4"/>
        <v>21</v>
      </c>
      <c r="B22" s="4" t="str">
        <f>IF(C22&gt;=Input!$C$5,C22-Input!$C$5,"")</f>
        <v/>
      </c>
      <c r="C22" s="4">
        <f t="shared" si="5"/>
        <v>45</v>
      </c>
      <c r="D22" s="4">
        <f>IF(C22&lt;Input!$C$5,0,IF(AND(C22&gt;=Input!$C$5,C22&lt;Input!$C$5+Input!$C$6),1,2))</f>
        <v>0</v>
      </c>
      <c r="E22" s="4">
        <f>IF(C22&gt;=Input!$B$61,1,0)</f>
        <v>0</v>
      </c>
      <c r="F22" s="4">
        <f>IF(AND(C22&gt;=Input!$B$62,D22=1),1,0)</f>
        <v>0</v>
      </c>
      <c r="G22" s="5">
        <f>IF(OR(P21&lt;0,D22=2),0,P21*(1+Input!$B$56))</f>
        <v>223426.53224245348</v>
      </c>
      <c r="H22" s="5">
        <f>IF(D22=0,Input!$C$21+Input!$C$24+Input!$C$27,0)</f>
        <v>2400</v>
      </c>
      <c r="I22" s="5">
        <f>IF(D22=1,Input!$B$72,0)</f>
        <v>0</v>
      </c>
      <c r="J22" s="5">
        <f>IF(F22=1,FV(Input!$B$56,B22,,-Input!$C$12),0)</f>
        <v>0</v>
      </c>
      <c r="K22" s="5">
        <f>IF(E22=1,FV(Input!$B$56,B22,,-Input!$C$13),0)</f>
        <v>0</v>
      </c>
      <c r="L22" s="5">
        <f>IF(D22=1,Input!$C$16+Input!$C$14+Input!$C$15,0)</f>
        <v>0</v>
      </c>
      <c r="M22" s="8"/>
      <c r="N22" s="8">
        <f t="shared" si="1"/>
        <v>0</v>
      </c>
      <c r="O22" s="5">
        <f t="shared" si="2"/>
        <v>0</v>
      </c>
      <c r="P22" s="5">
        <f t="shared" si="3"/>
        <v>225826.53224245348</v>
      </c>
      <c r="R22" s="7" t="e">
        <f>PV(Input!$B$56,'Spouse Details - Hypothetical'!B22,0,'Spouse Details - Hypothetical'!H22,1)</f>
        <v>#VALUE!</v>
      </c>
      <c r="S22">
        <f t="shared" si="0"/>
        <v>0</v>
      </c>
    </row>
    <row r="23" spans="1:19" x14ac:dyDescent="0.25">
      <c r="A23" s="4">
        <f t="shared" si="4"/>
        <v>22</v>
      </c>
      <c r="B23" s="4" t="str">
        <f>IF(C23&gt;=Input!$C$5,C23-Input!$C$5,"")</f>
        <v/>
      </c>
      <c r="C23" s="4">
        <f t="shared" si="5"/>
        <v>46</v>
      </c>
      <c r="D23" s="4">
        <f>IF(C23&lt;Input!$C$5,0,IF(AND(C23&gt;=Input!$C$5,C23&lt;Input!$C$5+Input!$C$6),1,2))</f>
        <v>0</v>
      </c>
      <c r="E23" s="4">
        <f>IF(C23&gt;=Input!$B$61,1,0)</f>
        <v>0</v>
      </c>
      <c r="F23" s="4">
        <f>IF(AND(C23&gt;=Input!$B$62,D23=1),1,0)</f>
        <v>0</v>
      </c>
      <c r="G23" s="5">
        <f>IF(OR(P22&lt;0,D23=2),0,P22*(1+Input!$B$56))</f>
        <v>228040.5178526736</v>
      </c>
      <c r="H23" s="5">
        <f>IF(D23=0,Input!$C$21+Input!$C$24+Input!$C$27,0)</f>
        <v>2400</v>
      </c>
      <c r="I23" s="5">
        <f>IF(D23=1,Input!$B$72,0)</f>
        <v>0</v>
      </c>
      <c r="J23" s="5">
        <f>IF(F23=1,FV(Input!$B$56,B23,,-Input!$C$12),0)</f>
        <v>0</v>
      </c>
      <c r="K23" s="5">
        <f>IF(E23=1,FV(Input!$B$56,B23,,-Input!$C$13),0)</f>
        <v>0</v>
      </c>
      <c r="L23" s="5">
        <f>IF(D23=1,Input!$C$16+Input!$C$14+Input!$C$15,0)</f>
        <v>0</v>
      </c>
      <c r="M23" s="8"/>
      <c r="N23" s="8">
        <f t="shared" si="1"/>
        <v>0</v>
      </c>
      <c r="O23" s="5">
        <f t="shared" si="2"/>
        <v>0</v>
      </c>
      <c r="P23" s="5">
        <f t="shared" si="3"/>
        <v>230440.5178526736</v>
      </c>
      <c r="R23" s="7" t="e">
        <f>PV(Input!$B$56,'Spouse Details - Hypothetical'!B23,0,'Spouse Details - Hypothetical'!H23,1)</f>
        <v>#VALUE!</v>
      </c>
      <c r="S23">
        <f t="shared" si="0"/>
        <v>0</v>
      </c>
    </row>
    <row r="24" spans="1:19" x14ac:dyDescent="0.25">
      <c r="A24" s="4">
        <f t="shared" si="4"/>
        <v>23</v>
      </c>
      <c r="B24" s="4" t="str">
        <f>IF(C24&gt;=Input!$C$5,C24-Input!$C$5,"")</f>
        <v/>
      </c>
      <c r="C24" s="4">
        <f t="shared" si="5"/>
        <v>47</v>
      </c>
      <c r="D24" s="4">
        <f>IF(C24&lt;Input!$C$5,0,IF(AND(C24&gt;=Input!$C$5,C24&lt;Input!$C$5+Input!$C$6),1,2))</f>
        <v>0</v>
      </c>
      <c r="E24" s="4">
        <f>IF(C24&gt;=Input!$B$61,1,0)</f>
        <v>0</v>
      </c>
      <c r="F24" s="4">
        <f>IF(AND(C24&gt;=Input!$B$62,D24=1),1,0)</f>
        <v>0</v>
      </c>
      <c r="G24" s="5">
        <f>IF(OR(P23&lt;0,D24=2),0,P23*(1+Input!$B$56))</f>
        <v>232699.73861593509</v>
      </c>
      <c r="H24" s="5">
        <f>IF(D24=0,Input!$C$21+Input!$C$24+Input!$C$27,0)</f>
        <v>2400</v>
      </c>
      <c r="I24" s="5">
        <f>IF(D24=1,Input!$B$72,0)</f>
        <v>0</v>
      </c>
      <c r="J24" s="5">
        <f>IF(F24=1,FV(Input!$B$56,B24,,-Input!$C$12),0)</f>
        <v>0</v>
      </c>
      <c r="K24" s="5">
        <f>IF(E24=1,FV(Input!$B$56,B24,,-Input!$C$13),0)</f>
        <v>0</v>
      </c>
      <c r="L24" s="5">
        <f>IF(D24=1,Input!$C$16+Input!$C$14+Input!$C$15,0)</f>
        <v>0</v>
      </c>
      <c r="M24" s="8"/>
      <c r="N24" s="8">
        <f t="shared" si="1"/>
        <v>0</v>
      </c>
      <c r="O24" s="5">
        <f t="shared" si="2"/>
        <v>0</v>
      </c>
      <c r="P24" s="5">
        <f t="shared" si="3"/>
        <v>235099.73861593509</v>
      </c>
      <c r="R24" s="7" t="e">
        <f>PV(Input!$B$56,'Spouse Details - Hypothetical'!B24,0,'Spouse Details - Hypothetical'!H24,1)</f>
        <v>#VALUE!</v>
      </c>
      <c r="S24">
        <f t="shared" si="0"/>
        <v>0</v>
      </c>
    </row>
    <row r="25" spans="1:19" x14ac:dyDescent="0.25">
      <c r="A25" s="4">
        <f t="shared" si="4"/>
        <v>24</v>
      </c>
      <c r="B25" s="4" t="str">
        <f>IF(C25&gt;=Input!$C$5,C25-Input!$C$5,"")</f>
        <v/>
      </c>
      <c r="C25" s="4">
        <f t="shared" si="5"/>
        <v>48</v>
      </c>
      <c r="D25" s="4">
        <f>IF(C25&lt;Input!$C$5,0,IF(AND(C25&gt;=Input!$C$5,C25&lt;Input!$C$5+Input!$C$6),1,2))</f>
        <v>0</v>
      </c>
      <c r="E25" s="4">
        <f>IF(C25&gt;=Input!$B$61,1,0)</f>
        <v>0</v>
      </c>
      <c r="F25" s="4">
        <f>IF(AND(C25&gt;=Input!$B$62,D25=1),1,0)</f>
        <v>0</v>
      </c>
      <c r="G25" s="5">
        <f>IF(OR(P24&lt;0,D25=2),0,P24*(1+Input!$B$56))</f>
        <v>237404.63801413053</v>
      </c>
      <c r="H25" s="5">
        <f>IF(D25=0,Input!$C$21+Input!$C$24+Input!$C$27,0)</f>
        <v>2400</v>
      </c>
      <c r="I25" s="5">
        <f>IF(D25=1,Input!$B$72,0)</f>
        <v>0</v>
      </c>
      <c r="J25" s="5">
        <f>IF(F25=1,FV(Input!$B$56,B25,,-Input!$C$12),0)</f>
        <v>0</v>
      </c>
      <c r="K25" s="5">
        <f>IF(E25=1,FV(Input!$B$56,B25,,-Input!$C$13),0)</f>
        <v>0</v>
      </c>
      <c r="L25" s="5">
        <f>IF(D25=1,Input!$C$16+Input!$C$14+Input!$C$15,0)</f>
        <v>0</v>
      </c>
      <c r="M25" s="8"/>
      <c r="N25" s="8">
        <f t="shared" si="1"/>
        <v>0</v>
      </c>
      <c r="O25" s="5">
        <f t="shared" si="2"/>
        <v>0</v>
      </c>
      <c r="P25" s="5">
        <f t="shared" si="3"/>
        <v>239804.63801413053</v>
      </c>
      <c r="R25" s="7" t="e">
        <f>PV(Input!$B$56,'Spouse Details - Hypothetical'!B25,0,'Spouse Details - Hypothetical'!H25,1)</f>
        <v>#VALUE!</v>
      </c>
      <c r="S25">
        <f t="shared" si="0"/>
        <v>0</v>
      </c>
    </row>
    <row r="26" spans="1:19" x14ac:dyDescent="0.25">
      <c r="A26" s="4">
        <f t="shared" si="4"/>
        <v>25</v>
      </c>
      <c r="B26" s="4" t="str">
        <f>IF(C26&gt;=Input!$C$5,C26-Input!$C$5,"")</f>
        <v/>
      </c>
      <c r="C26" s="4">
        <f t="shared" si="5"/>
        <v>49</v>
      </c>
      <c r="D26" s="4">
        <f>IF(C26&lt;Input!$C$5,0,IF(AND(C26&gt;=Input!$C$5,C26&lt;Input!$C$5+Input!$C$6),1,2))</f>
        <v>0</v>
      </c>
      <c r="E26" s="4">
        <f>IF(C26&gt;=Input!$B$61,1,0)</f>
        <v>0</v>
      </c>
      <c r="F26" s="4">
        <f>IF(AND(C26&gt;=Input!$B$62,D26=1),1,0)</f>
        <v>0</v>
      </c>
      <c r="G26" s="5">
        <f>IF(OR(P25&lt;0,D26=2),0,P25*(1+Input!$B$56))</f>
        <v>242155.66387701416</v>
      </c>
      <c r="H26" s="5">
        <f>IF(D26=0,Input!$C$21+Input!$C$24+Input!$C$27,0)</f>
        <v>2400</v>
      </c>
      <c r="I26" s="5">
        <f>IF(D26=1,Input!$B$72,0)</f>
        <v>0</v>
      </c>
      <c r="J26" s="5">
        <f>IF(F26=1,FV(Input!$B$56,B26,,-Input!$C$12),0)</f>
        <v>0</v>
      </c>
      <c r="K26" s="5">
        <f>IF(E26=1,FV(Input!$B$56,B26,,-Input!$C$13),0)</f>
        <v>0</v>
      </c>
      <c r="L26" s="5">
        <f>IF(D26=1,Input!$C$16+Input!$C$14+Input!$C$15,0)</f>
        <v>0</v>
      </c>
      <c r="M26" s="8"/>
      <c r="N26" s="8">
        <f t="shared" si="1"/>
        <v>0</v>
      </c>
      <c r="O26" s="5">
        <f t="shared" si="2"/>
        <v>0</v>
      </c>
      <c r="P26" s="5">
        <f t="shared" si="3"/>
        <v>244555.66387701416</v>
      </c>
      <c r="R26" s="7" t="e">
        <f>PV(Input!$B$56,'Spouse Details - Hypothetical'!B26,0,'Spouse Details - Hypothetical'!H26,1)</f>
        <v>#VALUE!</v>
      </c>
      <c r="S26">
        <f t="shared" si="0"/>
        <v>0</v>
      </c>
    </row>
    <row r="27" spans="1:19" x14ac:dyDescent="0.25">
      <c r="A27" s="4">
        <f t="shared" si="4"/>
        <v>26</v>
      </c>
      <c r="B27" s="4" t="str">
        <f>IF(C27&gt;=Input!$C$5,C27-Input!$C$5,"")</f>
        <v/>
      </c>
      <c r="C27" s="4">
        <f t="shared" si="5"/>
        <v>50</v>
      </c>
      <c r="D27" s="4">
        <f>IF(C27&lt;Input!$C$5,0,IF(AND(C27&gt;=Input!$C$5,C27&lt;Input!$C$5+Input!$C$6),1,2))</f>
        <v>0</v>
      </c>
      <c r="E27" s="4">
        <f>IF(C27&gt;=Input!$B$61,1,0)</f>
        <v>0</v>
      </c>
      <c r="F27" s="4">
        <f>IF(AND(C27&gt;=Input!$B$62,D27=1),1,0)</f>
        <v>0</v>
      </c>
      <c r="G27" s="5">
        <f>IF(OR(P26&lt;0,D27=2),0,P26*(1+Input!$B$56))</f>
        <v>246953.26842482801</v>
      </c>
      <c r="H27" s="5">
        <f>IF(D27=0,Input!$C$21+Input!$C$24+Input!$C$27,0)</f>
        <v>2400</v>
      </c>
      <c r="I27" s="5">
        <f>IF(D27=1,Input!$B$72,0)</f>
        <v>0</v>
      </c>
      <c r="J27" s="5">
        <f>IF(F27=1,FV(Input!$B$56,B27,,-Input!$C$12),0)</f>
        <v>0</v>
      </c>
      <c r="K27" s="5">
        <f>IF(E27=1,FV(Input!$B$56,B27,,-Input!$C$13),0)</f>
        <v>0</v>
      </c>
      <c r="L27" s="5">
        <f>IF(D27=1,Input!$C$16+Input!$C$14+Input!$C$15,0)</f>
        <v>0</v>
      </c>
      <c r="M27" s="8"/>
      <c r="N27" s="8">
        <f t="shared" si="1"/>
        <v>0</v>
      </c>
      <c r="O27" s="5">
        <f t="shared" si="2"/>
        <v>0</v>
      </c>
      <c r="P27" s="5">
        <f t="shared" si="3"/>
        <v>249353.26842482801</v>
      </c>
      <c r="R27" s="7" t="e">
        <f>PV(Input!$B$56,'Spouse Details - Hypothetical'!B27,0,'Spouse Details - Hypothetical'!H27,1)</f>
        <v>#VALUE!</v>
      </c>
      <c r="S27">
        <f t="shared" si="0"/>
        <v>0</v>
      </c>
    </row>
    <row r="28" spans="1:19" x14ac:dyDescent="0.25">
      <c r="A28" s="4">
        <f t="shared" si="4"/>
        <v>27</v>
      </c>
      <c r="B28" s="4" t="str">
        <f>IF(C28&gt;=Input!$C$5,C28-Input!$C$5,"")</f>
        <v/>
      </c>
      <c r="C28" s="4">
        <f t="shared" si="5"/>
        <v>51</v>
      </c>
      <c r="D28" s="4">
        <f>IF(C28&lt;Input!$C$5,0,IF(AND(C28&gt;=Input!$C$5,C28&lt;Input!$C$5+Input!$C$6),1,2))</f>
        <v>0</v>
      </c>
      <c r="E28" s="4">
        <f>IF(C28&gt;=Input!$B$61,1,0)</f>
        <v>0</v>
      </c>
      <c r="F28" s="4">
        <f>IF(AND(C28&gt;=Input!$B$62,D28=1),1,0)</f>
        <v>0</v>
      </c>
      <c r="G28" s="5">
        <f>IF(OR(P27&lt;0,D28=2),0,P27*(1+Input!$B$56))</f>
        <v>251797.90831134593</v>
      </c>
      <c r="H28" s="5">
        <f>IF(D28=0,Input!$C$21+Input!$C$24+Input!$C$27,0)</f>
        <v>2400</v>
      </c>
      <c r="I28" s="5">
        <f>IF(D28=1,Input!$B$72,0)</f>
        <v>0</v>
      </c>
      <c r="J28" s="5">
        <f>IF(F28=1,FV(Input!$B$56,B28,,-Input!$C$12),0)</f>
        <v>0</v>
      </c>
      <c r="K28" s="5">
        <f>IF(E28=1,FV(Input!$B$56,B28,,-Input!$C$13),0)</f>
        <v>0</v>
      </c>
      <c r="L28" s="5">
        <f>IF(D28=1,Input!$C$16+Input!$C$14+Input!$C$15,0)</f>
        <v>0</v>
      </c>
      <c r="M28" s="8"/>
      <c r="N28" s="8">
        <f t="shared" si="1"/>
        <v>0</v>
      </c>
      <c r="O28" s="5">
        <f t="shared" si="2"/>
        <v>0</v>
      </c>
      <c r="P28" s="5">
        <f t="shared" si="3"/>
        <v>254197.90831134593</v>
      </c>
      <c r="R28" s="7" t="e">
        <f>PV(Input!$B$56,'Spouse Details - Hypothetical'!B28,0,'Spouse Details - Hypothetical'!H28,1)</f>
        <v>#VALUE!</v>
      </c>
      <c r="S28">
        <f t="shared" si="0"/>
        <v>0</v>
      </c>
    </row>
    <row r="29" spans="1:19" x14ac:dyDescent="0.25">
      <c r="A29" s="4">
        <f t="shared" si="4"/>
        <v>28</v>
      </c>
      <c r="B29" s="4" t="str">
        <f>IF(C29&gt;=Input!$C$5,C29-Input!$C$5,"")</f>
        <v/>
      </c>
      <c r="C29" s="4">
        <f t="shared" si="5"/>
        <v>52</v>
      </c>
      <c r="D29" s="4">
        <f>IF(C29&lt;Input!$C$5,0,IF(AND(C29&gt;=Input!$C$5,C29&lt;Input!$C$5+Input!$C$6),1,2))</f>
        <v>0</v>
      </c>
      <c r="E29" s="4">
        <f>IF(C29&gt;=Input!$B$61,1,0)</f>
        <v>0</v>
      </c>
      <c r="F29" s="4">
        <f>IF(AND(C29&gt;=Input!$B$62,D29=1),1,0)</f>
        <v>0</v>
      </c>
      <c r="G29" s="5">
        <f>IF(OR(P28&lt;0,D29=2),0,P28*(1+Input!$B$56))</f>
        <v>256690.04466733951</v>
      </c>
      <c r="H29" s="5">
        <f>IF(D29=0,Input!$C$21+Input!$C$24+Input!$C$27,0)</f>
        <v>2400</v>
      </c>
      <c r="I29" s="5">
        <f>IF(D29=1,Input!$B$72,0)</f>
        <v>0</v>
      </c>
      <c r="J29" s="5">
        <f>IF(F29=1,FV(Input!$B$56,B29,,-Input!$C$12),0)</f>
        <v>0</v>
      </c>
      <c r="K29" s="5">
        <f>IF(E29=1,FV(Input!$B$56,B29,,-Input!$C$13),0)</f>
        <v>0</v>
      </c>
      <c r="L29" s="5">
        <f>IF(D29=1,Input!$C$16+Input!$C$14+Input!$C$15,0)</f>
        <v>0</v>
      </c>
      <c r="M29" s="8"/>
      <c r="N29" s="8">
        <f t="shared" si="1"/>
        <v>0</v>
      </c>
      <c r="O29" s="5">
        <f t="shared" si="2"/>
        <v>0</v>
      </c>
      <c r="P29" s="5">
        <f t="shared" si="3"/>
        <v>259090.04466733951</v>
      </c>
      <c r="R29" s="7" t="e">
        <f>PV(Input!$B$56,'Spouse Details - Hypothetical'!B29,0,'Spouse Details - Hypothetical'!H29,1)</f>
        <v>#VALUE!</v>
      </c>
      <c r="S29">
        <f t="shared" si="0"/>
        <v>0</v>
      </c>
    </row>
    <row r="30" spans="1:19" x14ac:dyDescent="0.25">
      <c r="A30" s="4">
        <f t="shared" si="4"/>
        <v>29</v>
      </c>
      <c r="B30" s="4" t="str">
        <f>IF(C30&gt;=Input!$C$5,C30-Input!$C$5,"")</f>
        <v/>
      </c>
      <c r="C30" s="4">
        <f t="shared" si="5"/>
        <v>53</v>
      </c>
      <c r="D30" s="4">
        <f>IF(C30&lt;Input!$C$5,0,IF(AND(C30&gt;=Input!$C$5,C30&lt;Input!$C$5+Input!$C$6),1,2))</f>
        <v>0</v>
      </c>
      <c r="E30" s="4">
        <f>IF(C30&gt;=Input!$B$61,1,0)</f>
        <v>0</v>
      </c>
      <c r="F30" s="4">
        <f>IF(AND(C30&gt;=Input!$B$62,D30=1),1,0)</f>
        <v>0</v>
      </c>
      <c r="G30" s="5">
        <f>IF(OR(P29&lt;0,D30=2),0,P29*(1+Input!$B$56))</f>
        <v>261630.14314447029</v>
      </c>
      <c r="H30" s="5">
        <f>IF(D30=0,Input!$C$21+Input!$C$24+Input!$C$27,0)</f>
        <v>2400</v>
      </c>
      <c r="I30" s="5">
        <f>IF(D30=1,Input!$B$72,0)</f>
        <v>0</v>
      </c>
      <c r="J30" s="5">
        <f>IF(F30=1,FV(Input!$B$56,B30,,-Input!$C$12),0)</f>
        <v>0</v>
      </c>
      <c r="K30" s="5">
        <f>IF(E30=1,FV(Input!$B$56,B30,,-Input!$C$13),0)</f>
        <v>0</v>
      </c>
      <c r="L30" s="5">
        <f>IF(D30=1,Input!$C$16+Input!$C$14+Input!$C$15,0)</f>
        <v>0</v>
      </c>
      <c r="M30" s="8"/>
      <c r="N30" s="8">
        <f t="shared" si="1"/>
        <v>0</v>
      </c>
      <c r="O30" s="5">
        <f t="shared" si="2"/>
        <v>0</v>
      </c>
      <c r="P30" s="5">
        <f t="shared" si="3"/>
        <v>264030.14314447029</v>
      </c>
      <c r="R30" s="7" t="e">
        <f>PV(Input!$B$56,'Spouse Details - Hypothetical'!B30,0,'Spouse Details - Hypothetical'!H30,1)</f>
        <v>#VALUE!</v>
      </c>
      <c r="S30">
        <f t="shared" si="0"/>
        <v>0</v>
      </c>
    </row>
    <row r="31" spans="1:19" x14ac:dyDescent="0.25">
      <c r="A31" s="4">
        <f t="shared" si="4"/>
        <v>30</v>
      </c>
      <c r="B31" s="4" t="str">
        <f>IF(C31&gt;=Input!$C$5,C31-Input!$C$5,"")</f>
        <v/>
      </c>
      <c r="C31" s="4">
        <f t="shared" si="5"/>
        <v>54</v>
      </c>
      <c r="D31" s="4">
        <f>IF(C31&lt;Input!$C$5,0,IF(AND(C31&gt;=Input!$C$5,C31&lt;Input!$C$5+Input!$C$6),1,2))</f>
        <v>0</v>
      </c>
      <c r="E31" s="4">
        <f>IF(C31&gt;=Input!$B$61,1,0)</f>
        <v>0</v>
      </c>
      <c r="F31" s="4">
        <f>IF(AND(C31&gt;=Input!$B$62,D31=1),1,0)</f>
        <v>0</v>
      </c>
      <c r="G31" s="5">
        <f>IF(OR(P30&lt;0,D31=2),0,P30*(1+Input!$B$56))</f>
        <v>266618.67395961215</v>
      </c>
      <c r="H31" s="5">
        <f>IF(D31=0,Input!$C$21+Input!$C$24+Input!$C$27,0)</f>
        <v>2400</v>
      </c>
      <c r="I31" s="5">
        <f>IF(D31=1,Input!$B$72,0)</f>
        <v>0</v>
      </c>
      <c r="J31" s="5">
        <f>IF(F31=1,FV(Input!$B$56,B31,,-Input!$C$12),0)</f>
        <v>0</v>
      </c>
      <c r="K31" s="5">
        <f>IF(E31=1,FV(Input!$B$56,B31,,-Input!$C$13),0)</f>
        <v>0</v>
      </c>
      <c r="L31" s="5">
        <f>IF(D31=1,Input!$C$16+Input!$C$14+Input!$C$15,0)</f>
        <v>0</v>
      </c>
      <c r="M31" s="8"/>
      <c r="N31" s="8">
        <f t="shared" si="1"/>
        <v>0</v>
      </c>
      <c r="O31" s="5">
        <f t="shared" si="2"/>
        <v>0</v>
      </c>
      <c r="P31" s="5">
        <f t="shared" si="3"/>
        <v>269018.67395961215</v>
      </c>
      <c r="R31" s="7" t="e">
        <f>PV(Input!$B$56,'Spouse Details - Hypothetical'!B31,0,'Spouse Details - Hypothetical'!H31,1)</f>
        <v>#VALUE!</v>
      </c>
      <c r="S31">
        <f t="shared" si="0"/>
        <v>0</v>
      </c>
    </row>
    <row r="32" spans="1:19" x14ac:dyDescent="0.25">
      <c r="A32" s="4">
        <f t="shared" si="4"/>
        <v>31</v>
      </c>
      <c r="B32" s="4" t="str">
        <f>IF(C32&gt;=Input!$C$5,C32-Input!$C$5,"")</f>
        <v/>
      </c>
      <c r="C32" s="4">
        <f t="shared" si="5"/>
        <v>55</v>
      </c>
      <c r="D32" s="4">
        <f>IF(C32&lt;Input!$C$5,0,IF(AND(C32&gt;=Input!$C$5,C32&lt;Input!$C$5+Input!$C$6),1,2))</f>
        <v>0</v>
      </c>
      <c r="E32" s="4">
        <f>IF(C32&gt;=Input!$B$61,1,0)</f>
        <v>0</v>
      </c>
      <c r="F32" s="4">
        <f>IF(AND(C32&gt;=Input!$B$62,D32=1),1,0)</f>
        <v>0</v>
      </c>
      <c r="G32" s="5">
        <f>IF(OR(P31&lt;0,D32=2),0,P31*(1+Input!$B$56))</f>
        <v>271656.11193960835</v>
      </c>
      <c r="H32" s="5">
        <f>IF(D32=0,Input!$C$21+Input!$C$24+Input!$C$27,0)</f>
        <v>2400</v>
      </c>
      <c r="I32" s="5">
        <f>IF(D32=1,Input!$B$72,0)</f>
        <v>0</v>
      </c>
      <c r="J32" s="5">
        <f>IF(F32=1,FV(Input!$B$56,B32,,-Input!$C$12),0)</f>
        <v>0</v>
      </c>
      <c r="K32" s="5">
        <f>IF(E32=1,FV(Input!$B$56,B32,,-Input!$C$13),0)</f>
        <v>0</v>
      </c>
      <c r="L32" s="5">
        <f>IF(D32=1,Input!$C$16+Input!$C$14+Input!$C$15,0)</f>
        <v>0</v>
      </c>
      <c r="M32" s="8"/>
      <c r="N32" s="8">
        <f t="shared" si="1"/>
        <v>0</v>
      </c>
      <c r="O32" s="5">
        <f t="shared" si="2"/>
        <v>0</v>
      </c>
      <c r="P32" s="5">
        <f t="shared" si="3"/>
        <v>274056.11193960835</v>
      </c>
      <c r="R32" s="7" t="e">
        <f>PV(Input!$B$56,'Spouse Details - Hypothetical'!B32,0,'Spouse Details - Hypothetical'!H32,1)</f>
        <v>#VALUE!</v>
      </c>
      <c r="S32">
        <f t="shared" si="0"/>
        <v>0</v>
      </c>
    </row>
    <row r="33" spans="1:19" x14ac:dyDescent="0.25">
      <c r="A33" s="4">
        <f t="shared" si="4"/>
        <v>32</v>
      </c>
      <c r="B33" s="4" t="str">
        <f>IF(C33&gt;=Input!$C$5,C33-Input!$C$5,"")</f>
        <v/>
      </c>
      <c r="C33" s="4">
        <f t="shared" si="5"/>
        <v>56</v>
      </c>
      <c r="D33" s="4">
        <f>IF(C33&lt;Input!$C$5,0,IF(AND(C33&gt;=Input!$C$5,C33&lt;Input!$C$5+Input!$C$6),1,2))</f>
        <v>0</v>
      </c>
      <c r="E33" s="4">
        <f>IF(C33&gt;=Input!$B$61,1,0)</f>
        <v>0</v>
      </c>
      <c r="F33" s="4">
        <f>IF(AND(C33&gt;=Input!$B$62,D33=1),1,0)</f>
        <v>0</v>
      </c>
      <c r="G33" s="5">
        <f>IF(OR(P32&lt;0,D33=2),0,P32*(1+Input!$B$56))</f>
        <v>276742.93656646722</v>
      </c>
      <c r="H33" s="5">
        <f>IF(D33=0,Input!$C$21+Input!$C$24+Input!$C$27,0)</f>
        <v>2400</v>
      </c>
      <c r="I33" s="5">
        <f>IF(D33=1,Input!$B$72,0)</f>
        <v>0</v>
      </c>
      <c r="J33" s="5">
        <f>IF(F33=1,FV(Input!$B$56,B33,,-Input!$C$12),0)</f>
        <v>0</v>
      </c>
      <c r="K33" s="5">
        <f>IF(E33=1,FV(Input!$B$56,B33,,-Input!$C$13),0)</f>
        <v>0</v>
      </c>
      <c r="L33" s="5">
        <f>IF(D33=1,Input!$C$16+Input!$C$14+Input!$C$15,0)</f>
        <v>0</v>
      </c>
      <c r="M33" s="8"/>
      <c r="N33" s="8">
        <f t="shared" si="1"/>
        <v>0</v>
      </c>
      <c r="O33" s="5">
        <f t="shared" si="2"/>
        <v>0</v>
      </c>
      <c r="P33" s="5">
        <f t="shared" si="3"/>
        <v>279142.93656646722</v>
      </c>
      <c r="R33" s="7" t="e">
        <f>PV(Input!$B$56,'Spouse Details - Hypothetical'!B33,0,'Spouse Details - Hypothetical'!H33,1)</f>
        <v>#VALUE!</v>
      </c>
      <c r="S33">
        <f t="shared" si="0"/>
        <v>0</v>
      </c>
    </row>
    <row r="34" spans="1:19" x14ac:dyDescent="0.25">
      <c r="A34" s="4">
        <f t="shared" si="4"/>
        <v>33</v>
      </c>
      <c r="B34" s="4" t="str">
        <f>IF(C34&gt;=Input!$C$5,C34-Input!$C$5,"")</f>
        <v/>
      </c>
      <c r="C34" s="4">
        <f t="shared" si="5"/>
        <v>57</v>
      </c>
      <c r="D34" s="4">
        <f>IF(C34&lt;Input!$C$5,0,IF(AND(C34&gt;=Input!$C$5,C34&lt;Input!$C$5+Input!$C$6),1,2))</f>
        <v>0</v>
      </c>
      <c r="E34" s="4">
        <f>IF(C34&gt;=Input!$B$61,1,0)</f>
        <v>0</v>
      </c>
      <c r="F34" s="4">
        <f>IF(AND(C34&gt;=Input!$B$62,D34=1),1,0)</f>
        <v>0</v>
      </c>
      <c r="G34" s="5">
        <f>IF(OR(P33&lt;0,D34=2),0,P33*(1+Input!$B$56))</f>
        <v>281879.63202300121</v>
      </c>
      <c r="H34" s="5">
        <f>IF(D34=0,Input!$C$21+Input!$C$24+Input!$C$27,0)</f>
        <v>2400</v>
      </c>
      <c r="I34" s="5">
        <f>IF(D34=1,Input!$B$72,0)</f>
        <v>0</v>
      </c>
      <c r="J34" s="5">
        <f>IF(F34=1,FV(Input!$B$56,B34,,-Input!$C$12),0)</f>
        <v>0</v>
      </c>
      <c r="K34" s="5">
        <f>IF(E34=1,FV(Input!$B$56,B34,,-Input!$C$13),0)</f>
        <v>0</v>
      </c>
      <c r="L34" s="5">
        <f>IF(D34=1,Input!$C$16+Input!$C$14+Input!$C$15,0)</f>
        <v>0</v>
      </c>
      <c r="M34" s="8"/>
      <c r="N34" s="8">
        <f t="shared" si="1"/>
        <v>0</v>
      </c>
      <c r="O34" s="5">
        <f t="shared" si="2"/>
        <v>0</v>
      </c>
      <c r="P34" s="5">
        <f t="shared" si="3"/>
        <v>284279.63202300121</v>
      </c>
      <c r="R34" s="7" t="e">
        <f>PV(Input!$B$56,'Spouse Details - Hypothetical'!B34,0,'Spouse Details - Hypothetical'!H34,1)</f>
        <v>#VALUE!</v>
      </c>
      <c r="S34">
        <f t="shared" si="0"/>
        <v>0</v>
      </c>
    </row>
    <row r="35" spans="1:19" x14ac:dyDescent="0.25">
      <c r="A35" s="4">
        <f t="shared" si="4"/>
        <v>34</v>
      </c>
      <c r="B35" s="4" t="str">
        <f>IF(C35&gt;=Input!$C$5,C35-Input!$C$5,"")</f>
        <v/>
      </c>
      <c r="C35" s="4">
        <f t="shared" si="5"/>
        <v>58</v>
      </c>
      <c r="D35" s="4">
        <f>IF(C35&lt;Input!$C$5,0,IF(AND(C35&gt;=Input!$C$5,C35&lt;Input!$C$5+Input!$C$6),1,2))</f>
        <v>0</v>
      </c>
      <c r="E35" s="4">
        <f>IF(C35&gt;=Input!$B$61,1,0)</f>
        <v>0</v>
      </c>
      <c r="F35" s="4">
        <f>IF(AND(C35&gt;=Input!$B$62,D35=1),1,0)</f>
        <v>0</v>
      </c>
      <c r="G35" s="5">
        <f>IF(OR(P34&lt;0,D35=2),0,P34*(1+Input!$B$56))</f>
        <v>287066.68723891297</v>
      </c>
      <c r="H35" s="5">
        <f>IF(D35=0,Input!$C$21+Input!$C$24+Input!$C$27,0)</f>
        <v>2400</v>
      </c>
      <c r="I35" s="5">
        <f>IF(D35=1,Input!$B$72,0)</f>
        <v>0</v>
      </c>
      <c r="J35" s="5">
        <f>IF(F35=1,FV(Input!$B$56,B35,,-Input!$C$12),0)</f>
        <v>0</v>
      </c>
      <c r="K35" s="5">
        <f>IF(E35=1,FV(Input!$B$56,B35,,-Input!$C$13),0)</f>
        <v>0</v>
      </c>
      <c r="L35" s="5">
        <f>IF(D35=1,Input!$C$16+Input!$C$14+Input!$C$15,0)</f>
        <v>0</v>
      </c>
      <c r="M35" s="8"/>
      <c r="N35" s="8">
        <f t="shared" si="1"/>
        <v>0</v>
      </c>
      <c r="O35" s="5">
        <f t="shared" si="2"/>
        <v>0</v>
      </c>
      <c r="P35" s="5">
        <f t="shared" si="3"/>
        <v>289466.68723891297</v>
      </c>
      <c r="R35" s="7" t="e">
        <f>PV(Input!$B$56,'Spouse Details - Hypothetical'!B35,0,'Spouse Details - Hypothetical'!H35,1)</f>
        <v>#VALUE!</v>
      </c>
      <c r="S35">
        <f t="shared" si="0"/>
        <v>0</v>
      </c>
    </row>
    <row r="36" spans="1:19" x14ac:dyDescent="0.25">
      <c r="A36" s="4">
        <f t="shared" si="4"/>
        <v>35</v>
      </c>
      <c r="B36" s="4" t="str">
        <f>IF(C36&gt;=Input!$C$5,C36-Input!$C$5,"")</f>
        <v/>
      </c>
      <c r="C36" s="4">
        <f t="shared" si="5"/>
        <v>59</v>
      </c>
      <c r="D36" s="4">
        <f>IF(C36&lt;Input!$C$5,0,IF(AND(C36&gt;=Input!$C$5,C36&lt;Input!$C$5+Input!$C$6),1,2))</f>
        <v>0</v>
      </c>
      <c r="E36" s="4">
        <f>IF(C36&gt;=Input!$B$61,1,0)</f>
        <v>0</v>
      </c>
      <c r="F36" s="4">
        <f>IF(AND(C36&gt;=Input!$B$62,D36=1),1,0)</f>
        <v>0</v>
      </c>
      <c r="G36" s="5">
        <f>IF(OR(P35&lt;0,D36=2),0,P35*(1+Input!$B$56))</f>
        <v>292304.59593733365</v>
      </c>
      <c r="H36" s="5">
        <f>IF(D36=0,Input!$C$21+Input!$C$24+Input!$C$27,0)</f>
        <v>2400</v>
      </c>
      <c r="I36" s="5">
        <f>IF(D36=1,Input!$B$72,0)</f>
        <v>0</v>
      </c>
      <c r="J36" s="5">
        <f>IF(F36=1,FV(Input!$B$56,B36,,-Input!$C$12),0)</f>
        <v>0</v>
      </c>
      <c r="K36" s="5">
        <f>IF(E36=1,FV(Input!$B$56,B36,,-Input!$C$13),0)</f>
        <v>0</v>
      </c>
      <c r="L36" s="5">
        <f>IF(D36=1,Input!$C$16+Input!$C$14+Input!$C$15,0)</f>
        <v>0</v>
      </c>
      <c r="M36" s="8"/>
      <c r="N36" s="8">
        <f t="shared" si="1"/>
        <v>0</v>
      </c>
      <c r="O36" s="5">
        <f t="shared" si="2"/>
        <v>0</v>
      </c>
      <c r="P36" s="5">
        <f t="shared" si="3"/>
        <v>294704.59593733365</v>
      </c>
      <c r="R36" s="7" t="e">
        <f>PV(Input!$B$56,'Spouse Details - Hypothetical'!B36,0,'Spouse Details - Hypothetical'!H36,1)</f>
        <v>#VALUE!</v>
      </c>
      <c r="S36">
        <f t="shared" si="0"/>
        <v>0</v>
      </c>
    </row>
    <row r="37" spans="1:19" x14ac:dyDescent="0.25">
      <c r="A37" s="4">
        <f t="shared" si="4"/>
        <v>36</v>
      </c>
      <c r="B37" s="4" t="str">
        <f>IF(C37&gt;=Input!$C$5,C37-Input!$C$5,"")</f>
        <v/>
      </c>
      <c r="C37" s="4">
        <f t="shared" si="5"/>
        <v>60</v>
      </c>
      <c r="D37" s="4">
        <f>IF(C37&lt;Input!$C$5,0,IF(AND(C37&gt;=Input!$C$5,C37&lt;Input!$C$5+Input!$C$6),1,2))</f>
        <v>0</v>
      </c>
      <c r="E37" s="4">
        <f>IF(C37&gt;=Input!$B$61,1,0)</f>
        <v>0</v>
      </c>
      <c r="F37" s="4">
        <f>IF(AND(C37&gt;=Input!$B$62,D37=1),1,0)</f>
        <v>0</v>
      </c>
      <c r="G37" s="5">
        <f>IF(OR(P36&lt;0,D37=2),0,P36*(1+Input!$B$56))</f>
        <v>297593.85668181733</v>
      </c>
      <c r="H37" s="5">
        <f>IF(D37=0,Input!$C$21+Input!$C$24+Input!$C$27,0)</f>
        <v>2400</v>
      </c>
      <c r="I37" s="5">
        <f>IF(D37=1,Input!$B$72,0)</f>
        <v>0</v>
      </c>
      <c r="J37" s="5">
        <f>IF(F37=1,FV(Input!$B$56,B37,,-Input!$C$12),0)</f>
        <v>0</v>
      </c>
      <c r="K37" s="5">
        <f>IF(E37=1,FV(Input!$B$56,B37,,-Input!$C$13),0)</f>
        <v>0</v>
      </c>
      <c r="L37" s="5">
        <f>IF(D37=1,Input!$C$16+Input!$C$14+Input!$C$15,0)</f>
        <v>0</v>
      </c>
      <c r="M37" s="8"/>
      <c r="N37" s="8">
        <f t="shared" si="1"/>
        <v>0</v>
      </c>
      <c r="O37" s="5">
        <f t="shared" si="2"/>
        <v>0</v>
      </c>
      <c r="P37" s="5">
        <f>IF(D37=2,P36,G37+H37-O37)</f>
        <v>299993.85668181733</v>
      </c>
      <c r="R37" s="7" t="e">
        <f>PV(Input!$B$56,'Spouse Details - Hypothetical'!B37,0,'Spouse Details - Hypothetical'!H37,1)</f>
        <v>#VALUE!</v>
      </c>
      <c r="S37">
        <f t="shared" si="0"/>
        <v>0</v>
      </c>
    </row>
    <row r="38" spans="1:19" x14ac:dyDescent="0.25">
      <c r="A38" s="4">
        <f t="shared" si="4"/>
        <v>37</v>
      </c>
      <c r="B38" s="4" t="str">
        <f>IF(C38&gt;=Input!$C$5,C38-Input!$C$5,"")</f>
        <v/>
      </c>
      <c r="C38" s="4">
        <f t="shared" si="5"/>
        <v>61</v>
      </c>
      <c r="D38" s="4">
        <f>IF(C38&lt;Input!$C$5,0,IF(AND(C38&gt;=Input!$C$5,C38&lt;Input!$C$5+Input!$C$6),1,2))</f>
        <v>0</v>
      </c>
      <c r="E38" s="4">
        <f>IF(C38&gt;=Input!$B$61,1,0)</f>
        <v>0</v>
      </c>
      <c r="F38" s="4">
        <f>IF(AND(C38&gt;=Input!$B$62,D38=1),1,0)</f>
        <v>0</v>
      </c>
      <c r="G38" s="5">
        <f>IF(OR(P37&lt;0,D38=2),0,P37*(1+Input!$B$56))</f>
        <v>302934.97292379593</v>
      </c>
      <c r="H38" s="5">
        <f>IF(D38=0,Input!$C$21+Input!$C$24+Input!$C$27,0)</f>
        <v>2400</v>
      </c>
      <c r="I38" s="5">
        <f>IF(D38=1,Input!$B$72,0)</f>
        <v>0</v>
      </c>
      <c r="J38" s="5">
        <f>IF(F38=1,FV(Input!$B$56,B38,,-Input!$C$12),0)</f>
        <v>0</v>
      </c>
      <c r="K38" s="5">
        <f>IF(E38=1,FV(Input!$B$56,B38,,-Input!$C$13),0)</f>
        <v>0</v>
      </c>
      <c r="L38" s="5">
        <f>IF(D38=1,Input!$C$16+Input!$C$14+Input!$C$15,0)</f>
        <v>0</v>
      </c>
      <c r="M38" s="8"/>
      <c r="N38" s="8">
        <f t="shared" si="1"/>
        <v>0</v>
      </c>
      <c r="O38" s="5">
        <f t="shared" si="2"/>
        <v>0</v>
      </c>
      <c r="P38" s="5">
        <f t="shared" si="3"/>
        <v>305334.97292379593</v>
      </c>
      <c r="R38" s="7" t="e">
        <f>PV(Input!$B$56,'Spouse Details - Hypothetical'!B38,0,'Spouse Details - Hypothetical'!H38,1)</f>
        <v>#VALUE!</v>
      </c>
      <c r="S38">
        <f t="shared" si="0"/>
        <v>0</v>
      </c>
    </row>
    <row r="39" spans="1:19" x14ac:dyDescent="0.25">
      <c r="A39" s="4">
        <f t="shared" si="4"/>
        <v>38</v>
      </c>
      <c r="B39" s="4" t="str">
        <f>IF(C39&gt;=Input!$C$5,C39-Input!$C$5,"")</f>
        <v/>
      </c>
      <c r="C39" s="4">
        <f>C38+1</f>
        <v>62</v>
      </c>
      <c r="D39" s="4">
        <f>IF(C39&lt;Input!$C$5,0,IF(AND(C39&gt;=Input!$C$5,C39&lt;Input!$C$5+Input!$C$6),1,2))</f>
        <v>0</v>
      </c>
      <c r="E39" s="4">
        <f>IF(C39&gt;=Input!$B$61,1,0)</f>
        <v>0</v>
      </c>
      <c r="F39" s="4">
        <f>IF(AND(C39&gt;=Input!$B$62,D39=1),1,0)</f>
        <v>0</v>
      </c>
      <c r="G39" s="5">
        <f>IF(OR(P38&lt;0,D39=2),0,P38*(1+Input!$B$56))</f>
        <v>308328.45305049978</v>
      </c>
      <c r="H39" s="5">
        <f>IF(D39=0,Input!$C$21+Input!$C$24+Input!$C$27,0)</f>
        <v>2400</v>
      </c>
      <c r="I39" s="5">
        <f>IF(D39=1,Input!$B$72,0)</f>
        <v>0</v>
      </c>
      <c r="J39" s="5">
        <f>IF(F39=1,FV(Input!$B$56,B39,,-Input!$C$12),0)</f>
        <v>0</v>
      </c>
      <c r="K39" s="5">
        <f>IF(E39=1,FV(Input!$B$56,B39,,-Input!$C$13),0)</f>
        <v>0</v>
      </c>
      <c r="L39" s="5">
        <f>IF(D39=1,Input!$C$16+Input!$C$14+Input!$C$15,0)</f>
        <v>0</v>
      </c>
      <c r="M39" s="8"/>
      <c r="N39" s="8">
        <f t="shared" si="1"/>
        <v>0</v>
      </c>
      <c r="O39" s="5">
        <f t="shared" si="2"/>
        <v>0</v>
      </c>
      <c r="P39" s="5">
        <f t="shared" si="3"/>
        <v>310728.45305049978</v>
      </c>
      <c r="R39" s="7" t="e">
        <f>PV(Input!$B$56,'Spouse Details - Hypothetical'!B39,0,'Spouse Details - Hypothetical'!H39,1)</f>
        <v>#VALUE!</v>
      </c>
      <c r="S39">
        <f t="shared" si="0"/>
        <v>0</v>
      </c>
    </row>
    <row r="40" spans="1:19" x14ac:dyDescent="0.25">
      <c r="A40" s="4">
        <f t="shared" si="4"/>
        <v>39</v>
      </c>
      <c r="B40" s="4" t="str">
        <f>IF(C40&gt;=Input!$C$5,C40-Input!$C$5,"")</f>
        <v/>
      </c>
      <c r="C40" s="4">
        <f t="shared" si="5"/>
        <v>63</v>
      </c>
      <c r="D40" s="4">
        <f>IF(C40&lt;Input!$C$5,0,IF(AND(C40&gt;=Input!$C$5,C40&lt;Input!$C$5+Input!$C$6),1,2))</f>
        <v>0</v>
      </c>
      <c r="E40" s="4">
        <f>IF(C40&gt;=Input!$B$61,1,0)</f>
        <v>0</v>
      </c>
      <c r="F40" s="4">
        <f>IF(AND(C40&gt;=Input!$B$62,D40=1),1,0)</f>
        <v>0</v>
      </c>
      <c r="G40" s="5">
        <f>IF(OR(P39&lt;0,D40=2),0,P39*(1+Input!$B$56))</f>
        <v>313774.81043334783</v>
      </c>
      <c r="H40" s="5">
        <f>IF(D40=0,Input!$C$21+Input!$C$24+Input!$C$27,0)</f>
        <v>2400</v>
      </c>
      <c r="I40" s="5">
        <f>IF(D40=1,Input!$B$72,0)</f>
        <v>0</v>
      </c>
      <c r="J40" s="5">
        <f>IF(F40=1,FV(Input!$B$56,B40,,-Input!$C$12),0)</f>
        <v>0</v>
      </c>
      <c r="K40" s="5">
        <f>IF(E40=1,FV(Input!$B$56,B40,,-Input!$C$13),0)</f>
        <v>0</v>
      </c>
      <c r="L40" s="5">
        <f>IF(D40=1,Input!$C$16+Input!$C$14+Input!$C$15,0)</f>
        <v>0</v>
      </c>
      <c r="M40" s="8"/>
      <c r="N40" s="8">
        <f t="shared" si="1"/>
        <v>0</v>
      </c>
      <c r="O40" s="5">
        <f t="shared" si="2"/>
        <v>0</v>
      </c>
      <c r="P40" s="5">
        <f t="shared" si="3"/>
        <v>316174.81043334783</v>
      </c>
      <c r="R40" s="7" t="e">
        <f>PV(Input!$B$56,'Spouse Details - Hypothetical'!B40,0,'Spouse Details - Hypothetical'!H40,1)</f>
        <v>#VALUE!</v>
      </c>
      <c r="S40">
        <f t="shared" si="0"/>
        <v>0</v>
      </c>
    </row>
    <row r="41" spans="1:19" x14ac:dyDescent="0.25">
      <c r="A41" s="4">
        <f t="shared" si="4"/>
        <v>40</v>
      </c>
      <c r="B41" s="4" t="str">
        <f>IF(C41&gt;=Input!$C$5,C41-Input!$C$5,"")</f>
        <v/>
      </c>
      <c r="C41" s="4">
        <f t="shared" si="5"/>
        <v>64</v>
      </c>
      <c r="D41" s="4">
        <f>IF(C41&lt;Input!$C$5,0,IF(AND(C41&gt;=Input!$C$5,C41&lt;Input!$C$5+Input!$C$6),1,2))</f>
        <v>0</v>
      </c>
      <c r="E41" s="4">
        <f>IF(C41&gt;=Input!$B$61,1,0)</f>
        <v>0</v>
      </c>
      <c r="F41" s="4">
        <f>IF(AND(C41&gt;=Input!$B$62,D41=1),1,0)</f>
        <v>0</v>
      </c>
      <c r="G41" s="5">
        <f>IF(OR(P40&lt;0,D41=2),0,P40*(1+Input!$B$56))</f>
        <v>319274.56347681204</v>
      </c>
      <c r="H41" s="5">
        <f>IF(D41=0,Input!$C$21+Input!$C$24+Input!$C$27,0)</f>
        <v>2400</v>
      </c>
      <c r="I41" s="5">
        <f>IF(D41=1,Input!$B$72,0)</f>
        <v>0</v>
      </c>
      <c r="J41" s="5">
        <f>IF(F41=1,FV(Input!$B$56,B41,,-Input!$C$12),0)</f>
        <v>0</v>
      </c>
      <c r="K41" s="5">
        <f>IF(E41=1,FV(Input!$B$56,B41,,-Input!$C$13),0)</f>
        <v>0</v>
      </c>
      <c r="L41" s="5">
        <f>IF(D41=1,Input!$C$16+Input!$C$14+Input!$C$15,0)</f>
        <v>0</v>
      </c>
      <c r="M41" s="8"/>
      <c r="N41" s="8">
        <f t="shared" si="1"/>
        <v>0</v>
      </c>
      <c r="O41" s="5">
        <f t="shared" si="2"/>
        <v>0</v>
      </c>
      <c r="P41" s="5">
        <f t="shared" si="3"/>
        <v>321674.56347681204</v>
      </c>
      <c r="R41" s="7" t="e">
        <f>PV(Input!$B$56,'Spouse Details - Hypothetical'!B41,0,'Spouse Details - Hypothetical'!H41,1)</f>
        <v>#VALUE!</v>
      </c>
      <c r="S41">
        <f t="shared" si="0"/>
        <v>0</v>
      </c>
    </row>
    <row r="42" spans="1:19" x14ac:dyDescent="0.25">
      <c r="A42" s="4">
        <f t="shared" si="4"/>
        <v>41</v>
      </c>
      <c r="B42" s="4">
        <f>IF(C42&gt;=Input!$C$5,C42-Input!$C$5,"")</f>
        <v>0</v>
      </c>
      <c r="C42" s="4">
        <f t="shared" si="5"/>
        <v>65</v>
      </c>
      <c r="D42" s="4">
        <f>IF(C42&lt;Input!$C$5,0,IF(AND(C42&gt;=Input!$C$5,C42&lt;Input!$C$5+Input!$C$6),1,2))</f>
        <v>1</v>
      </c>
      <c r="E42" s="4">
        <f>IF(C42&gt;=Input!$B$61,1,0)</f>
        <v>1</v>
      </c>
      <c r="F42" s="4">
        <f>IF(AND(C42&gt;=Input!$B$62,D42=1),1,0)</f>
        <v>1</v>
      </c>
      <c r="G42" s="5">
        <f>IF(OR(P41&lt;0,D42=2),0,P41*(1+Input!$B$56))</f>
        <v>324828.23566776118</v>
      </c>
      <c r="H42" s="5">
        <f>IF(D42=0,Input!$C$21+Input!$C$24+Input!$C$27,0)</f>
        <v>0</v>
      </c>
      <c r="I42" s="5">
        <f>IF(D42=1,Input!$B$72,0)</f>
        <v>50000</v>
      </c>
      <c r="J42" s="5">
        <f>IF(F42=1,FV(Input!$B$56,B42,,-Input!$C$12),0)</f>
        <v>6846.24</v>
      </c>
      <c r="K42" s="5">
        <f>IF(E42=1,FV(Input!$B$56,B42,,-Input!$C$13),0)</f>
        <v>6000</v>
      </c>
      <c r="L42" s="5">
        <f>IF(D42=1,Input!$C$16+Input!$C$14+Input!$C$15,0)</f>
        <v>300</v>
      </c>
      <c r="M42" s="8"/>
      <c r="N42" s="8">
        <f t="shared" si="1"/>
        <v>13146.24</v>
      </c>
      <c r="O42" s="5">
        <f t="shared" si="2"/>
        <v>36853.760000000002</v>
      </c>
      <c r="P42" s="5">
        <f t="shared" si="3"/>
        <v>287974.47566776117</v>
      </c>
      <c r="R42" s="7">
        <f>PV(Input!$B$56,'Spouse Details - Hypothetical'!B42,0,'Spouse Details - Hypothetical'!H42,1)</f>
        <v>-36853.760000000002</v>
      </c>
      <c r="S42">
        <f t="shared" si="0"/>
        <v>-36853.760000000002</v>
      </c>
    </row>
    <row r="43" spans="1:19" x14ac:dyDescent="0.25">
      <c r="A43" s="4">
        <f t="shared" si="4"/>
        <v>42</v>
      </c>
      <c r="B43" s="4">
        <f>IF(C43&gt;=Input!$C$5,C43-Input!$C$5,"")</f>
        <v>1</v>
      </c>
      <c r="C43" s="4">
        <f t="shared" si="5"/>
        <v>66</v>
      </c>
      <c r="D43" s="4">
        <f>IF(C43&lt;Input!$C$5,0,IF(AND(C43&gt;=Input!$C$5,C43&lt;Input!$C$5+Input!$C$6),1,2))</f>
        <v>1</v>
      </c>
      <c r="E43" s="4">
        <f>IF(C43&gt;=Input!$B$61,1,0)</f>
        <v>1</v>
      </c>
      <c r="F43" s="4">
        <f>IF(AND(C43&gt;=Input!$B$62,D43=1),1,0)</f>
        <v>1</v>
      </c>
      <c r="G43" s="5">
        <f>IF(OR(P42&lt;0,D43=2),0,P42*(1+Input!$B$56))</f>
        <v>290797.75484097452</v>
      </c>
      <c r="H43" s="5">
        <f>IF(D43=0,Input!$C$21+Input!$C$24+Input!$C$27,0)</f>
        <v>0</v>
      </c>
      <c r="I43" s="5">
        <f>IF(D43=1,Input!$B$72,0)</f>
        <v>50000</v>
      </c>
      <c r="J43" s="5">
        <f>IF(F43=1,FV(Input!$B$56,B43,,-Input!$C$12),0)</f>
        <v>6913.36</v>
      </c>
      <c r="K43" s="5">
        <f>IF(E43=1,FV(Input!$B$56,B43,,-Input!$C$13),0)</f>
        <v>6058.8235294117649</v>
      </c>
      <c r="L43" s="5">
        <f>IF(D43=1,Input!$C$16+Input!$C$14+Input!$C$15,0)</f>
        <v>300</v>
      </c>
      <c r="M43" s="8"/>
      <c r="N43" s="8">
        <f t="shared" si="1"/>
        <v>13272.183529411765</v>
      </c>
      <c r="O43" s="5">
        <f t="shared" si="2"/>
        <v>36727.816470588237</v>
      </c>
      <c r="P43" s="5">
        <f t="shared" si="3"/>
        <v>254069.93837038628</v>
      </c>
      <c r="R43" s="7">
        <f>PV(Input!$B$56,'Spouse Details - Hypothetical'!B43,0,'Spouse Details - Hypothetical'!H43,1)</f>
        <v>-36371.235728155341</v>
      </c>
      <c r="S43">
        <f t="shared" si="0"/>
        <v>-36371.235728155341</v>
      </c>
    </row>
    <row r="44" spans="1:19" x14ac:dyDescent="0.25">
      <c r="A44" s="4">
        <f t="shared" si="4"/>
        <v>43</v>
      </c>
      <c r="B44" s="4">
        <f>IF(C44&gt;=Input!$C$5,C44-Input!$C$5,"")</f>
        <v>2</v>
      </c>
      <c r="C44" s="4">
        <f t="shared" si="5"/>
        <v>67</v>
      </c>
      <c r="D44" s="4">
        <f>IF(C44&lt;Input!$C$5,0,IF(AND(C44&gt;=Input!$C$5,C44&lt;Input!$C$5+Input!$C$6),1,2))</f>
        <v>1</v>
      </c>
      <c r="E44" s="4">
        <f>IF(C44&gt;=Input!$B$61,1,0)</f>
        <v>1</v>
      </c>
      <c r="F44" s="4">
        <f>IF(AND(C44&gt;=Input!$B$62,D44=1),1,0)</f>
        <v>1</v>
      </c>
      <c r="G44" s="5">
        <f>IF(OR(P43&lt;0,D44=2),0,P43*(1+Input!$B$56))</f>
        <v>256560.82011911555</v>
      </c>
      <c r="H44" s="5">
        <f>IF(D44=0,Input!$C$21+Input!$C$24+Input!$C$27,0)</f>
        <v>0</v>
      </c>
      <c r="I44" s="5">
        <f>IF(D44=1,Input!$B$72,0)</f>
        <v>50000</v>
      </c>
      <c r="J44" s="5">
        <f>IF(F44=1,FV(Input!$B$56,B44,,-Input!$C$12),0)</f>
        <v>6981.1380392156852</v>
      </c>
      <c r="K44" s="5">
        <f>IF(E44=1,FV(Input!$B$56,B44,,-Input!$C$13),0)</f>
        <v>6118.2237600922717</v>
      </c>
      <c r="L44" s="5">
        <f>IF(D44=1,Input!$C$16+Input!$C$14+Input!$C$15,0)</f>
        <v>300</v>
      </c>
      <c r="M44" s="8"/>
      <c r="N44" s="8">
        <f t="shared" si="1"/>
        <v>13399.361799307957</v>
      </c>
      <c r="O44" s="5">
        <f t="shared" si="2"/>
        <v>36600.638200692039</v>
      </c>
      <c r="P44" s="5">
        <f t="shared" si="3"/>
        <v>219960.18191842351</v>
      </c>
      <c r="R44" s="7">
        <f>PV(Input!$B$56,'Spouse Details - Hypothetical'!B44,0,'Spouse Details - Hypothetical'!H44,1)</f>
        <v>-35893.396157979078</v>
      </c>
      <c r="S44">
        <f t="shared" si="0"/>
        <v>-35893.396157979078</v>
      </c>
    </row>
    <row r="45" spans="1:19" x14ac:dyDescent="0.25">
      <c r="A45" s="4">
        <f t="shared" si="4"/>
        <v>44</v>
      </c>
      <c r="B45" s="4">
        <f>IF(C45&gt;=Input!$C$5,C45-Input!$C$5,"")</f>
        <v>3</v>
      </c>
      <c r="C45" s="4">
        <f t="shared" si="5"/>
        <v>68</v>
      </c>
      <c r="D45" s="4">
        <f>IF(C45&lt;Input!$C$5,0,IF(AND(C45&gt;=Input!$C$5,C45&lt;Input!$C$5+Input!$C$6),1,2))</f>
        <v>1</v>
      </c>
      <c r="E45" s="4">
        <f>IF(C45&gt;=Input!$B$61,1,0)</f>
        <v>1</v>
      </c>
      <c r="F45" s="4">
        <f>IF(AND(C45&gt;=Input!$B$62,D45=1),1,0)</f>
        <v>1</v>
      </c>
      <c r="G45" s="5">
        <f>IF(OR(P44&lt;0,D45=2),0,P44*(1+Input!$B$56))</f>
        <v>222116.65429017274</v>
      </c>
      <c r="H45" s="5">
        <f>IF(D45=0,Input!$C$21+Input!$C$24+Input!$C$27,0)</f>
        <v>0</v>
      </c>
      <c r="I45" s="5">
        <f>IF(D45=1,Input!$B$72,0)</f>
        <v>50000</v>
      </c>
      <c r="J45" s="5">
        <f>IF(F45=1,FV(Input!$B$56,B45,,-Input!$C$12),0)</f>
        <v>7049.5805690119159</v>
      </c>
      <c r="K45" s="5">
        <f>IF(E45=1,FV(Input!$B$56,B45,,-Input!$C$13),0)</f>
        <v>6178.2063459755282</v>
      </c>
      <c r="L45" s="5">
        <f>IF(D45=1,Input!$C$16+Input!$C$14+Input!$C$15,0)</f>
        <v>300</v>
      </c>
      <c r="M45" s="8"/>
      <c r="N45" s="8">
        <f t="shared" si="1"/>
        <v>13527.786914987444</v>
      </c>
      <c r="O45" s="5">
        <f t="shared" si="2"/>
        <v>36472.213085012554</v>
      </c>
      <c r="P45" s="5">
        <f t="shared" si="3"/>
        <v>185644.44120516017</v>
      </c>
      <c r="R45" s="7">
        <f>PV(Input!$B$56,'Spouse Details - Hypothetical'!B45,0,'Spouse Details - Hypothetical'!H45,1)</f>
        <v>-35420.195806930744</v>
      </c>
      <c r="S45">
        <f t="shared" si="0"/>
        <v>-35420.195806930744</v>
      </c>
    </row>
    <row r="46" spans="1:19" x14ac:dyDescent="0.25">
      <c r="A46" s="4">
        <f t="shared" si="4"/>
        <v>45</v>
      </c>
      <c r="B46" s="4">
        <f>IF(C46&gt;=Input!$C$5,C46-Input!$C$5,"")</f>
        <v>4</v>
      </c>
      <c r="C46" s="4">
        <f t="shared" si="5"/>
        <v>69</v>
      </c>
      <c r="D46" s="4">
        <f>IF(C46&lt;Input!$C$5,0,IF(AND(C46&gt;=Input!$C$5,C46&lt;Input!$C$5+Input!$C$6),1,2))</f>
        <v>1</v>
      </c>
      <c r="E46" s="4">
        <f>IF(C46&gt;=Input!$B$61,1,0)</f>
        <v>1</v>
      </c>
      <c r="F46" s="4">
        <f>IF(AND(C46&gt;=Input!$B$62,D46=1),1,0)</f>
        <v>1</v>
      </c>
      <c r="G46" s="5">
        <f>IF(OR(P45&lt;0,D46=2),0,P45*(1+Input!$B$56))</f>
        <v>187464.48474638723</v>
      </c>
      <c r="H46" s="5">
        <f>IF(D46=0,Input!$C$21+Input!$C$24+Input!$C$27,0)</f>
        <v>0</v>
      </c>
      <c r="I46" s="5">
        <f>IF(D46=1,Input!$B$72,0)</f>
        <v>50000</v>
      </c>
      <c r="J46" s="5">
        <f>IF(F46=1,FV(Input!$B$56,B46,,-Input!$C$12),0)</f>
        <v>7118.6941040022284</v>
      </c>
      <c r="K46" s="5">
        <f>IF(E46=1,FV(Input!$B$56,B46,,-Input!$C$13),0)</f>
        <v>6238.7769964262679</v>
      </c>
      <c r="L46" s="5">
        <f>IF(D46=1,Input!$C$16+Input!$C$14+Input!$C$15,0)</f>
        <v>300</v>
      </c>
      <c r="M46" s="8"/>
      <c r="N46" s="8">
        <f t="shared" si="1"/>
        <v>13657.471100428496</v>
      </c>
      <c r="O46" s="5">
        <f t="shared" si="2"/>
        <v>36342.528899571502</v>
      </c>
      <c r="P46" s="5">
        <f t="shared" si="3"/>
        <v>151121.95584681572</v>
      </c>
      <c r="R46" s="7">
        <f>PV(Input!$B$56,'Spouse Details - Hypothetical'!B46,0,'Spouse Details - Hypothetical'!H46,1)</f>
        <v>-34951.58963404793</v>
      </c>
      <c r="S46">
        <f t="shared" si="0"/>
        <v>-34951.58963404793</v>
      </c>
    </row>
    <row r="47" spans="1:19" x14ac:dyDescent="0.25">
      <c r="A47" s="4">
        <f t="shared" si="4"/>
        <v>46</v>
      </c>
      <c r="B47" s="4">
        <f>IF(C47&gt;=Input!$C$5,C47-Input!$C$5,"")</f>
        <v>5</v>
      </c>
      <c r="C47" s="4">
        <f t="shared" si="5"/>
        <v>70</v>
      </c>
      <c r="D47" s="4">
        <f>IF(C47&lt;Input!$C$5,0,IF(AND(C47&gt;=Input!$C$5,C47&lt;Input!$C$5+Input!$C$6),1,2))</f>
        <v>1</v>
      </c>
      <c r="E47" s="4">
        <f>IF(C47&gt;=Input!$B$61,1,0)</f>
        <v>1</v>
      </c>
      <c r="F47" s="4">
        <f>IF(AND(C47&gt;=Input!$B$62,D47=1),1,0)</f>
        <v>1</v>
      </c>
      <c r="G47" s="5">
        <f>IF(OR(P46&lt;0,D47=2),0,P46*(1+Input!$B$56))</f>
        <v>152603.54364923548</v>
      </c>
      <c r="H47" s="5">
        <f>IF(D47=0,Input!$C$21+Input!$C$24+Input!$C$27,0)</f>
        <v>0</v>
      </c>
      <c r="I47" s="5">
        <f>IF(D47=1,Input!$B$72,0)</f>
        <v>50000</v>
      </c>
      <c r="J47" s="5">
        <f>IF(F47=1,FV(Input!$B$56,B47,,-Input!$C$12),0)</f>
        <v>7188.4852226689163</v>
      </c>
      <c r="K47" s="5">
        <f>IF(E47=1,FV(Input!$B$56,B47,,-Input!$C$13),0)</f>
        <v>6299.9414767833878</v>
      </c>
      <c r="L47" s="5">
        <f>IF(D47=1,Input!$C$16+Input!$C$14+Input!$C$15,0)</f>
        <v>300</v>
      </c>
      <c r="M47" s="8"/>
      <c r="N47" s="8">
        <f t="shared" si="1"/>
        <v>13788.426699452304</v>
      </c>
      <c r="O47" s="5">
        <f t="shared" si="2"/>
        <v>36211.573300547694</v>
      </c>
      <c r="P47" s="5">
        <f t="shared" si="3"/>
        <v>116391.97034868778</v>
      </c>
      <c r="R47" s="7">
        <f>PV(Input!$B$56,'Spouse Details - Hypothetical'!B47,0,'Spouse Details - Hypothetical'!H47,1)</f>
        <v>-34487.533035659115</v>
      </c>
      <c r="S47">
        <f t="shared" si="0"/>
        <v>-34487.533035659115</v>
      </c>
    </row>
    <row r="48" spans="1:19" x14ac:dyDescent="0.25">
      <c r="A48" s="4">
        <f t="shared" si="4"/>
        <v>47</v>
      </c>
      <c r="B48" s="4">
        <f>IF(C48&gt;=Input!$C$5,C48-Input!$C$5,"")</f>
        <v>6</v>
      </c>
      <c r="C48" s="4">
        <f t="shared" si="5"/>
        <v>71</v>
      </c>
      <c r="D48" s="4">
        <f>IF(C48&lt;Input!$C$5,0,IF(AND(C48&gt;=Input!$C$5,C48&lt;Input!$C$5+Input!$C$6),1,2))</f>
        <v>1</v>
      </c>
      <c r="E48" s="4">
        <f>IF(C48&gt;=Input!$B$61,1,0)</f>
        <v>1</v>
      </c>
      <c r="F48" s="4">
        <f>IF(AND(C48&gt;=Input!$B$62,D48=1),1,0)</f>
        <v>1</v>
      </c>
      <c r="G48" s="5">
        <f>IF(OR(P47&lt;0,D48=2),0,P47*(1+Input!$B$56))</f>
        <v>117533.06809720433</v>
      </c>
      <c r="H48" s="5">
        <f>IF(D48=0,Input!$C$21+Input!$C$24+Input!$C$27,0)</f>
        <v>0</v>
      </c>
      <c r="I48" s="5">
        <f>IF(D48=1,Input!$B$72,0)</f>
        <v>50000</v>
      </c>
      <c r="J48" s="5">
        <f>IF(F48=1,FV(Input!$B$56,B48,,-Input!$C$12),0)</f>
        <v>7258.9605679891993</v>
      </c>
      <c r="K48" s="5">
        <f>IF(E48=1,FV(Input!$B$56,B48,,-Input!$C$13),0)</f>
        <v>6361.7056089087146</v>
      </c>
      <c r="L48" s="5">
        <f>IF(D48=1,Input!$C$16+Input!$C$14+Input!$C$15,0)</f>
        <v>300</v>
      </c>
      <c r="M48" s="8"/>
      <c r="N48" s="8">
        <f t="shared" si="1"/>
        <v>13920.666176897914</v>
      </c>
      <c r="O48" s="5">
        <f t="shared" si="2"/>
        <v>36079.33382310209</v>
      </c>
      <c r="P48" s="5">
        <f t="shared" si="3"/>
        <v>81453.734274102244</v>
      </c>
      <c r="R48" s="7">
        <f>PV(Input!$B$56,'Spouse Details - Hypothetical'!B48,0,'Spouse Details - Hypothetical'!H48,1)</f>
        <v>-34027.981841138164</v>
      </c>
      <c r="S48">
        <f t="shared" si="0"/>
        <v>-34027.981841138164</v>
      </c>
    </row>
    <row r="49" spans="1:19" x14ac:dyDescent="0.25">
      <c r="A49" s="4">
        <f t="shared" si="4"/>
        <v>48</v>
      </c>
      <c r="B49" s="4">
        <f>IF(C49&gt;=Input!$C$5,C49-Input!$C$5,"")</f>
        <v>7</v>
      </c>
      <c r="C49" s="4">
        <f t="shared" si="5"/>
        <v>72</v>
      </c>
      <c r="D49" s="4">
        <f>IF(C49&lt;Input!$C$5,0,IF(AND(C49&gt;=Input!$C$5,C49&lt;Input!$C$5+Input!$C$6),1,2))</f>
        <v>1</v>
      </c>
      <c r="E49" s="4">
        <f>IF(C49&gt;=Input!$B$61,1,0)</f>
        <v>1</v>
      </c>
      <c r="F49" s="4">
        <f>IF(AND(C49&gt;=Input!$B$62,D49=1),1,0)</f>
        <v>1</v>
      </c>
      <c r="G49" s="5">
        <f>IF(OR(P48&lt;0,D49=2),0,P48*(1+Input!$B$56))</f>
        <v>82252.300296397356</v>
      </c>
      <c r="H49" s="5">
        <f>IF(D49=0,Input!$C$21+Input!$C$24+Input!$C$27,0)</f>
        <v>0</v>
      </c>
      <c r="I49" s="5">
        <f>IF(D49=1,Input!$B$72,0)</f>
        <v>50000</v>
      </c>
      <c r="J49" s="5">
        <f>IF(F49=1,FV(Input!$B$56,B49,,-Input!$C$12),0)</f>
        <v>7330.1268480675235</v>
      </c>
      <c r="K49" s="5">
        <f>IF(E49=1,FV(Input!$B$56,B49,,-Input!$C$13),0)</f>
        <v>6424.0752717411524</v>
      </c>
      <c r="L49" s="5">
        <f>IF(D49=1,Input!$C$16+Input!$C$14+Input!$C$15,0)</f>
        <v>300</v>
      </c>
      <c r="M49" s="8"/>
      <c r="N49" s="8">
        <f t="shared" si="1"/>
        <v>14054.202119808677</v>
      </c>
      <c r="O49" s="5">
        <f t="shared" si="2"/>
        <v>35945.797880191327</v>
      </c>
      <c r="P49" s="5">
        <f t="shared" si="3"/>
        <v>46306.502416206029</v>
      </c>
      <c r="R49" s="7">
        <f>PV(Input!$B$56,'Spouse Details - Hypothetical'!B49,0,'Spouse Details - Hypothetical'!H49,1)</f>
        <v>-33572.892308699935</v>
      </c>
      <c r="S49">
        <f t="shared" si="0"/>
        <v>-33572.892308699935</v>
      </c>
    </row>
    <row r="50" spans="1:19" x14ac:dyDescent="0.25">
      <c r="A50" s="4">
        <f t="shared" si="4"/>
        <v>49</v>
      </c>
      <c r="B50" s="4">
        <f>IF(C50&gt;=Input!$C$5,C50-Input!$C$5,"")</f>
        <v>8</v>
      </c>
      <c r="C50" s="4">
        <f t="shared" si="5"/>
        <v>73</v>
      </c>
      <c r="D50" s="4">
        <f>IF(C50&lt;Input!$C$5,0,IF(AND(C50&gt;=Input!$C$5,C50&lt;Input!$C$5+Input!$C$6),1,2))</f>
        <v>1</v>
      </c>
      <c r="E50" s="4">
        <f>IF(C50&gt;=Input!$B$61,1,0)</f>
        <v>1</v>
      </c>
      <c r="F50" s="4">
        <f>IF(AND(C50&gt;=Input!$B$62,D50=1),1,0)</f>
        <v>1</v>
      </c>
      <c r="G50" s="5">
        <f>IF(OR(P49&lt;0,D50=2),0,P49*(1+Input!$B$56))</f>
        <v>46760.487734011971</v>
      </c>
      <c r="H50" s="5">
        <f>IF(D50=0,Input!$C$21+Input!$C$24+Input!$C$27,0)</f>
        <v>0</v>
      </c>
      <c r="I50" s="5">
        <f>IF(D50=1,Input!$B$72,0)</f>
        <v>50000</v>
      </c>
      <c r="J50" s="5">
        <f>IF(F50=1,FV(Input!$B$56,B50,,-Input!$C$12),0)</f>
        <v>7401.9908367740682</v>
      </c>
      <c r="K50" s="5">
        <f>IF(E50=1,FV(Input!$B$56,B50,,-Input!$C$13),0)</f>
        <v>6487.0564018562609</v>
      </c>
      <c r="L50" s="5">
        <f>IF(D50=1,Input!$C$16+Input!$C$14+Input!$C$15,0)</f>
        <v>300</v>
      </c>
      <c r="M50" s="8"/>
      <c r="N50" s="8">
        <f t="shared" si="1"/>
        <v>14189.04723863033</v>
      </c>
      <c r="O50" s="5">
        <f t="shared" si="2"/>
        <v>35810.95276136967</v>
      </c>
      <c r="P50" s="5">
        <f t="shared" si="3"/>
        <v>10949.534972642301</v>
      </c>
      <c r="R50" s="7">
        <f>PV(Input!$B$56,'Spouse Details - Hypothetical'!B50,0,'Spouse Details - Hypothetical'!H50,1)</f>
        <v>-33122.221121236827</v>
      </c>
      <c r="S50">
        <f t="shared" si="0"/>
        <v>-33122.221121236827</v>
      </c>
    </row>
    <row r="51" spans="1:19" x14ac:dyDescent="0.25">
      <c r="A51" s="4">
        <f t="shared" si="4"/>
        <v>50</v>
      </c>
      <c r="B51" s="4">
        <f>IF(C51&gt;=Input!$C$5,C51-Input!$C$5,"")</f>
        <v>9</v>
      </c>
      <c r="C51" s="4">
        <f t="shared" si="5"/>
        <v>74</v>
      </c>
      <c r="D51" s="4">
        <f>IF(C51&lt;Input!$C$5,0,IF(AND(C51&gt;=Input!$C$5,C51&lt;Input!$C$5+Input!$C$6),1,2))</f>
        <v>1</v>
      </c>
      <c r="E51" s="4">
        <f>IF(C51&gt;=Input!$B$61,1,0)</f>
        <v>1</v>
      </c>
      <c r="F51" s="4">
        <f>IF(AND(C51&gt;=Input!$B$62,D51=1),1,0)</f>
        <v>1</v>
      </c>
      <c r="G51" s="5">
        <f>IF(OR(P50&lt;0,D51=2),0,P50*(1+Input!$B$56))</f>
        <v>11056.88335472703</v>
      </c>
      <c r="H51" s="5">
        <f>IF(D51=0,Input!$C$21+Input!$C$24+Input!$C$27,0)</f>
        <v>0</v>
      </c>
      <c r="I51" s="5">
        <f>IF(D51=1,Input!$B$72,0)</f>
        <v>50000</v>
      </c>
      <c r="J51" s="5">
        <f>IF(F51=1,FV(Input!$B$56,B51,,-Input!$C$12),0)</f>
        <v>7474.5593743895006</v>
      </c>
      <c r="K51" s="5">
        <f>IF(E51=1,FV(Input!$B$56,B51,,-Input!$C$13),0)</f>
        <v>6550.6549940313225</v>
      </c>
      <c r="L51" s="5">
        <f>IF(D51=1,Input!$C$16+Input!$C$14+Input!$C$15,0)</f>
        <v>300</v>
      </c>
      <c r="M51" s="8"/>
      <c r="N51" s="8">
        <f t="shared" si="1"/>
        <v>14325.214368420824</v>
      </c>
      <c r="O51" s="5">
        <f t="shared" si="2"/>
        <v>35674.78563157918</v>
      </c>
      <c r="P51" s="5">
        <f t="shared" si="3"/>
        <v>-24617.90227685215</v>
      </c>
      <c r="R51" s="7">
        <f>PV(Input!$B$56,'Spouse Details - Hypothetical'!B51,0,'Spouse Details - Hypothetical'!H51,1)</f>
        <v>-32675.925382195692</v>
      </c>
      <c r="S51">
        <f t="shared" si="0"/>
        <v>-32675.925382195692</v>
      </c>
    </row>
    <row r="52" spans="1:19" x14ac:dyDescent="0.25">
      <c r="A52" s="4">
        <f t="shared" si="4"/>
        <v>51</v>
      </c>
      <c r="B52" s="4">
        <f>IF(C52&gt;=Input!$C$5,C52-Input!$C$5,"")</f>
        <v>10</v>
      </c>
      <c r="C52" s="4">
        <f t="shared" si="5"/>
        <v>75</v>
      </c>
      <c r="D52" s="4">
        <f>IF(C52&lt;Input!$C$5,0,IF(AND(C52&gt;=Input!$C$5,C52&lt;Input!$C$5+Input!$C$6),1,2))</f>
        <v>1</v>
      </c>
      <c r="E52" s="4">
        <f>IF(C52&gt;=Input!$B$61,1,0)</f>
        <v>1</v>
      </c>
      <c r="F52" s="4">
        <f>IF(AND(C52&gt;=Input!$B$62,D52=1),1,0)</f>
        <v>1</v>
      </c>
      <c r="G52" s="5">
        <f>IF(OR(P51&lt;0,D52=2),0,P51*(1+Input!$B$56))</f>
        <v>0</v>
      </c>
      <c r="H52" s="5">
        <f>IF(D52=0,Input!$C$21+Input!$C$24+Input!$C$27,0)</f>
        <v>0</v>
      </c>
      <c r="I52" s="5">
        <f>IF(D52=1,Input!$B$72,0)</f>
        <v>50000</v>
      </c>
      <c r="J52" s="5">
        <f>IF(F52=1,FV(Input!$B$56,B52,,-Input!$C$12),0)</f>
        <v>7547.8393682560627</v>
      </c>
      <c r="K52" s="5">
        <f>IF(E52=1,FV(Input!$B$56,B52,,-Input!$C$13),0)</f>
        <v>6614.8771018159423</v>
      </c>
      <c r="L52" s="5">
        <f>IF(D52=1,Input!$C$16+Input!$C$14+Input!$C$15,0)</f>
        <v>300</v>
      </c>
      <c r="M52" s="8"/>
      <c r="N52" s="8">
        <f t="shared" si="1"/>
        <v>14462.716470072006</v>
      </c>
      <c r="O52" s="5">
        <f t="shared" si="2"/>
        <v>35537.283529927998</v>
      </c>
      <c r="P52" s="5">
        <f t="shared" si="3"/>
        <v>-35537.283529927998</v>
      </c>
      <c r="R52" s="7">
        <f>PV(Input!$B$56,'Spouse Details - Hypothetical'!B52,0,'Spouse Details - Hypothetical'!H52,1)</f>
        <v>-32233.962611494771</v>
      </c>
      <c r="S52">
        <f t="shared" si="0"/>
        <v>-32233.962611494771</v>
      </c>
    </row>
    <row r="53" spans="1:19" x14ac:dyDescent="0.25">
      <c r="A53" s="4">
        <f t="shared" si="4"/>
        <v>52</v>
      </c>
      <c r="B53" s="4">
        <f>IF(C53&gt;=Input!$C$5,C53-Input!$C$5,"")</f>
        <v>11</v>
      </c>
      <c r="C53" s="4">
        <f t="shared" si="5"/>
        <v>76</v>
      </c>
      <c r="D53" s="4">
        <f>IF(C53&lt;Input!$C$5,0,IF(AND(C53&gt;=Input!$C$5,C53&lt;Input!$C$5+Input!$C$6),1,2))</f>
        <v>1</v>
      </c>
      <c r="E53" s="4">
        <f>IF(C53&gt;=Input!$B$61,1,0)</f>
        <v>1</v>
      </c>
      <c r="F53" s="4">
        <f>IF(AND(C53&gt;=Input!$B$62,D53=1),1,0)</f>
        <v>1</v>
      </c>
      <c r="G53" s="5">
        <f>IF(OR(P52&lt;0,D53=2),0,P52*(1+Input!$B$56))</f>
        <v>0</v>
      </c>
      <c r="H53" s="5">
        <f>IF(D53=0,Input!$C$21+Input!$C$24+Input!$C$27,0)</f>
        <v>0</v>
      </c>
      <c r="I53" s="5">
        <f>IF(D53=1,Input!$B$72,0)</f>
        <v>50000</v>
      </c>
      <c r="J53" s="5">
        <f>IF(F53=1,FV(Input!$B$56,B53,,-Input!$C$12),0)</f>
        <v>7621.8377934350428</v>
      </c>
      <c r="K53" s="5">
        <f>IF(E53=1,FV(Input!$B$56,B53,,-Input!$C$13),0)</f>
        <v>6679.7288381082553</v>
      </c>
      <c r="L53" s="5">
        <f>IF(D53=1,Input!$C$16+Input!$C$14+Input!$C$15,0)</f>
        <v>300</v>
      </c>
      <c r="M53" s="8"/>
      <c r="N53" s="8">
        <f t="shared" si="1"/>
        <v>14601.566631543297</v>
      </c>
      <c r="O53" s="5">
        <f t="shared" si="2"/>
        <v>35398.433368456703</v>
      </c>
      <c r="P53" s="5">
        <f t="shared" si="3"/>
        <v>-35398.433368456703</v>
      </c>
      <c r="R53" s="7">
        <f>PV(Input!$B$56,'Spouse Details - Hypothetical'!B53,0,'Spouse Details - Hypothetical'!H53,1)</f>
        <v>-31796.290741480261</v>
      </c>
      <c r="S53">
        <f t="shared" si="0"/>
        <v>-31796.290741480261</v>
      </c>
    </row>
    <row r="54" spans="1:19" x14ac:dyDescent="0.25">
      <c r="A54" s="4">
        <f t="shared" si="4"/>
        <v>53</v>
      </c>
      <c r="B54" s="4">
        <f>IF(C54&gt;=Input!$C$5,C54-Input!$C$5,"")</f>
        <v>12</v>
      </c>
      <c r="C54" s="4">
        <f t="shared" si="5"/>
        <v>77</v>
      </c>
      <c r="D54" s="4">
        <f>IF(C54&lt;Input!$C$5,0,IF(AND(C54&gt;=Input!$C$5,C54&lt;Input!$C$5+Input!$C$6),1,2))</f>
        <v>1</v>
      </c>
      <c r="E54" s="4">
        <f>IF(C54&gt;=Input!$B$61,1,0)</f>
        <v>1</v>
      </c>
      <c r="F54" s="4">
        <f>IF(AND(C54&gt;=Input!$B$62,D54=1),1,0)</f>
        <v>1</v>
      </c>
      <c r="G54" s="5">
        <f>IF(OR(P53&lt;0,D54=2),0,P53*(1+Input!$B$56))</f>
        <v>0</v>
      </c>
      <c r="H54" s="5">
        <f>IF(D54=0,Input!$C$21+Input!$C$24+Input!$C$27,0)</f>
        <v>0</v>
      </c>
      <c r="I54" s="5">
        <f>IF(D54=1,Input!$B$72,0)</f>
        <v>50000</v>
      </c>
      <c r="J54" s="5">
        <f>IF(F54=1,FV(Input!$B$56,B54,,-Input!$C$12),0)</f>
        <v>7696.5616933706788</v>
      </c>
      <c r="K54" s="5">
        <f>IF(E54=1,FV(Input!$B$56,B54,,-Input!$C$13),0)</f>
        <v>6745.2163757367662</v>
      </c>
      <c r="L54" s="5">
        <f>IF(D54=1,Input!$C$16+Input!$C$14+Input!$C$15,0)</f>
        <v>300</v>
      </c>
      <c r="M54" s="8"/>
      <c r="N54" s="8">
        <f t="shared" si="1"/>
        <v>14741.778069107444</v>
      </c>
      <c r="O54" s="5">
        <f t="shared" si="2"/>
        <v>35258.221930892556</v>
      </c>
      <c r="P54" s="5">
        <f t="shared" si="3"/>
        <v>-35258.221930892556</v>
      </c>
      <c r="R54" s="7">
        <f>PV(Input!$B$56,'Spouse Details - Hypothetical'!B54,0,'Spouse Details - Hypothetical'!H54,1)</f>
        <v>-31362.86811292221</v>
      </c>
      <c r="S54">
        <f t="shared" si="0"/>
        <v>-31362.86811292221</v>
      </c>
    </row>
    <row r="55" spans="1:19" x14ac:dyDescent="0.25">
      <c r="A55" s="4">
        <f t="shared" si="4"/>
        <v>54</v>
      </c>
      <c r="B55" s="4">
        <f>IF(C55&gt;=Input!$C$5,C55-Input!$C$5,"")</f>
        <v>13</v>
      </c>
      <c r="C55" s="4">
        <f>C54+1</f>
        <v>78</v>
      </c>
      <c r="D55" s="4">
        <f>IF(C55&lt;Input!$C$5,0,IF(AND(C55&gt;=Input!$C$5,C55&lt;Input!$C$5+Input!$C$6),1,2))</f>
        <v>1</v>
      </c>
      <c r="E55" s="4">
        <f>IF(C55&gt;=Input!$B$61,1,0)</f>
        <v>1</v>
      </c>
      <c r="F55" s="4">
        <f>IF(AND(C55&gt;=Input!$B$62,D55=1),1,0)</f>
        <v>1</v>
      </c>
      <c r="G55" s="5">
        <f>IF(OR(P54&lt;0,D55=2),0,P54*(1+Input!$B$56))</f>
        <v>0</v>
      </c>
      <c r="H55" s="5">
        <f>IF(D55=0,Input!$C$21+Input!$C$24+Input!$C$27,0)</f>
        <v>0</v>
      </c>
      <c r="I55" s="5">
        <f>IF(D55=1,Input!$B$72,0)</f>
        <v>50000</v>
      </c>
      <c r="J55" s="5">
        <f>IF(F55=1,FV(Input!$B$56,B55,,-Input!$C$12),0)</f>
        <v>7772.0181805605871</v>
      </c>
      <c r="K55" s="5">
        <f>IF(E55=1,FV(Input!$B$56,B55,,-Input!$C$13),0)</f>
        <v>6811.3459480479096</v>
      </c>
      <c r="L55" s="5">
        <f>IF(D55=1,Input!$C$16+Input!$C$14+Input!$C$15,0)</f>
        <v>300</v>
      </c>
      <c r="M55" s="8"/>
      <c r="N55" s="8">
        <f t="shared" si="1"/>
        <v>14883.364128608497</v>
      </c>
      <c r="O55" s="5">
        <f t="shared" si="2"/>
        <v>35116.635871391503</v>
      </c>
      <c r="P55" s="5">
        <f t="shared" si="3"/>
        <v>-35116.635871391503</v>
      </c>
      <c r="R55" s="7">
        <f>PV(Input!$B$56,'Spouse Details - Hypothetical'!B55,0,'Spouse Details - Hypothetical'!H55,1)</f>
        <v>-30933.653471049183</v>
      </c>
      <c r="S55">
        <f t="shared" si="0"/>
        <v>-30933.653471049183</v>
      </c>
    </row>
    <row r="56" spans="1:19" x14ac:dyDescent="0.25">
      <c r="A56" s="4">
        <f t="shared" si="4"/>
        <v>55</v>
      </c>
      <c r="B56" s="4">
        <f>IF(C56&gt;=Input!$C$5,C56-Input!$C$5,"")</f>
        <v>14</v>
      </c>
      <c r="C56" s="4">
        <f t="shared" si="5"/>
        <v>79</v>
      </c>
      <c r="D56" s="4">
        <f>IF(C56&lt;Input!$C$5,0,IF(AND(C56&gt;=Input!$C$5,C56&lt;Input!$C$5+Input!$C$6),1,2))</f>
        <v>1</v>
      </c>
      <c r="E56" s="4">
        <f>IF(C56&gt;=Input!$B$61,1,0)</f>
        <v>1</v>
      </c>
      <c r="F56" s="4">
        <f>IF(AND(C56&gt;=Input!$B$62,D56=1),1,0)</f>
        <v>1</v>
      </c>
      <c r="G56" s="5">
        <f>IF(OR(P55&lt;0,D56=2),0,P55*(1+Input!$B$56))</f>
        <v>0</v>
      </c>
      <c r="H56" s="5">
        <f>IF(D56=0,Input!$C$21+Input!$C$24+Input!$C$27,0)</f>
        <v>0</v>
      </c>
      <c r="I56" s="5">
        <f>IF(D56=1,Input!$B$72,0)</f>
        <v>50000</v>
      </c>
      <c r="J56" s="5">
        <f>IF(F56=1,FV(Input!$B$56,B56,,-Input!$C$12),0)</f>
        <v>7848.2144372327484</v>
      </c>
      <c r="K56" s="5">
        <f>IF(E56=1,FV(Input!$B$56,B56,,-Input!$C$13),0)</f>
        <v>6878.1238494993595</v>
      </c>
      <c r="L56" s="5">
        <f>IF(D56=1,Input!$C$16+Input!$C$14+Input!$C$15,0)</f>
        <v>300</v>
      </c>
      <c r="M56" s="8"/>
      <c r="N56" s="8">
        <f t="shared" si="1"/>
        <v>15026.338286732109</v>
      </c>
      <c r="O56" s="5">
        <f t="shared" si="2"/>
        <v>34973.661713267895</v>
      </c>
      <c r="P56" s="5">
        <f t="shared" si="3"/>
        <v>-34973.661713267895</v>
      </c>
      <c r="R56" s="7">
        <f>PV(Input!$B$56,'Spouse Details - Hypothetical'!B56,0,'Spouse Details - Hypothetical'!H56,1)</f>
        <v>-30508.605961621528</v>
      </c>
      <c r="S56">
        <f t="shared" si="0"/>
        <v>-30508.605961621528</v>
      </c>
    </row>
    <row r="57" spans="1:19" x14ac:dyDescent="0.25">
      <c r="A57" s="4">
        <f t="shared" si="4"/>
        <v>56</v>
      </c>
      <c r="B57" s="4">
        <f>IF(C57&gt;=Input!$C$5,C57-Input!$C$5,"")</f>
        <v>15</v>
      </c>
      <c r="C57" s="4">
        <f t="shared" si="5"/>
        <v>80</v>
      </c>
      <c r="D57" s="4">
        <f>IF(C57&lt;Input!$C$5,0,IF(AND(C57&gt;=Input!$C$5,C57&lt;Input!$C$5+Input!$C$6),1,2))</f>
        <v>1</v>
      </c>
      <c r="E57" s="4">
        <f>IF(C57&gt;=Input!$B$61,1,0)</f>
        <v>1</v>
      </c>
      <c r="F57" s="4">
        <f>IF(AND(C57&gt;=Input!$B$62,D57=1),1,0)</f>
        <v>1</v>
      </c>
      <c r="G57" s="5">
        <f>IF(OR(P56&lt;0,D57=2),0,P56*(1+Input!$B$56))</f>
        <v>0</v>
      </c>
      <c r="H57" s="5">
        <f>IF(D57=0,Input!$C$21+Input!$C$24+Input!$C$27,0)</f>
        <v>0</v>
      </c>
      <c r="I57" s="5">
        <f>IF(D57=1,Input!$B$72,0)</f>
        <v>50000</v>
      </c>
      <c r="J57" s="5">
        <f>IF(F57=1,FV(Input!$B$56,B57,,-Input!$C$12),0)</f>
        <v>7925.1577160291481</v>
      </c>
      <c r="K57" s="5">
        <f>IF(E57=1,FV(Input!$B$56,B57,,-Input!$C$13),0)</f>
        <v>6945.5564362591567</v>
      </c>
      <c r="L57" s="5">
        <f>IF(D57=1,Input!$C$16+Input!$C$14+Input!$C$15,0)</f>
        <v>300</v>
      </c>
      <c r="M57" s="8"/>
      <c r="N57" s="8">
        <f t="shared" si="1"/>
        <v>15170.714152288305</v>
      </c>
      <c r="O57" s="5">
        <f t="shared" si="2"/>
        <v>34829.285847711697</v>
      </c>
      <c r="P57" s="5">
        <f t="shared" si="3"/>
        <v>-34829.285847711697</v>
      </c>
      <c r="R57" s="7">
        <f>PV(Input!$B$56,'Spouse Details - Hypothetical'!B57,0,'Spouse Details - Hypothetical'!H57,1)</f>
        <v>-30087.685127042678</v>
      </c>
      <c r="S57">
        <f t="shared" si="0"/>
        <v>-30087.685127042678</v>
      </c>
    </row>
    <row r="58" spans="1:19" x14ac:dyDescent="0.25">
      <c r="A58" s="4">
        <f t="shared" si="4"/>
        <v>57</v>
      </c>
      <c r="B58" s="4">
        <f>IF(C58&gt;=Input!$C$5,C58-Input!$C$5,"")</f>
        <v>16</v>
      </c>
      <c r="C58" s="4">
        <f t="shared" si="5"/>
        <v>81</v>
      </c>
      <c r="D58" s="4">
        <f>IF(C58&lt;Input!$C$5,0,IF(AND(C58&gt;=Input!$C$5,C58&lt;Input!$C$5+Input!$C$6),1,2))</f>
        <v>1</v>
      </c>
      <c r="E58" s="4">
        <f>IF(C58&gt;=Input!$B$61,1,0)</f>
        <v>1</v>
      </c>
      <c r="F58" s="4">
        <f>IF(AND(C58&gt;=Input!$B$62,D58=1),1,0)</f>
        <v>1</v>
      </c>
      <c r="G58" s="5">
        <f>IF(OR(P57&lt;0,D58=2),0,P57*(1+Input!$B$56))</f>
        <v>0</v>
      </c>
      <c r="H58" s="5">
        <f>IF(D58=0,Input!$C$21+Input!$C$24+Input!$C$27,0)</f>
        <v>0</v>
      </c>
      <c r="I58" s="5">
        <f>IF(D58=1,Input!$B$72,0)</f>
        <v>50000</v>
      </c>
      <c r="J58" s="5">
        <f>IF(F58=1,FV(Input!$B$56,B58,,-Input!$C$12),0)</f>
        <v>8002.8553406961009</v>
      </c>
      <c r="K58" s="5">
        <f>IF(E58=1,FV(Input!$B$56,B58,,-Input!$C$13),0)</f>
        <v>7013.6501268107168</v>
      </c>
      <c r="L58" s="5">
        <f>IF(D58=1,Input!$C$16+Input!$C$14+Input!$C$15,0)</f>
        <v>300</v>
      </c>
      <c r="M58" s="8"/>
      <c r="N58" s="8">
        <f t="shared" si="1"/>
        <v>15316.505467506817</v>
      </c>
      <c r="O58" s="5">
        <f t="shared" si="2"/>
        <v>34683.494532493183</v>
      </c>
      <c r="P58" s="5">
        <f t="shared" si="3"/>
        <v>-34683.494532493183</v>
      </c>
      <c r="R58" s="7">
        <f>PV(Input!$B$56,'Spouse Details - Hypothetical'!B58,0,'Spouse Details - Hypothetical'!H58,1)</f>
        <v>-29670.850902508282</v>
      </c>
      <c r="S58">
        <f t="shared" si="0"/>
        <v>-29670.850902508282</v>
      </c>
    </row>
    <row r="59" spans="1:19" x14ac:dyDescent="0.25">
      <c r="A59" s="4">
        <f t="shared" si="4"/>
        <v>58</v>
      </c>
      <c r="B59" s="4">
        <f>IF(C59&gt;=Input!$C$5,C59-Input!$C$5,"")</f>
        <v>17</v>
      </c>
      <c r="C59" s="4">
        <f t="shared" si="5"/>
        <v>82</v>
      </c>
      <c r="D59" s="4">
        <f>IF(C59&lt;Input!$C$5,0,IF(AND(C59&gt;=Input!$C$5,C59&lt;Input!$C$5+Input!$C$6),1,2))</f>
        <v>1</v>
      </c>
      <c r="E59" s="4">
        <f>IF(C59&gt;=Input!$B$61,1,0)</f>
        <v>1</v>
      </c>
      <c r="F59" s="4">
        <f>IF(AND(C59&gt;=Input!$B$62,D59=1),1,0)</f>
        <v>1</v>
      </c>
      <c r="G59" s="5">
        <f>IF(OR(P58&lt;0,D59=2),0,P58*(1+Input!$B$56))</f>
        <v>0</v>
      </c>
      <c r="H59" s="5">
        <f>IF(D59=0,Input!$C$21+Input!$C$24+Input!$C$27,0)</f>
        <v>0</v>
      </c>
      <c r="I59" s="5">
        <f>IF(D59=1,Input!$B$72,0)</f>
        <v>50000</v>
      </c>
      <c r="J59" s="5">
        <f>IF(F59=1,FV(Input!$B$56,B59,,-Input!$C$12),0)</f>
        <v>8081.3147067813561</v>
      </c>
      <c r="K59" s="5">
        <f>IF(E59=1,FV(Input!$B$56,B59,,-Input!$C$13),0)</f>
        <v>7082.4114025637637</v>
      </c>
      <c r="L59" s="5">
        <f>IF(D59=1,Input!$C$16+Input!$C$14+Input!$C$15,0)</f>
        <v>300</v>
      </c>
      <c r="M59" s="8"/>
      <c r="N59" s="8">
        <f t="shared" si="1"/>
        <v>15463.72610934512</v>
      </c>
      <c r="O59" s="5">
        <f t="shared" si="2"/>
        <v>34536.273890654884</v>
      </c>
      <c r="P59" s="5">
        <f t="shared" si="3"/>
        <v>-34536.273890654884</v>
      </c>
      <c r="R59" s="7">
        <f>PV(Input!$B$56,'Spouse Details - Hypothetical'!B59,0,'Spouse Details - Hypothetical'!H59,1)</f>
        <v>-29258.063612192673</v>
      </c>
      <c r="S59">
        <f t="shared" si="0"/>
        <v>-29258.063612192673</v>
      </c>
    </row>
    <row r="60" spans="1:19" x14ac:dyDescent="0.25">
      <c r="A60" s="4">
        <f t="shared" si="4"/>
        <v>59</v>
      </c>
      <c r="B60" s="4">
        <f>IF(C60&gt;=Input!$C$5,C60-Input!$C$5,"")</f>
        <v>18</v>
      </c>
      <c r="C60" s="4">
        <f>C59+1</f>
        <v>83</v>
      </c>
      <c r="D60" s="4">
        <f>IF(C60&lt;Input!$C$5,0,IF(AND(C60&gt;=Input!$C$5,C60&lt;Input!$C$5+Input!$C$6),1,2))</f>
        <v>1</v>
      </c>
      <c r="E60" s="4">
        <f>IF(C60&gt;=Input!$B$61,1,0)</f>
        <v>1</v>
      </c>
      <c r="F60" s="4">
        <f>IF(AND(C60&gt;=Input!$B$62,D60=1),1,0)</f>
        <v>1</v>
      </c>
      <c r="G60" s="5">
        <f>IF(OR(P59&lt;0,D60=2),0,P59*(1+Input!$B$56))</f>
        <v>0</v>
      </c>
      <c r="H60" s="5">
        <f>IF(D60=0,Input!$C$21+Input!$C$24+Input!$C$27,0)</f>
        <v>0</v>
      </c>
      <c r="I60" s="5">
        <f>IF(D60=1,Input!$B$72,0)</f>
        <v>50000</v>
      </c>
      <c r="J60" s="5">
        <f>IF(F60=1,FV(Input!$B$56,B60,,-Input!$C$12),0)</f>
        <v>8160.5432823380361</v>
      </c>
      <c r="K60" s="5">
        <f>IF(E60=1,FV(Input!$B$56,B60,,-Input!$C$13),0)</f>
        <v>7151.8468084712504</v>
      </c>
      <c r="L60" s="5">
        <f>IF(D60=1,Input!$C$16+Input!$C$14+Input!$C$15,0)</f>
        <v>300</v>
      </c>
      <c r="M60" s="8"/>
      <c r="N60" s="8">
        <f t="shared" si="1"/>
        <v>15612.390090809287</v>
      </c>
      <c r="O60" s="5">
        <f t="shared" si="2"/>
        <v>34387.609909190709</v>
      </c>
      <c r="P60" s="5">
        <f t="shared" si="3"/>
        <v>-34387.609909190709</v>
      </c>
      <c r="R60" s="7">
        <f>PV(Input!$B$56,'Spouse Details - Hypothetical'!B60,0,'Spouse Details - Hypothetical'!H60,1)</f>
        <v>-28849.28396547235</v>
      </c>
      <c r="S60">
        <f t="shared" si="0"/>
        <v>-28849.28396547235</v>
      </c>
    </row>
    <row r="61" spans="1:19" x14ac:dyDescent="0.25">
      <c r="A61" s="4">
        <f t="shared" si="4"/>
        <v>60</v>
      </c>
      <c r="B61" s="4">
        <f>IF(C61&gt;=Input!$C$5,C61-Input!$C$5,"")</f>
        <v>19</v>
      </c>
      <c r="C61" s="4">
        <f t="shared" si="5"/>
        <v>84</v>
      </c>
      <c r="D61" s="4">
        <f>IF(C61&lt;Input!$C$5,0,IF(AND(C61&gt;=Input!$C$5,C61&lt;Input!$C$5+Input!$C$6),1,2))</f>
        <v>1</v>
      </c>
      <c r="E61" s="4">
        <f>IF(C61&gt;=Input!$B$61,1,0)</f>
        <v>1</v>
      </c>
      <c r="F61" s="4">
        <f>IF(AND(C61&gt;=Input!$B$62,D61=1),1,0)</f>
        <v>1</v>
      </c>
      <c r="G61" s="5">
        <f>IF(OR(P60&lt;0,D61=2),0,P60*(1+Input!$B$56))</f>
        <v>0</v>
      </c>
      <c r="H61" s="5">
        <f>IF(D61=0,Input!$C$21+Input!$C$24+Input!$C$27,0)</f>
        <v>0</v>
      </c>
      <c r="I61" s="5">
        <f>IF(D61=1,Input!$B$72,0)</f>
        <v>50000</v>
      </c>
      <c r="J61" s="5">
        <f>IF(F61=1,FV(Input!$B$56,B61,,-Input!$C$12),0)</f>
        <v>8240.5486086354649</v>
      </c>
      <c r="K61" s="5">
        <f>IF(E61=1,FV(Input!$B$56,B61,,-Input!$C$13),0)</f>
        <v>7221.9629536523398</v>
      </c>
      <c r="L61" s="5">
        <f>IF(D61=1,Input!$C$16+Input!$C$14+Input!$C$15,0)</f>
        <v>300</v>
      </c>
      <c r="M61" s="8"/>
      <c r="N61" s="8">
        <f t="shared" si="1"/>
        <v>15762.511562287804</v>
      </c>
      <c r="O61" s="5">
        <f t="shared" si="2"/>
        <v>34237.488437712193</v>
      </c>
      <c r="P61" s="5">
        <f t="shared" si="3"/>
        <v>-34237.488437712193</v>
      </c>
      <c r="R61" s="7">
        <f>PV(Input!$B$56,'Spouse Details - Hypothetical'!B61,0,'Spouse Details - Hypothetical'!H61,1)</f>
        <v>-28444.473053186222</v>
      </c>
      <c r="S61">
        <f t="shared" si="0"/>
        <v>-28444.473053186222</v>
      </c>
    </row>
    <row r="62" spans="1:19" x14ac:dyDescent="0.25">
      <c r="A62" s="4">
        <f t="shared" si="4"/>
        <v>61</v>
      </c>
      <c r="B62" s="4">
        <f>IF(C62&gt;=Input!$C$5,C62-Input!$C$5,"")</f>
        <v>20</v>
      </c>
      <c r="C62" s="4">
        <f t="shared" si="5"/>
        <v>85</v>
      </c>
      <c r="D62" s="4">
        <f>IF(C62&lt;Input!$C$5,0,IF(AND(C62&gt;=Input!$C$5,C62&lt;Input!$C$5+Input!$C$6),1,2))</f>
        <v>2</v>
      </c>
      <c r="E62" s="4">
        <f>IF(C62&gt;=Input!$B$61,1,0)</f>
        <v>1</v>
      </c>
      <c r="F62" s="4">
        <f>IF(AND(C62&gt;=Input!$B$62,D62=1),1,0)</f>
        <v>0</v>
      </c>
      <c r="G62" s="5">
        <f>IF(OR(P61&lt;0,D62=2),0,P61*(1+Input!$B$56))</f>
        <v>0</v>
      </c>
      <c r="H62" s="5">
        <f>IF(D62=0,Input!$C$21+Input!$C$24+Input!$C$27,0)</f>
        <v>0</v>
      </c>
      <c r="I62" s="5">
        <f>IF(D62=1,Input!$B$72,0)</f>
        <v>0</v>
      </c>
      <c r="J62" s="5">
        <f>IF(F62=1,FV(Input!$B$56,B62,,-Input!$C$12),0)</f>
        <v>0</v>
      </c>
      <c r="K62" s="5">
        <f>IF(E62=1,FV(Input!$B$56,B62,,-Input!$C$13),0)</f>
        <v>7292.7665120214797</v>
      </c>
      <c r="L62" s="5">
        <f>IF(D62=1,Input!$C$16+Input!$C$14+Input!$C$15,0)</f>
        <v>0</v>
      </c>
      <c r="M62" s="8"/>
      <c r="N62" s="8">
        <f t="shared" si="1"/>
        <v>7292.7665120214797</v>
      </c>
      <c r="O62" s="5">
        <f t="shared" si="2"/>
        <v>0</v>
      </c>
      <c r="P62" s="5">
        <f t="shared" si="3"/>
        <v>-34237.488437712193</v>
      </c>
      <c r="R62" s="7">
        <f>PV(Input!$B$56,'Spouse Details - Hypothetical'!B62,0,'Spouse Details - Hypothetical'!H62,1)</f>
        <v>0</v>
      </c>
      <c r="S62">
        <f t="shared" si="0"/>
        <v>0</v>
      </c>
    </row>
    <row r="63" spans="1:19" x14ac:dyDescent="0.25">
      <c r="A63" s="4">
        <f t="shared" si="4"/>
        <v>62</v>
      </c>
      <c r="B63" s="4">
        <f>IF(C63&gt;=Input!$C$5,C63-Input!$C$5,"")</f>
        <v>21</v>
      </c>
      <c r="C63" s="4">
        <f t="shared" si="5"/>
        <v>86</v>
      </c>
      <c r="D63" s="4">
        <f>IF(C63&lt;Input!$C$5,0,IF(AND(C63&gt;=Input!$C$5,C63&lt;Input!$C$5+Input!$C$6),1,2))</f>
        <v>2</v>
      </c>
      <c r="E63" s="4">
        <f>IF(C63&gt;=Input!$B$61,1,0)</f>
        <v>1</v>
      </c>
      <c r="F63" s="4">
        <f>IF(AND(C63&gt;=Input!$B$62,D63=1),1,0)</f>
        <v>0</v>
      </c>
      <c r="G63" s="5">
        <f>IF(OR(P62&lt;0,D63=2),0,P62*(1+Input!$B$56))</f>
        <v>0</v>
      </c>
      <c r="H63" s="5">
        <f>IF(D63=0,Input!$C$21+Input!$C$24+Input!$C$27,0)</f>
        <v>0</v>
      </c>
      <c r="I63" s="5">
        <f>IF(D63=1,Input!$B$72,0)</f>
        <v>0</v>
      </c>
      <c r="J63" s="5">
        <f>IF(F63=1,FV(Input!$B$56,B63,,-Input!$C$12),0)</f>
        <v>0</v>
      </c>
      <c r="K63" s="5">
        <f>IF(E63=1,FV(Input!$B$56,B63,,-Input!$C$13),0)</f>
        <v>7364.2642229236499</v>
      </c>
      <c r="L63" s="5">
        <f>IF(D63=1,Input!$C$16+Input!$C$14+Input!$C$15,0)</f>
        <v>0</v>
      </c>
      <c r="M63" s="8"/>
      <c r="N63" s="8">
        <f t="shared" si="1"/>
        <v>7364.2642229236499</v>
      </c>
      <c r="O63" s="5">
        <f t="shared" si="2"/>
        <v>0</v>
      </c>
      <c r="P63" s="5">
        <f t="shared" si="3"/>
        <v>-34237.488437712193</v>
      </c>
      <c r="R63" s="7">
        <f>PV(Input!$B$56,'Spouse Details - Hypothetical'!B63,0,'Spouse Details - Hypothetical'!H63,1)</f>
        <v>0</v>
      </c>
      <c r="S63">
        <f t="shared" si="0"/>
        <v>0</v>
      </c>
    </row>
    <row r="64" spans="1:19" x14ac:dyDescent="0.25">
      <c r="A64" s="4">
        <f t="shared" si="4"/>
        <v>63</v>
      </c>
      <c r="B64" s="4">
        <f>IF(C64&gt;=Input!$C$5,C64-Input!$C$5,"")</f>
        <v>22</v>
      </c>
      <c r="C64" s="4">
        <f t="shared" si="5"/>
        <v>87</v>
      </c>
      <c r="D64" s="4">
        <f>IF(C64&lt;Input!$C$5,0,IF(AND(C64&gt;=Input!$C$5,C64&lt;Input!$C$5+Input!$C$6),1,2))</f>
        <v>2</v>
      </c>
      <c r="E64" s="4">
        <f>IF(C64&gt;=Input!$B$61,1,0)</f>
        <v>1</v>
      </c>
      <c r="F64" s="4">
        <f>IF(AND(C64&gt;=Input!$B$62,D64=1),1,0)</f>
        <v>0</v>
      </c>
      <c r="G64" s="5">
        <f>IF(OR(P63&lt;0,D64=2),0,P63*(1+Input!$B$56))</f>
        <v>0</v>
      </c>
      <c r="H64" s="5">
        <f>IF(D64=0,Input!$C$21+Input!$C$24+Input!$C$27,0)</f>
        <v>0</v>
      </c>
      <c r="I64" s="5">
        <f>IF(D64=1,Input!$B$72,0)</f>
        <v>0</v>
      </c>
      <c r="J64" s="5">
        <f>IF(F64=1,FV(Input!$B$56,B64,,-Input!$C$12),0)</f>
        <v>0</v>
      </c>
      <c r="K64" s="5">
        <f>IF(E64=1,FV(Input!$B$56,B64,,-Input!$C$13),0)</f>
        <v>7436.4628917758419</v>
      </c>
      <c r="L64" s="5">
        <f>IF(D64=1,Input!$C$16+Input!$C$14+Input!$C$15,0)</f>
        <v>0</v>
      </c>
      <c r="M64" s="8"/>
      <c r="N64" s="8">
        <f t="shared" si="1"/>
        <v>7436.4628917758419</v>
      </c>
      <c r="O64" s="5">
        <f t="shared" si="2"/>
        <v>0</v>
      </c>
      <c r="P64" s="5">
        <f t="shared" si="3"/>
        <v>-34237.488437712193</v>
      </c>
      <c r="R64" s="7">
        <f>PV(Input!$B$56,'Spouse Details - Hypothetical'!B64,0,'Spouse Details - Hypothetical'!H64,1)</f>
        <v>0</v>
      </c>
      <c r="S64">
        <f t="shared" si="0"/>
        <v>0</v>
      </c>
    </row>
    <row r="65" spans="1:19" x14ac:dyDescent="0.25">
      <c r="A65" s="4">
        <f t="shared" si="4"/>
        <v>64</v>
      </c>
      <c r="B65" s="4">
        <f>IF(C65&gt;=Input!$C$5,C65-Input!$C$5,"")</f>
        <v>23</v>
      </c>
      <c r="C65" s="4">
        <f t="shared" si="5"/>
        <v>88</v>
      </c>
      <c r="D65" s="4">
        <f>IF(C65&lt;Input!$C$5,0,IF(AND(C65&gt;=Input!$C$5,C65&lt;Input!$C$5+Input!$C$6),1,2))</f>
        <v>2</v>
      </c>
      <c r="E65" s="4">
        <f>IF(C65&gt;=Input!$B$61,1,0)</f>
        <v>1</v>
      </c>
      <c r="F65" s="4">
        <f>IF(AND(C65&gt;=Input!$B$62,D65=1),1,0)</f>
        <v>0</v>
      </c>
      <c r="G65" s="5">
        <f>IF(OR(P64&lt;0,D65=2),0,P64*(1+Input!$B$56))</f>
        <v>0</v>
      </c>
      <c r="H65" s="5">
        <f>IF(D65=0,Input!$C$21+Input!$C$24+Input!$C$27,0)</f>
        <v>0</v>
      </c>
      <c r="I65" s="5">
        <f>IF(D65=1,Input!$B$72,0)</f>
        <v>0</v>
      </c>
      <c r="J65" s="5">
        <f>IF(F65=1,FV(Input!$B$56,B65,,-Input!$C$12),0)</f>
        <v>0</v>
      </c>
      <c r="K65" s="5">
        <f>IF(E65=1,FV(Input!$B$56,B65,,-Input!$C$13),0)</f>
        <v>7509.3693907148208</v>
      </c>
      <c r="L65" s="5">
        <f>IF(D65=1,Input!$C$16+Input!$C$14+Input!$C$15,0)</f>
        <v>0</v>
      </c>
      <c r="M65" s="8"/>
      <c r="N65" s="8">
        <f t="shared" si="1"/>
        <v>7509.3693907148208</v>
      </c>
      <c r="O65" s="5">
        <f t="shared" si="2"/>
        <v>0</v>
      </c>
      <c r="P65" s="5">
        <f t="shared" si="3"/>
        <v>-34237.488437712193</v>
      </c>
      <c r="R65" s="7">
        <f>PV(Input!$B$56,'Spouse Details - Hypothetical'!B65,0,'Spouse Details - Hypothetical'!H65,1)</f>
        <v>0</v>
      </c>
      <c r="S65">
        <f t="shared" si="0"/>
        <v>0</v>
      </c>
    </row>
    <row r="66" spans="1:19" x14ac:dyDescent="0.25">
      <c r="A66" s="4">
        <f t="shared" si="4"/>
        <v>65</v>
      </c>
      <c r="B66" s="4">
        <f>IF(C66&gt;=Input!$C$5,C66-Input!$C$5,"")</f>
        <v>24</v>
      </c>
      <c r="C66" s="4">
        <f t="shared" si="5"/>
        <v>89</v>
      </c>
      <c r="D66" s="4">
        <f>IF(C66&lt;Input!$C$5,0,IF(AND(C66&gt;=Input!$C$5,C66&lt;Input!$C$5+Input!$C$6),1,2))</f>
        <v>2</v>
      </c>
      <c r="E66" s="4">
        <f>IF(C66&gt;=Input!$B$61,1,0)</f>
        <v>1</v>
      </c>
      <c r="F66" s="4">
        <f>IF(AND(C66&gt;=Input!$B$62,D66=1),1,0)</f>
        <v>0</v>
      </c>
      <c r="G66" s="5">
        <f>IF(OR(P65&lt;0,D66=2),0,P65*(1+Input!$B$56))</f>
        <v>0</v>
      </c>
      <c r="H66" s="5">
        <f>IF(D66=0,Input!$C$21+Input!$C$24+Input!$C$27,0)</f>
        <v>0</v>
      </c>
      <c r="I66" s="5">
        <f>IF(D66=1,Input!$B$72,0)</f>
        <v>0</v>
      </c>
      <c r="J66" s="5">
        <f>IF(F66=1,FV(Input!$B$56,B66,,-Input!$C$12),0)</f>
        <v>0</v>
      </c>
      <c r="K66" s="5">
        <f>IF(E66=1,FV(Input!$B$56,B66,,-Input!$C$13),0)</f>
        <v>7582.9906592512407</v>
      </c>
      <c r="L66" s="5">
        <f>IF(D66=1,Input!$C$16+Input!$C$14+Input!$C$15,0)</f>
        <v>0</v>
      </c>
      <c r="M66" s="8"/>
      <c r="N66" s="8">
        <f t="shared" si="1"/>
        <v>7582.9906592512407</v>
      </c>
      <c r="O66" s="5">
        <f t="shared" si="2"/>
        <v>0</v>
      </c>
      <c r="P66" s="5">
        <f t="shared" si="3"/>
        <v>-34237.488437712193</v>
      </c>
      <c r="R66" s="7">
        <f>PV(Input!$B$56,'Spouse Details - Hypothetical'!B66,0,'Spouse Details - Hypothetical'!H66,1)</f>
        <v>0</v>
      </c>
      <c r="S66">
        <f t="shared" ref="S66:S102" si="6">IFERROR(R66,0)</f>
        <v>0</v>
      </c>
    </row>
    <row r="67" spans="1:19" x14ac:dyDescent="0.25">
      <c r="A67" s="4">
        <f t="shared" si="4"/>
        <v>66</v>
      </c>
      <c r="B67" s="4">
        <f>IF(C67&gt;=Input!$C$5,C67-Input!$C$5,"")</f>
        <v>25</v>
      </c>
      <c r="C67" s="4">
        <f t="shared" si="5"/>
        <v>90</v>
      </c>
      <c r="D67" s="4">
        <f>IF(C67&lt;Input!$C$5,0,IF(AND(C67&gt;=Input!$C$5,C67&lt;Input!$C$5+Input!$C$6),1,2))</f>
        <v>2</v>
      </c>
      <c r="E67" s="4">
        <f>IF(C67&gt;=Input!$B$61,1,0)</f>
        <v>1</v>
      </c>
      <c r="F67" s="4">
        <f>IF(AND(C67&gt;=Input!$B$62,D67=1),1,0)</f>
        <v>0</v>
      </c>
      <c r="G67" s="5">
        <f>IF(OR(P66&lt;0,D67=2),0,P66*(1+Input!$B$56))</f>
        <v>0</v>
      </c>
      <c r="H67" s="5">
        <f>IF(D67=0,Input!$C$21+Input!$C$24+Input!$C$27,0)</f>
        <v>0</v>
      </c>
      <c r="I67" s="5">
        <f>IF(D67=1,Input!$B$72,0)</f>
        <v>0</v>
      </c>
      <c r="J67" s="5">
        <f>IF(F67=1,FV(Input!$B$56,B67,,-Input!$C$12),0)</f>
        <v>0</v>
      </c>
      <c r="K67" s="5">
        <f>IF(E67=1,FV(Input!$B$56,B67,,-Input!$C$13),0)</f>
        <v>7657.3337049301745</v>
      </c>
      <c r="L67" s="5">
        <f>IF(D67=1,Input!$C$16+Input!$C$14+Input!$C$15,0)</f>
        <v>0</v>
      </c>
      <c r="M67" s="8"/>
      <c r="N67" s="8">
        <f t="shared" ref="N67:N102" si="7">J67+K67+L67</f>
        <v>7657.3337049301745</v>
      </c>
      <c r="O67" s="5">
        <f t="shared" ref="O67:O102" si="8">IF(D67=1,I67-J67-K67-L67,0)</f>
        <v>0</v>
      </c>
      <c r="P67" s="5">
        <f t="shared" ref="P67:P102" si="9">IF(D67=2,P66,G67+H67-O67)</f>
        <v>-34237.488437712193</v>
      </c>
      <c r="R67" s="7">
        <f>PV(Input!$B$56,'Spouse Details - Hypothetical'!B67,0,'Spouse Details - Hypothetical'!H67,1)</f>
        <v>0</v>
      </c>
      <c r="S67">
        <f t="shared" si="6"/>
        <v>0</v>
      </c>
    </row>
    <row r="68" spans="1:19" x14ac:dyDescent="0.25">
      <c r="A68" s="4">
        <f t="shared" ref="A68:A102" si="10">A67+1</f>
        <v>67</v>
      </c>
      <c r="B68" s="4">
        <f>IF(C68&gt;=Input!$C$5,C68-Input!$C$5,"")</f>
        <v>26</v>
      </c>
      <c r="C68" s="4">
        <f t="shared" ref="C68:C102" si="11">C67+1</f>
        <v>91</v>
      </c>
      <c r="D68" s="4">
        <f>IF(C68&lt;Input!$C$5,0,IF(AND(C68&gt;=Input!$C$5,C68&lt;Input!$C$5+Input!$C$6),1,2))</f>
        <v>2</v>
      </c>
      <c r="E68" s="4">
        <f>IF(C68&gt;=Input!$B$61,1,0)</f>
        <v>1</v>
      </c>
      <c r="F68" s="4">
        <f>IF(AND(C68&gt;=Input!$B$62,D68=1),1,0)</f>
        <v>0</v>
      </c>
      <c r="G68" s="5">
        <f>IF(OR(P67&lt;0,D68=2),0,P67*(1+Input!$B$56))</f>
        <v>0</v>
      </c>
      <c r="H68" s="5">
        <f>IF(D68=0,Input!$C$21+Input!$C$24+Input!$C$27,0)</f>
        <v>0</v>
      </c>
      <c r="I68" s="5">
        <f>IF(D68=1,Input!$B$72,0)</f>
        <v>0</v>
      </c>
      <c r="J68" s="5">
        <f>IF(F68=1,FV(Input!$B$56,B68,,-Input!$C$12),0)</f>
        <v>0</v>
      </c>
      <c r="K68" s="5">
        <f>IF(E68=1,FV(Input!$B$56,B68,,-Input!$C$13),0)</f>
        <v>7732.405603998116</v>
      </c>
      <c r="L68" s="5">
        <f>IF(D68=1,Input!$C$16+Input!$C$14+Input!$C$15,0)</f>
        <v>0</v>
      </c>
      <c r="M68" s="8"/>
      <c r="N68" s="8">
        <f t="shared" si="7"/>
        <v>7732.405603998116</v>
      </c>
      <c r="O68" s="5">
        <f t="shared" si="8"/>
        <v>0</v>
      </c>
      <c r="P68" s="5">
        <f t="shared" si="9"/>
        <v>-34237.488437712193</v>
      </c>
      <c r="R68" s="7">
        <f>PV(Input!$B$56,'Spouse Details - Hypothetical'!B68,0,'Spouse Details - Hypothetical'!H68,1)</f>
        <v>0</v>
      </c>
      <c r="S68">
        <f t="shared" si="6"/>
        <v>0</v>
      </c>
    </row>
    <row r="69" spans="1:19" x14ac:dyDescent="0.25">
      <c r="A69" s="4">
        <f t="shared" si="10"/>
        <v>68</v>
      </c>
      <c r="B69" s="4">
        <f>IF(C69&gt;=Input!$C$5,C69-Input!$C$5,"")</f>
        <v>27</v>
      </c>
      <c r="C69" s="4">
        <f t="shared" si="11"/>
        <v>92</v>
      </c>
      <c r="D69" s="4">
        <f>IF(C69&lt;Input!$C$5,0,IF(AND(C69&gt;=Input!$C$5,C69&lt;Input!$C$5+Input!$C$6),1,2))</f>
        <v>2</v>
      </c>
      <c r="E69" s="4">
        <f>IF(C69&gt;=Input!$B$61,1,0)</f>
        <v>1</v>
      </c>
      <c r="F69" s="4">
        <f>IF(AND(C69&gt;=Input!$B$62,D69=1),1,0)</f>
        <v>0</v>
      </c>
      <c r="G69" s="5">
        <f>IF(OR(P68&lt;0,D69=2),0,P68*(1+Input!$B$56))</f>
        <v>0</v>
      </c>
      <c r="H69" s="5">
        <f>IF(D69=0,Input!$C$21+Input!$C$24+Input!$C$27,0)</f>
        <v>0</v>
      </c>
      <c r="I69" s="5">
        <f>IF(D69=1,Input!$B$72,0)</f>
        <v>0</v>
      </c>
      <c r="J69" s="5">
        <f>IF(F69=1,FV(Input!$B$56,B69,,-Input!$C$12),0)</f>
        <v>0</v>
      </c>
      <c r="K69" s="5">
        <f>IF(E69=1,FV(Input!$B$56,B69,,-Input!$C$13),0)</f>
        <v>7808.2135020765281</v>
      </c>
      <c r="L69" s="5">
        <f>IF(D69=1,Input!$C$16+Input!$C$14+Input!$C$15,0)</f>
        <v>0</v>
      </c>
      <c r="M69" s="8"/>
      <c r="N69" s="8">
        <f t="shared" si="7"/>
        <v>7808.2135020765281</v>
      </c>
      <c r="O69" s="5">
        <f t="shared" si="8"/>
        <v>0</v>
      </c>
      <c r="P69" s="5">
        <f t="shared" si="9"/>
        <v>-34237.488437712193</v>
      </c>
      <c r="R69" s="7">
        <f>PV(Input!$B$56,'Spouse Details - Hypothetical'!B69,0,'Spouse Details - Hypothetical'!H69,1)</f>
        <v>0</v>
      </c>
      <c r="S69">
        <f t="shared" si="6"/>
        <v>0</v>
      </c>
    </row>
    <row r="70" spans="1:19" x14ac:dyDescent="0.25">
      <c r="A70" s="4">
        <f t="shared" si="10"/>
        <v>69</v>
      </c>
      <c r="B70" s="4">
        <f>IF(C70&gt;=Input!$C$5,C70-Input!$C$5,"")</f>
        <v>28</v>
      </c>
      <c r="C70" s="4">
        <f t="shared" si="11"/>
        <v>93</v>
      </c>
      <c r="D70" s="4">
        <f>IF(C70&lt;Input!$C$5,0,IF(AND(C70&gt;=Input!$C$5,C70&lt;Input!$C$5+Input!$C$6),1,2))</f>
        <v>2</v>
      </c>
      <c r="E70" s="4">
        <f>IF(C70&gt;=Input!$B$61,1,0)</f>
        <v>1</v>
      </c>
      <c r="F70" s="4">
        <f>IF(AND(C70&gt;=Input!$B$62,D70=1),1,0)</f>
        <v>0</v>
      </c>
      <c r="G70" s="5">
        <f>IF(OR(P69&lt;0,D70=2),0,P69*(1+Input!$B$56))</f>
        <v>0</v>
      </c>
      <c r="H70" s="5">
        <f>IF(D70=0,Input!$C$21+Input!$C$24+Input!$C$27,0)</f>
        <v>0</v>
      </c>
      <c r="I70" s="5">
        <f>IF(D70=1,Input!$B$72,0)</f>
        <v>0</v>
      </c>
      <c r="J70" s="5">
        <f>IF(F70=1,FV(Input!$B$56,B70,,-Input!$C$12),0)</f>
        <v>0</v>
      </c>
      <c r="K70" s="5">
        <f>IF(E70=1,FV(Input!$B$56,B70,,-Input!$C$13),0)</f>
        <v>7884.7646148419817</v>
      </c>
      <c r="L70" s="5">
        <f>IF(D70=1,Input!$C$16+Input!$C$14+Input!$C$15,0)</f>
        <v>0</v>
      </c>
      <c r="M70" s="8"/>
      <c r="N70" s="8">
        <f t="shared" si="7"/>
        <v>7884.7646148419817</v>
      </c>
      <c r="O70" s="5">
        <f t="shared" si="8"/>
        <v>0</v>
      </c>
      <c r="P70" s="5">
        <f t="shared" si="9"/>
        <v>-34237.488437712193</v>
      </c>
      <c r="R70" s="7">
        <f>PV(Input!$B$56,'Spouse Details - Hypothetical'!B70,0,'Spouse Details - Hypothetical'!H70,1)</f>
        <v>0</v>
      </c>
      <c r="S70">
        <f t="shared" si="6"/>
        <v>0</v>
      </c>
    </row>
    <row r="71" spans="1:19" x14ac:dyDescent="0.25">
      <c r="A71" s="4">
        <f t="shared" si="10"/>
        <v>70</v>
      </c>
      <c r="B71" s="4">
        <f>IF(C71&gt;=Input!$C$5,C71-Input!$C$5,"")</f>
        <v>29</v>
      </c>
      <c r="C71" s="4">
        <f t="shared" si="11"/>
        <v>94</v>
      </c>
      <c r="D71" s="4">
        <f>IF(C71&lt;Input!$C$5,0,IF(AND(C71&gt;=Input!$C$5,C71&lt;Input!$C$5+Input!$C$6),1,2))</f>
        <v>2</v>
      </c>
      <c r="E71" s="4">
        <f>IF(C71&gt;=Input!$B$61,1,0)</f>
        <v>1</v>
      </c>
      <c r="F71" s="4">
        <f>IF(AND(C71&gt;=Input!$B$62,D71=1),1,0)</f>
        <v>0</v>
      </c>
      <c r="G71" s="5">
        <f>IF(OR(P70&lt;0,D71=2),0,P70*(1+Input!$B$56))</f>
        <v>0</v>
      </c>
      <c r="H71" s="5">
        <f>IF(D71=0,Input!$C$21+Input!$C$24+Input!$C$27,0)</f>
        <v>0</v>
      </c>
      <c r="I71" s="5">
        <f>IF(D71=1,Input!$B$72,0)</f>
        <v>0</v>
      </c>
      <c r="J71" s="5">
        <f>IF(F71=1,FV(Input!$B$56,B71,,-Input!$C$12),0)</f>
        <v>0</v>
      </c>
      <c r="K71" s="5">
        <f>IF(E71=1,FV(Input!$B$56,B71,,-Input!$C$13),0)</f>
        <v>7962.0662287129817</v>
      </c>
      <c r="L71" s="5">
        <f>IF(D71=1,Input!$C$16+Input!$C$14+Input!$C$15,0)</f>
        <v>0</v>
      </c>
      <c r="M71" s="8"/>
      <c r="N71" s="8">
        <f t="shared" si="7"/>
        <v>7962.0662287129817</v>
      </c>
      <c r="O71" s="5">
        <f t="shared" si="8"/>
        <v>0</v>
      </c>
      <c r="P71" s="5">
        <f t="shared" si="9"/>
        <v>-34237.488437712193</v>
      </c>
      <c r="R71" s="7">
        <f>PV(Input!$B$56,'Spouse Details - Hypothetical'!B71,0,'Spouse Details - Hypothetical'!H71,1)</f>
        <v>0</v>
      </c>
      <c r="S71">
        <f t="shared" si="6"/>
        <v>0</v>
      </c>
    </row>
    <row r="72" spans="1:19" x14ac:dyDescent="0.25">
      <c r="A72" s="4">
        <f t="shared" si="10"/>
        <v>71</v>
      </c>
      <c r="B72" s="4">
        <f>IF(C72&gt;=Input!$C$5,C72-Input!$C$5,"")</f>
        <v>30</v>
      </c>
      <c r="C72" s="4">
        <f t="shared" si="11"/>
        <v>95</v>
      </c>
      <c r="D72" s="4">
        <f>IF(C72&lt;Input!$C$5,0,IF(AND(C72&gt;=Input!$C$5,C72&lt;Input!$C$5+Input!$C$6),1,2))</f>
        <v>2</v>
      </c>
      <c r="E72" s="4">
        <f>IF(C72&gt;=Input!$B$61,1,0)</f>
        <v>1</v>
      </c>
      <c r="F72" s="4">
        <f>IF(AND(C72&gt;=Input!$B$62,D72=1),1,0)</f>
        <v>0</v>
      </c>
      <c r="G72" s="5">
        <f>IF(OR(P71&lt;0,D72=2),0,P71*(1+Input!$B$56))</f>
        <v>0</v>
      </c>
      <c r="H72" s="5">
        <f>IF(D72=0,Input!$C$21+Input!$C$24+Input!$C$27,0)</f>
        <v>0</v>
      </c>
      <c r="I72" s="5">
        <f>IF(D72=1,Input!$B$72,0)</f>
        <v>0</v>
      </c>
      <c r="J72" s="5">
        <f>IF(F72=1,FV(Input!$B$56,B72,,-Input!$C$12),0)</f>
        <v>0</v>
      </c>
      <c r="K72" s="5">
        <f>IF(E72=1,FV(Input!$B$56,B72,,-Input!$C$13),0)</f>
        <v>8040.1257015435003</v>
      </c>
      <c r="L72" s="5">
        <f>IF(D72=1,Input!$C$16+Input!$C$14+Input!$C$15,0)</f>
        <v>0</v>
      </c>
      <c r="M72" s="8"/>
      <c r="N72" s="8">
        <f t="shared" si="7"/>
        <v>8040.1257015435003</v>
      </c>
      <c r="O72" s="5">
        <f t="shared" si="8"/>
        <v>0</v>
      </c>
      <c r="P72" s="5">
        <f t="shared" si="9"/>
        <v>-34237.488437712193</v>
      </c>
      <c r="R72" s="7">
        <f>PV(Input!$B$56,'Spouse Details - Hypothetical'!B72,0,'Spouse Details - Hypothetical'!H72,1)</f>
        <v>0</v>
      </c>
      <c r="S72">
        <f t="shared" si="6"/>
        <v>0</v>
      </c>
    </row>
    <row r="73" spans="1:19" x14ac:dyDescent="0.25">
      <c r="A73" s="4">
        <f t="shared" si="10"/>
        <v>72</v>
      </c>
      <c r="B73" s="4">
        <f>IF(C73&gt;=Input!$C$5,C73-Input!$C$5,"")</f>
        <v>31</v>
      </c>
      <c r="C73" s="4">
        <f t="shared" si="11"/>
        <v>96</v>
      </c>
      <c r="D73" s="4">
        <f>IF(C73&lt;Input!$C$5,0,IF(AND(C73&gt;=Input!$C$5,C73&lt;Input!$C$5+Input!$C$6),1,2))</f>
        <v>2</v>
      </c>
      <c r="E73" s="4">
        <f>IF(C73&gt;=Input!$B$61,1,0)</f>
        <v>1</v>
      </c>
      <c r="F73" s="4">
        <f>IF(AND(C73&gt;=Input!$B$62,D73=1),1,0)</f>
        <v>0</v>
      </c>
      <c r="G73" s="5">
        <f>IF(OR(P72&lt;0,D73=2),0,P72*(1+Input!$B$56))</f>
        <v>0</v>
      </c>
      <c r="H73" s="5">
        <f>IF(D73=0,Input!$C$21+Input!$C$24+Input!$C$27,0)</f>
        <v>0</v>
      </c>
      <c r="I73" s="5">
        <f>IF(D73=1,Input!$B$72,0)</f>
        <v>0</v>
      </c>
      <c r="J73" s="5">
        <f>IF(F73=1,FV(Input!$B$56,B73,,-Input!$C$12),0)</f>
        <v>0</v>
      </c>
      <c r="K73" s="5">
        <f>IF(E73=1,FV(Input!$B$56,B73,,-Input!$C$13),0)</f>
        <v>8118.9504633233382</v>
      </c>
      <c r="L73" s="5">
        <f>IF(D73=1,Input!$C$16+Input!$C$14+Input!$C$15,0)</f>
        <v>0</v>
      </c>
      <c r="M73" s="8"/>
      <c r="N73" s="8">
        <f t="shared" si="7"/>
        <v>8118.9504633233382</v>
      </c>
      <c r="O73" s="5">
        <f t="shared" si="8"/>
        <v>0</v>
      </c>
      <c r="P73" s="5">
        <f t="shared" si="9"/>
        <v>-34237.488437712193</v>
      </c>
      <c r="R73" s="7">
        <f>PV(Input!$B$56,'Spouse Details - Hypothetical'!B73,0,'Spouse Details - Hypothetical'!H73,1)</f>
        <v>0</v>
      </c>
      <c r="S73">
        <f t="shared" si="6"/>
        <v>0</v>
      </c>
    </row>
    <row r="74" spans="1:19" x14ac:dyDescent="0.25">
      <c r="A74" s="4">
        <f t="shared" si="10"/>
        <v>73</v>
      </c>
      <c r="B74" s="4">
        <f>IF(C74&gt;=Input!$C$5,C74-Input!$C$5,"")</f>
        <v>32</v>
      </c>
      <c r="C74" s="4">
        <f t="shared" si="11"/>
        <v>97</v>
      </c>
      <c r="D74" s="4">
        <f>IF(C74&lt;Input!$C$5,0,IF(AND(C74&gt;=Input!$C$5,C74&lt;Input!$C$5+Input!$C$6),1,2))</f>
        <v>2</v>
      </c>
      <c r="E74" s="4">
        <f>IF(C74&gt;=Input!$B$61,1,0)</f>
        <v>1</v>
      </c>
      <c r="F74" s="4">
        <f>IF(AND(C74&gt;=Input!$B$62,D74=1),1,0)</f>
        <v>0</v>
      </c>
      <c r="G74" s="5">
        <f>IF(OR(P73&lt;0,D74=2),0,P73*(1+Input!$B$56))</f>
        <v>0</v>
      </c>
      <c r="H74" s="5">
        <f>IF(D74=0,Input!$C$21+Input!$C$24+Input!$C$27,0)</f>
        <v>0</v>
      </c>
      <c r="I74" s="5">
        <f>IF(D74=1,Input!$B$72,0)</f>
        <v>0</v>
      </c>
      <c r="J74" s="5">
        <f>IF(F74=1,FV(Input!$B$56,B74,,-Input!$C$12),0)</f>
        <v>0</v>
      </c>
      <c r="K74" s="5">
        <f>IF(E74=1,FV(Input!$B$56,B74,,-Input!$C$13),0)</f>
        <v>8198.5480168853319</v>
      </c>
      <c r="L74" s="5">
        <f>IF(D74=1,Input!$C$16+Input!$C$14+Input!$C$15,0)</f>
        <v>0</v>
      </c>
      <c r="M74" s="8"/>
      <c r="N74" s="8">
        <f t="shared" si="7"/>
        <v>8198.5480168853319</v>
      </c>
      <c r="O74" s="5">
        <f t="shared" si="8"/>
        <v>0</v>
      </c>
      <c r="P74" s="5">
        <f t="shared" si="9"/>
        <v>-34237.488437712193</v>
      </c>
      <c r="R74" s="7">
        <f>PV(Input!$B$56,'Spouse Details - Hypothetical'!B74,0,'Spouse Details - Hypothetical'!H74,1)</f>
        <v>0</v>
      </c>
      <c r="S74">
        <f t="shared" si="6"/>
        <v>0</v>
      </c>
    </row>
    <row r="75" spans="1:19" x14ac:dyDescent="0.25">
      <c r="A75" s="4">
        <f t="shared" si="10"/>
        <v>74</v>
      </c>
      <c r="B75" s="4">
        <f>IF(C75&gt;=Input!$C$5,C75-Input!$C$5,"")</f>
        <v>33</v>
      </c>
      <c r="C75" s="4">
        <f t="shared" si="11"/>
        <v>98</v>
      </c>
      <c r="D75" s="4">
        <f>IF(C75&lt;Input!$C$5,0,IF(AND(C75&gt;=Input!$C$5,C75&lt;Input!$C$5+Input!$C$6),1,2))</f>
        <v>2</v>
      </c>
      <c r="E75" s="4">
        <f>IF(C75&gt;=Input!$B$61,1,0)</f>
        <v>1</v>
      </c>
      <c r="F75" s="4">
        <f>IF(AND(C75&gt;=Input!$B$62,D75=1),1,0)</f>
        <v>0</v>
      </c>
      <c r="G75" s="5">
        <f>IF(OR(P74&lt;0,D75=2),0,P74*(1+Input!$B$56))</f>
        <v>0</v>
      </c>
      <c r="H75" s="5">
        <f>IF(D75=0,Input!$C$21+Input!$C$24+Input!$C$27,0)</f>
        <v>0</v>
      </c>
      <c r="I75" s="5">
        <f>IF(D75=1,Input!$B$72,0)</f>
        <v>0</v>
      </c>
      <c r="J75" s="5">
        <f>IF(F75=1,FV(Input!$B$56,B75,,-Input!$C$12),0)</f>
        <v>0</v>
      </c>
      <c r="K75" s="5">
        <f>IF(E75=1,FV(Input!$B$56,B75,,-Input!$C$13),0)</f>
        <v>8278.9259386195026</v>
      </c>
      <c r="L75" s="5">
        <f>IF(D75=1,Input!$C$16+Input!$C$14+Input!$C$15,0)</f>
        <v>0</v>
      </c>
      <c r="M75" s="8"/>
      <c r="N75" s="8">
        <f t="shared" si="7"/>
        <v>8278.9259386195026</v>
      </c>
      <c r="O75" s="5">
        <f t="shared" si="8"/>
        <v>0</v>
      </c>
      <c r="P75" s="5">
        <f t="shared" si="9"/>
        <v>-34237.488437712193</v>
      </c>
      <c r="R75" s="7">
        <f>PV(Input!$B$56,'Spouse Details - Hypothetical'!B75,0,'Spouse Details - Hypothetical'!H75,1)</f>
        <v>0</v>
      </c>
      <c r="S75">
        <f t="shared" si="6"/>
        <v>0</v>
      </c>
    </row>
    <row r="76" spans="1:19" x14ac:dyDescent="0.25">
      <c r="A76" s="4">
        <f t="shared" si="10"/>
        <v>75</v>
      </c>
      <c r="B76" s="4">
        <f>IF(C76&gt;=Input!$C$5,C76-Input!$C$5,"")</f>
        <v>34</v>
      </c>
      <c r="C76" s="4">
        <f t="shared" si="11"/>
        <v>99</v>
      </c>
      <c r="D76" s="4">
        <f>IF(C76&lt;Input!$C$5,0,IF(AND(C76&gt;=Input!$C$5,C76&lt;Input!$C$5+Input!$C$6),1,2))</f>
        <v>2</v>
      </c>
      <c r="E76" s="4">
        <f>IF(C76&gt;=Input!$B$61,1,0)</f>
        <v>1</v>
      </c>
      <c r="F76" s="4">
        <f>IF(AND(C76&gt;=Input!$B$62,D76=1),1,0)</f>
        <v>0</v>
      </c>
      <c r="G76" s="5">
        <f>IF(OR(P75&lt;0,D76=2),0,P75*(1+Input!$B$56))</f>
        <v>0</v>
      </c>
      <c r="H76" s="5">
        <f>IF(D76=0,Input!$C$21+Input!$C$24+Input!$C$27,0)</f>
        <v>0</v>
      </c>
      <c r="I76" s="5">
        <f>IF(D76=1,Input!$B$72,0)</f>
        <v>0</v>
      </c>
      <c r="J76" s="5">
        <f>IF(F76=1,FV(Input!$B$56,B76,,-Input!$C$12),0)</f>
        <v>0</v>
      </c>
      <c r="K76" s="5">
        <f>IF(E76=1,FV(Input!$B$56,B76,,-Input!$C$13),0)</f>
        <v>8360.0918791942004</v>
      </c>
      <c r="L76" s="5">
        <f>IF(D76=1,Input!$C$16+Input!$C$14+Input!$C$15,0)</f>
        <v>0</v>
      </c>
      <c r="M76" s="8"/>
      <c r="N76" s="8">
        <f t="shared" si="7"/>
        <v>8360.0918791942004</v>
      </c>
      <c r="O76" s="5">
        <f t="shared" si="8"/>
        <v>0</v>
      </c>
      <c r="P76" s="5">
        <f t="shared" si="9"/>
        <v>-34237.488437712193</v>
      </c>
      <c r="R76" s="7">
        <f>PV(Input!$B$56,'Spouse Details - Hypothetical'!B76,0,'Spouse Details - Hypothetical'!H76,1)</f>
        <v>0</v>
      </c>
      <c r="S76">
        <f t="shared" si="6"/>
        <v>0</v>
      </c>
    </row>
    <row r="77" spans="1:19" x14ac:dyDescent="0.25">
      <c r="A77" s="4">
        <f t="shared" si="10"/>
        <v>76</v>
      </c>
      <c r="B77" s="4">
        <f>IF(C77&gt;=Input!$C$5,C77-Input!$C$5,"")</f>
        <v>35</v>
      </c>
      <c r="C77" s="4">
        <f t="shared" si="11"/>
        <v>100</v>
      </c>
      <c r="D77" s="4">
        <f>IF(C77&lt;Input!$C$5,0,IF(AND(C77&gt;=Input!$C$5,C77&lt;Input!$C$5+Input!$C$6),1,2))</f>
        <v>2</v>
      </c>
      <c r="E77" s="4">
        <f>IF(C77&gt;=Input!$B$61,1,0)</f>
        <v>1</v>
      </c>
      <c r="F77" s="4">
        <f>IF(AND(C77&gt;=Input!$B$62,D77=1),1,0)</f>
        <v>0</v>
      </c>
      <c r="G77" s="5">
        <f>IF(OR(P76&lt;0,D77=2),0,P76*(1+Input!$B$56))</f>
        <v>0</v>
      </c>
      <c r="H77" s="5">
        <f>IF(D77=0,Input!$C$21+Input!$C$24+Input!$C$27,0)</f>
        <v>0</v>
      </c>
      <c r="I77" s="5">
        <f>IF(D77=1,Input!$B$72,0)</f>
        <v>0</v>
      </c>
      <c r="J77" s="5">
        <f>IF(F77=1,FV(Input!$B$56,B77,,-Input!$C$12),0)</f>
        <v>0</v>
      </c>
      <c r="K77" s="5">
        <f>IF(E77=1,FV(Input!$B$56,B77,,-Input!$C$13),0)</f>
        <v>8442.0535642843388</v>
      </c>
      <c r="L77" s="5">
        <f>IF(D77=1,Input!$C$16+Input!$C$14+Input!$C$15,0)</f>
        <v>0</v>
      </c>
      <c r="M77" s="8"/>
      <c r="N77" s="8">
        <f t="shared" si="7"/>
        <v>8442.0535642843388</v>
      </c>
      <c r="O77" s="5">
        <f t="shared" si="8"/>
        <v>0</v>
      </c>
      <c r="P77" s="5">
        <f t="shared" si="9"/>
        <v>-34237.488437712193</v>
      </c>
      <c r="R77" s="7">
        <f>PV(Input!$B$56,'Spouse Details - Hypothetical'!B77,0,'Spouse Details - Hypothetical'!H77,1)</f>
        <v>0</v>
      </c>
      <c r="S77">
        <f t="shared" si="6"/>
        <v>0</v>
      </c>
    </row>
    <row r="78" spans="1:19" x14ac:dyDescent="0.25">
      <c r="A78" s="4">
        <f t="shared" si="10"/>
        <v>77</v>
      </c>
      <c r="B78" s="4">
        <f>IF(C78&gt;=Input!$C$5,C78-Input!$C$5,"")</f>
        <v>36</v>
      </c>
      <c r="C78" s="4">
        <f t="shared" si="11"/>
        <v>101</v>
      </c>
      <c r="D78" s="4">
        <f>IF(C78&lt;Input!$C$5,0,IF(AND(C78&gt;=Input!$C$5,C78&lt;Input!$C$5+Input!$C$6),1,2))</f>
        <v>2</v>
      </c>
      <c r="E78" s="4">
        <f>IF(C78&gt;=Input!$B$61,1,0)</f>
        <v>1</v>
      </c>
      <c r="F78" s="4">
        <f>IF(AND(C78&gt;=Input!$B$62,D78=1),1,0)</f>
        <v>0</v>
      </c>
      <c r="G78" s="5">
        <f>IF(OR(P77&lt;0,D78=2),0,P77*(1+Input!$B$56))</f>
        <v>0</v>
      </c>
      <c r="H78" s="5">
        <f>IF(D78=0,Input!$C$21+Input!$C$24+Input!$C$27,0)</f>
        <v>0</v>
      </c>
      <c r="I78" s="5">
        <f>IF(D78=1,Input!$B$72,0)</f>
        <v>0</v>
      </c>
      <c r="J78" s="5">
        <f>IF(F78=1,FV(Input!$B$56,B78,,-Input!$C$12),0)</f>
        <v>0</v>
      </c>
      <c r="K78" s="5">
        <f>IF(E78=1,FV(Input!$B$56,B78,,-Input!$C$13),0)</f>
        <v>8524.8187953067336</v>
      </c>
      <c r="L78" s="5">
        <f>IF(D78=1,Input!$C$16+Input!$C$14+Input!$C$15,0)</f>
        <v>0</v>
      </c>
      <c r="M78" s="8"/>
      <c r="N78" s="8">
        <f t="shared" si="7"/>
        <v>8524.8187953067336</v>
      </c>
      <c r="O78" s="5">
        <f t="shared" si="8"/>
        <v>0</v>
      </c>
      <c r="P78" s="5">
        <f t="shared" si="9"/>
        <v>-34237.488437712193</v>
      </c>
      <c r="R78" s="7">
        <f>PV(Input!$B$56,'Spouse Details - Hypothetical'!B78,0,'Spouse Details - Hypothetical'!H78,1)</f>
        <v>0</v>
      </c>
      <c r="S78">
        <f t="shared" si="6"/>
        <v>0</v>
      </c>
    </row>
    <row r="79" spans="1:19" x14ac:dyDescent="0.25">
      <c r="A79" s="4">
        <f t="shared" si="10"/>
        <v>78</v>
      </c>
      <c r="B79" s="4">
        <f>IF(C79&gt;=Input!$C$5,C79-Input!$C$5,"")</f>
        <v>37</v>
      </c>
      <c r="C79" s="4">
        <f t="shared" si="11"/>
        <v>102</v>
      </c>
      <c r="D79" s="4">
        <f>IF(C79&lt;Input!$C$5,0,IF(AND(C79&gt;=Input!$C$5,C79&lt;Input!$C$5+Input!$C$6),1,2))</f>
        <v>2</v>
      </c>
      <c r="E79" s="4">
        <f>IF(C79&gt;=Input!$B$61,1,0)</f>
        <v>1</v>
      </c>
      <c r="F79" s="4">
        <f>IF(AND(C79&gt;=Input!$B$62,D79=1),1,0)</f>
        <v>0</v>
      </c>
      <c r="G79" s="5">
        <f>IF(OR(P78&lt;0,D79=2),0,P78*(1+Input!$B$56))</f>
        <v>0</v>
      </c>
      <c r="H79" s="5">
        <f>IF(D79=0,Input!$C$21+Input!$C$24+Input!$C$27,0)</f>
        <v>0</v>
      </c>
      <c r="I79" s="5">
        <f>IF(D79=1,Input!$B$72,0)</f>
        <v>0</v>
      </c>
      <c r="J79" s="5">
        <f>IF(F79=1,FV(Input!$B$56,B79,,-Input!$C$12),0)</f>
        <v>0</v>
      </c>
      <c r="K79" s="5">
        <f>IF(E79=1,FV(Input!$B$56,B79,,-Input!$C$13),0)</f>
        <v>8608.3954501626813</v>
      </c>
      <c r="L79" s="5">
        <f>IF(D79=1,Input!$C$16+Input!$C$14+Input!$C$15,0)</f>
        <v>0</v>
      </c>
      <c r="M79" s="8"/>
      <c r="N79" s="8">
        <f t="shared" si="7"/>
        <v>8608.3954501626813</v>
      </c>
      <c r="O79" s="5">
        <f t="shared" si="8"/>
        <v>0</v>
      </c>
      <c r="P79" s="5">
        <f t="shared" si="9"/>
        <v>-34237.488437712193</v>
      </c>
      <c r="R79" s="7">
        <f>PV(Input!$B$56,'Spouse Details - Hypothetical'!B79,0,'Spouse Details - Hypothetical'!H79,1)</f>
        <v>0</v>
      </c>
      <c r="S79">
        <f t="shared" si="6"/>
        <v>0</v>
      </c>
    </row>
    <row r="80" spans="1:19" x14ac:dyDescent="0.25">
      <c r="A80" s="4">
        <f t="shared" si="10"/>
        <v>79</v>
      </c>
      <c r="B80" s="4">
        <f>IF(C80&gt;=Input!$C$5,C80-Input!$C$5,"")</f>
        <v>38</v>
      </c>
      <c r="C80" s="4">
        <f t="shared" si="11"/>
        <v>103</v>
      </c>
      <c r="D80" s="4">
        <f>IF(C80&lt;Input!$C$5,0,IF(AND(C80&gt;=Input!$C$5,C80&lt;Input!$C$5+Input!$C$6),1,2))</f>
        <v>2</v>
      </c>
      <c r="E80" s="4">
        <f>IF(C80&gt;=Input!$B$61,1,0)</f>
        <v>1</v>
      </c>
      <c r="F80" s="4">
        <f>IF(AND(C80&gt;=Input!$B$62,D80=1),1,0)</f>
        <v>0</v>
      </c>
      <c r="G80" s="5">
        <f>IF(OR(P79&lt;0,D80=2),0,P79*(1+Input!$B$56))</f>
        <v>0</v>
      </c>
      <c r="H80" s="5">
        <f>IF(D80=0,Input!$C$21+Input!$C$24+Input!$C$27,0)</f>
        <v>0</v>
      </c>
      <c r="I80" s="5">
        <f>IF(D80=1,Input!$B$72,0)</f>
        <v>0</v>
      </c>
      <c r="J80" s="5">
        <f>IF(F80=1,FV(Input!$B$56,B80,,-Input!$C$12),0)</f>
        <v>0</v>
      </c>
      <c r="K80" s="5">
        <f>IF(E80=1,FV(Input!$B$56,B80,,-Input!$C$13),0)</f>
        <v>8692.7914839878049</v>
      </c>
      <c r="L80" s="5">
        <f>IF(D80=1,Input!$C$16+Input!$C$14+Input!$C$15,0)</f>
        <v>0</v>
      </c>
      <c r="M80" s="8"/>
      <c r="N80" s="8">
        <f t="shared" si="7"/>
        <v>8692.7914839878049</v>
      </c>
      <c r="O80" s="5">
        <f t="shared" si="8"/>
        <v>0</v>
      </c>
      <c r="P80" s="5">
        <f t="shared" si="9"/>
        <v>-34237.488437712193</v>
      </c>
      <c r="R80" s="7">
        <f>PV(Input!$B$56,'Spouse Details - Hypothetical'!B80,0,'Spouse Details - Hypothetical'!H80,1)</f>
        <v>0</v>
      </c>
      <c r="S80">
        <f t="shared" si="6"/>
        <v>0</v>
      </c>
    </row>
    <row r="81" spans="1:19" x14ac:dyDescent="0.25">
      <c r="A81" s="4">
        <f t="shared" si="10"/>
        <v>80</v>
      </c>
      <c r="B81" s="4">
        <f>IF(C81&gt;=Input!$C$5,C81-Input!$C$5,"")</f>
        <v>39</v>
      </c>
      <c r="C81" s="4">
        <f t="shared" si="11"/>
        <v>104</v>
      </c>
      <c r="D81" s="4">
        <f>IF(C81&lt;Input!$C$5,0,IF(AND(C81&gt;=Input!$C$5,C81&lt;Input!$C$5+Input!$C$6),1,2))</f>
        <v>2</v>
      </c>
      <c r="E81" s="4">
        <f>IF(C81&gt;=Input!$B$61,1,0)</f>
        <v>1</v>
      </c>
      <c r="F81" s="4">
        <f>IF(AND(C81&gt;=Input!$B$62,D81=1),1,0)</f>
        <v>0</v>
      </c>
      <c r="G81" s="5">
        <f>IF(OR(P80&lt;0,D81=2),0,P80*(1+Input!$B$56))</f>
        <v>0</v>
      </c>
      <c r="H81" s="5">
        <f>IF(D81=0,Input!$C$21+Input!$C$24+Input!$C$27,0)</f>
        <v>0</v>
      </c>
      <c r="I81" s="5">
        <f>IF(D81=1,Input!$B$72,0)</f>
        <v>0</v>
      </c>
      <c r="J81" s="5">
        <f>IF(F81=1,FV(Input!$B$56,B81,,-Input!$C$12),0)</f>
        <v>0</v>
      </c>
      <c r="K81" s="5">
        <f>IF(E81=1,FV(Input!$B$56,B81,,-Input!$C$13),0)</f>
        <v>8778.0149299092536</v>
      </c>
      <c r="L81" s="5">
        <f>IF(D81=1,Input!$C$16+Input!$C$14+Input!$C$15,0)</f>
        <v>0</v>
      </c>
      <c r="M81" s="8"/>
      <c r="N81" s="8">
        <f t="shared" si="7"/>
        <v>8778.0149299092536</v>
      </c>
      <c r="O81" s="5">
        <f t="shared" si="8"/>
        <v>0</v>
      </c>
      <c r="P81" s="5">
        <f t="shared" si="9"/>
        <v>-34237.488437712193</v>
      </c>
      <c r="R81" s="7">
        <f>PV(Input!$B$56,'Spouse Details - Hypothetical'!B81,0,'Spouse Details - Hypothetical'!H81,1)</f>
        <v>0</v>
      </c>
      <c r="S81">
        <f t="shared" si="6"/>
        <v>0</v>
      </c>
    </row>
    <row r="82" spans="1:19" x14ac:dyDescent="0.25">
      <c r="A82" s="4">
        <f t="shared" si="10"/>
        <v>81</v>
      </c>
      <c r="B82" s="4">
        <f>IF(C82&gt;=Input!$C$5,C82-Input!$C$5,"")</f>
        <v>40</v>
      </c>
      <c r="C82" s="4">
        <f t="shared" si="11"/>
        <v>105</v>
      </c>
      <c r="D82" s="4">
        <f>IF(C82&lt;Input!$C$5,0,IF(AND(C82&gt;=Input!$C$5,C82&lt;Input!$C$5+Input!$C$6),1,2))</f>
        <v>2</v>
      </c>
      <c r="E82" s="4">
        <f>IF(C82&gt;=Input!$B$61,1,0)</f>
        <v>1</v>
      </c>
      <c r="F82" s="4">
        <f>IF(AND(C82&gt;=Input!$B$62,D82=1),1,0)</f>
        <v>0</v>
      </c>
      <c r="G82" s="5">
        <f>IF(OR(P81&lt;0,D82=2),0,P81*(1+Input!$B$56))</f>
        <v>0</v>
      </c>
      <c r="H82" s="5">
        <f>IF(D82=0,Input!$C$21+Input!$C$24+Input!$C$27,0)</f>
        <v>0</v>
      </c>
      <c r="I82" s="5">
        <f>IF(D82=1,Input!$B$72,0)</f>
        <v>0</v>
      </c>
      <c r="J82" s="5">
        <f>IF(F82=1,FV(Input!$B$56,B82,,-Input!$C$12),0)</f>
        <v>0</v>
      </c>
      <c r="K82" s="5">
        <f>IF(E82=1,FV(Input!$B$56,B82,,-Input!$C$13),0)</f>
        <v>8864.0738998103243</v>
      </c>
      <c r="L82" s="5">
        <f>IF(D82=1,Input!$C$16+Input!$C$14+Input!$C$15,0)</f>
        <v>0</v>
      </c>
      <c r="M82" s="8"/>
      <c r="N82" s="8">
        <f t="shared" si="7"/>
        <v>8864.0738998103243</v>
      </c>
      <c r="O82" s="5">
        <f t="shared" si="8"/>
        <v>0</v>
      </c>
      <c r="P82" s="5">
        <f t="shared" si="9"/>
        <v>-34237.488437712193</v>
      </c>
      <c r="R82" s="7">
        <f>PV(Input!$B$56,'Spouse Details - Hypothetical'!B82,0,'Spouse Details - Hypothetical'!H82,1)</f>
        <v>0</v>
      </c>
      <c r="S82">
        <f t="shared" si="6"/>
        <v>0</v>
      </c>
    </row>
    <row r="83" spans="1:19" x14ac:dyDescent="0.25">
      <c r="A83" s="4">
        <f t="shared" si="10"/>
        <v>82</v>
      </c>
      <c r="B83" s="4">
        <f>IF(C83&gt;=Input!$C$5,C83-Input!$C$5,"")</f>
        <v>41</v>
      </c>
      <c r="C83" s="4">
        <f t="shared" si="11"/>
        <v>106</v>
      </c>
      <c r="D83" s="4">
        <f>IF(C83&lt;Input!$C$5,0,IF(AND(C83&gt;=Input!$C$5,C83&lt;Input!$C$5+Input!$C$6),1,2))</f>
        <v>2</v>
      </c>
      <c r="E83" s="4">
        <f>IF(C83&gt;=Input!$B$61,1,0)</f>
        <v>1</v>
      </c>
      <c r="F83" s="4">
        <f>IF(AND(C83&gt;=Input!$B$62,D83=1),1,0)</f>
        <v>0</v>
      </c>
      <c r="G83" s="5">
        <f>IF(OR(P82&lt;0,D83=2),0,P82*(1+Input!$B$56))</f>
        <v>0</v>
      </c>
      <c r="H83" s="5">
        <f>IF(D83=0,Input!$C$21+Input!$C$24+Input!$C$27,0)</f>
        <v>0</v>
      </c>
      <c r="I83" s="5">
        <f>IF(D83=1,Input!$B$72,0)</f>
        <v>0</v>
      </c>
      <c r="J83" s="5">
        <f>IF(F83=1,FV(Input!$B$56,B83,,-Input!$C$12),0)</f>
        <v>0</v>
      </c>
      <c r="K83" s="5">
        <f>IF(E83=1,FV(Input!$B$56,B83,,-Input!$C$13),0)</f>
        <v>8950.9765851025822</v>
      </c>
      <c r="L83" s="5">
        <f>IF(D83=1,Input!$C$16+Input!$C$14+Input!$C$15,0)</f>
        <v>0</v>
      </c>
      <c r="M83" s="8"/>
      <c r="N83" s="8">
        <f t="shared" si="7"/>
        <v>8950.9765851025822</v>
      </c>
      <c r="O83" s="5">
        <f t="shared" si="8"/>
        <v>0</v>
      </c>
      <c r="P83" s="5">
        <f t="shared" si="9"/>
        <v>-34237.488437712193</v>
      </c>
      <c r="R83" s="7">
        <f>PV(Input!$B$56,'Spouse Details - Hypothetical'!B83,0,'Spouse Details - Hypothetical'!H83,1)</f>
        <v>0</v>
      </c>
      <c r="S83">
        <f t="shared" si="6"/>
        <v>0</v>
      </c>
    </row>
    <row r="84" spans="1:19" x14ac:dyDescent="0.25">
      <c r="A84" s="4">
        <f t="shared" si="10"/>
        <v>83</v>
      </c>
      <c r="B84" s="4">
        <f>IF(C84&gt;=Input!$C$5,C84-Input!$C$5,"")</f>
        <v>42</v>
      </c>
      <c r="C84" s="4">
        <f t="shared" si="11"/>
        <v>107</v>
      </c>
      <c r="D84" s="4">
        <f>IF(C84&lt;Input!$C$5,0,IF(AND(C84&gt;=Input!$C$5,C84&lt;Input!$C$5+Input!$C$6),1,2))</f>
        <v>2</v>
      </c>
      <c r="E84" s="4">
        <f>IF(C84&gt;=Input!$B$61,1,0)</f>
        <v>1</v>
      </c>
      <c r="F84" s="4">
        <f>IF(AND(C84&gt;=Input!$B$62,D84=1),1,0)</f>
        <v>0</v>
      </c>
      <c r="G84" s="5">
        <f>IF(OR(P83&lt;0,D84=2),0,P83*(1+Input!$B$56))</f>
        <v>0</v>
      </c>
      <c r="H84" s="5">
        <f>IF(D84=0,Input!$C$21+Input!$C$24+Input!$C$27,0)</f>
        <v>0</v>
      </c>
      <c r="I84" s="5">
        <f>IF(D84=1,Input!$B$72,0)</f>
        <v>0</v>
      </c>
      <c r="J84" s="5">
        <f>IF(F84=1,FV(Input!$B$56,B84,,-Input!$C$12),0)</f>
        <v>0</v>
      </c>
      <c r="K84" s="5">
        <f>IF(E84=1,FV(Input!$B$56,B84,,-Input!$C$13),0)</f>
        <v>9038.7312575055475</v>
      </c>
      <c r="L84" s="5">
        <f>IF(D84=1,Input!$C$16+Input!$C$14+Input!$C$15,0)</f>
        <v>0</v>
      </c>
      <c r="M84" s="8"/>
      <c r="N84" s="8">
        <f t="shared" si="7"/>
        <v>9038.7312575055475</v>
      </c>
      <c r="O84" s="5">
        <f t="shared" si="8"/>
        <v>0</v>
      </c>
      <c r="P84" s="5">
        <f t="shared" si="9"/>
        <v>-34237.488437712193</v>
      </c>
      <c r="R84" s="7">
        <f>PV(Input!$B$56,'Spouse Details - Hypothetical'!B84,0,'Spouse Details - Hypothetical'!H84,1)</f>
        <v>0</v>
      </c>
      <c r="S84">
        <f t="shared" si="6"/>
        <v>0</v>
      </c>
    </row>
    <row r="85" spans="1:19" x14ac:dyDescent="0.25">
      <c r="A85" s="4">
        <f t="shared" si="10"/>
        <v>84</v>
      </c>
      <c r="B85" s="4">
        <f>IF(C85&gt;=Input!$C$5,C85-Input!$C$5,"")</f>
        <v>43</v>
      </c>
      <c r="C85" s="4">
        <f t="shared" si="11"/>
        <v>108</v>
      </c>
      <c r="D85" s="4">
        <f>IF(C85&lt;Input!$C$5,0,IF(AND(C85&gt;=Input!$C$5,C85&lt;Input!$C$5+Input!$C$6),1,2))</f>
        <v>2</v>
      </c>
      <c r="E85" s="4">
        <f>IF(C85&gt;=Input!$B$61,1,0)</f>
        <v>1</v>
      </c>
      <c r="F85" s="4">
        <f>IF(AND(C85&gt;=Input!$B$62,D85=1),1,0)</f>
        <v>0</v>
      </c>
      <c r="G85" s="5">
        <f>IF(OR(P84&lt;0,D85=2),0,P84*(1+Input!$B$56))</f>
        <v>0</v>
      </c>
      <c r="H85" s="5">
        <f>IF(D85=0,Input!$C$21+Input!$C$24+Input!$C$27,0)</f>
        <v>0</v>
      </c>
      <c r="I85" s="5">
        <f>IF(D85=1,Input!$B$72,0)</f>
        <v>0</v>
      </c>
      <c r="J85" s="5">
        <f>IF(F85=1,FV(Input!$B$56,B85,,-Input!$C$12),0)</f>
        <v>0</v>
      </c>
      <c r="K85" s="5">
        <f>IF(E85=1,FV(Input!$B$56,B85,,-Input!$C$13),0)</f>
        <v>9127.3462698340318</v>
      </c>
      <c r="L85" s="5">
        <f>IF(D85=1,Input!$C$16+Input!$C$14+Input!$C$15,0)</f>
        <v>0</v>
      </c>
      <c r="M85" s="8"/>
      <c r="N85" s="8">
        <f t="shared" si="7"/>
        <v>9127.3462698340318</v>
      </c>
      <c r="O85" s="5">
        <f t="shared" si="8"/>
        <v>0</v>
      </c>
      <c r="P85" s="5">
        <f t="shared" si="9"/>
        <v>-34237.488437712193</v>
      </c>
      <c r="R85" s="7">
        <f>PV(Input!$B$56,'Spouse Details - Hypothetical'!B85,0,'Spouse Details - Hypothetical'!H85,1)</f>
        <v>0</v>
      </c>
      <c r="S85">
        <f t="shared" si="6"/>
        <v>0</v>
      </c>
    </row>
    <row r="86" spans="1:19" x14ac:dyDescent="0.25">
      <c r="A86" s="4">
        <f t="shared" si="10"/>
        <v>85</v>
      </c>
      <c r="B86" s="4">
        <f>IF(C86&gt;=Input!$C$5,C86-Input!$C$5,"")</f>
        <v>44</v>
      </c>
      <c r="C86" s="4">
        <f t="shared" si="11"/>
        <v>109</v>
      </c>
      <c r="D86" s="4">
        <f>IF(C86&lt;Input!$C$5,0,IF(AND(C86&gt;=Input!$C$5,C86&lt;Input!$C$5+Input!$C$6),1,2))</f>
        <v>2</v>
      </c>
      <c r="E86" s="4">
        <f>IF(C86&gt;=Input!$B$61,1,0)</f>
        <v>1</v>
      </c>
      <c r="F86" s="4">
        <f>IF(AND(C86&gt;=Input!$B$62,D86=1),1,0)</f>
        <v>0</v>
      </c>
      <c r="G86" s="5">
        <f>IF(OR(P85&lt;0,D86=2),0,P85*(1+Input!$B$56))</f>
        <v>0</v>
      </c>
      <c r="H86" s="5">
        <f>IF(D86=0,Input!$C$21+Input!$C$24+Input!$C$27,0)</f>
        <v>0</v>
      </c>
      <c r="I86" s="5">
        <f>IF(D86=1,Input!$B$72,0)</f>
        <v>0</v>
      </c>
      <c r="J86" s="5">
        <f>IF(F86=1,FV(Input!$B$56,B86,,-Input!$C$12),0)</f>
        <v>0</v>
      </c>
      <c r="K86" s="5">
        <f>IF(E86=1,FV(Input!$B$56,B86,,-Input!$C$13),0)</f>
        <v>9216.8300567931874</v>
      </c>
      <c r="L86" s="5">
        <f>IF(D86=1,Input!$C$16+Input!$C$14+Input!$C$15,0)</f>
        <v>0</v>
      </c>
      <c r="M86" s="8"/>
      <c r="N86" s="8">
        <f t="shared" si="7"/>
        <v>9216.8300567931874</v>
      </c>
      <c r="O86" s="5">
        <f t="shared" si="8"/>
        <v>0</v>
      </c>
      <c r="P86" s="5">
        <f t="shared" si="9"/>
        <v>-34237.488437712193</v>
      </c>
      <c r="R86" s="7">
        <f>PV(Input!$B$56,'Spouse Details - Hypothetical'!B86,0,'Spouse Details - Hypothetical'!H86,1)</f>
        <v>0</v>
      </c>
      <c r="S86">
        <f t="shared" si="6"/>
        <v>0</v>
      </c>
    </row>
    <row r="87" spans="1:19" x14ac:dyDescent="0.25">
      <c r="A87" s="4">
        <f t="shared" si="10"/>
        <v>86</v>
      </c>
      <c r="B87" s="4">
        <f>IF(C87&gt;=Input!$C$5,C87-Input!$C$5,"")</f>
        <v>45</v>
      </c>
      <c r="C87" s="4">
        <f t="shared" si="11"/>
        <v>110</v>
      </c>
      <c r="D87" s="4">
        <f>IF(C87&lt;Input!$C$5,0,IF(AND(C87&gt;=Input!$C$5,C87&lt;Input!$C$5+Input!$C$6),1,2))</f>
        <v>2</v>
      </c>
      <c r="E87" s="4">
        <f>IF(C87&gt;=Input!$B$61,1,0)</f>
        <v>1</v>
      </c>
      <c r="F87" s="4">
        <f>IF(AND(C87&gt;=Input!$B$62,D87=1),1,0)</f>
        <v>0</v>
      </c>
      <c r="G87" s="5">
        <f>IF(OR(P86&lt;0,D87=2),0,P86*(1+Input!$B$56))</f>
        <v>0</v>
      </c>
      <c r="H87" s="5">
        <f>IF(D87=0,Input!$C$21+Input!$C$24+Input!$C$27,0)</f>
        <v>0</v>
      </c>
      <c r="I87" s="5">
        <f>IF(D87=1,Input!$B$72,0)</f>
        <v>0</v>
      </c>
      <c r="J87" s="5">
        <f>IF(F87=1,FV(Input!$B$56,B87,,-Input!$C$12),0)</f>
        <v>0</v>
      </c>
      <c r="K87" s="5">
        <f>IF(E87=1,FV(Input!$B$56,B87,,-Input!$C$13),0)</f>
        <v>9307.1911357813551</v>
      </c>
      <c r="L87" s="5">
        <f>IF(D87=1,Input!$C$16+Input!$C$14+Input!$C$15,0)</f>
        <v>0</v>
      </c>
      <c r="M87" s="8"/>
      <c r="N87" s="8">
        <f t="shared" si="7"/>
        <v>9307.1911357813551</v>
      </c>
      <c r="O87" s="5">
        <f t="shared" si="8"/>
        <v>0</v>
      </c>
      <c r="P87" s="5">
        <f t="shared" si="9"/>
        <v>-34237.488437712193</v>
      </c>
      <c r="R87" s="7">
        <f>PV(Input!$B$56,'Spouse Details - Hypothetical'!B87,0,'Spouse Details - Hypothetical'!H87,1)</f>
        <v>0</v>
      </c>
      <c r="S87">
        <f t="shared" si="6"/>
        <v>0</v>
      </c>
    </row>
    <row r="88" spans="1:19" x14ac:dyDescent="0.25">
      <c r="A88" s="4">
        <f t="shared" si="10"/>
        <v>87</v>
      </c>
      <c r="B88" s="4">
        <f>IF(C88&gt;=Input!$C$5,C88-Input!$C$5,"")</f>
        <v>46</v>
      </c>
      <c r="C88" s="4">
        <f t="shared" si="11"/>
        <v>111</v>
      </c>
      <c r="D88" s="4">
        <f>IF(C88&lt;Input!$C$5,0,IF(AND(C88&gt;=Input!$C$5,C88&lt;Input!$C$5+Input!$C$6),1,2))</f>
        <v>2</v>
      </c>
      <c r="E88" s="4">
        <f>IF(C88&gt;=Input!$B$61,1,0)</f>
        <v>1</v>
      </c>
      <c r="F88" s="4">
        <f>IF(AND(C88&gt;=Input!$B$62,D88=1),1,0)</f>
        <v>0</v>
      </c>
      <c r="G88" s="5">
        <f>IF(OR(P87&lt;0,D88=2),0,P87*(1+Input!$B$56))</f>
        <v>0</v>
      </c>
      <c r="H88" s="5">
        <f>IF(D88=0,Input!$C$21+Input!$C$24+Input!$C$27,0)</f>
        <v>0</v>
      </c>
      <c r="I88" s="5">
        <f>IF(D88=1,Input!$B$72,0)</f>
        <v>0</v>
      </c>
      <c r="J88" s="5">
        <f>IF(F88=1,FV(Input!$B$56,B88,,-Input!$C$12),0)</f>
        <v>0</v>
      </c>
      <c r="K88" s="5">
        <f>IF(E88=1,FV(Input!$B$56,B88,,-Input!$C$13),0)</f>
        <v>9398.4381077007783</v>
      </c>
      <c r="L88" s="5">
        <f>IF(D88=1,Input!$C$16+Input!$C$14+Input!$C$15,0)</f>
        <v>0</v>
      </c>
      <c r="M88" s="8"/>
      <c r="N88" s="8">
        <f t="shared" si="7"/>
        <v>9398.4381077007783</v>
      </c>
      <c r="O88" s="5">
        <f t="shared" si="8"/>
        <v>0</v>
      </c>
      <c r="P88" s="5">
        <f t="shared" si="9"/>
        <v>-34237.488437712193</v>
      </c>
      <c r="R88" s="7">
        <f>PV(Input!$B$56,'Spouse Details - Hypothetical'!B88,0,'Spouse Details - Hypothetical'!H88,1)</f>
        <v>0</v>
      </c>
      <c r="S88">
        <f t="shared" si="6"/>
        <v>0</v>
      </c>
    </row>
    <row r="89" spans="1:19" x14ac:dyDescent="0.25">
      <c r="A89" s="4">
        <f t="shared" si="10"/>
        <v>88</v>
      </c>
      <c r="B89" s="4">
        <f>IF(C89&gt;=Input!$C$5,C89-Input!$C$5,"")</f>
        <v>47</v>
      </c>
      <c r="C89" s="4">
        <f t="shared" si="11"/>
        <v>112</v>
      </c>
      <c r="D89" s="4">
        <f>IF(C89&lt;Input!$C$5,0,IF(AND(C89&gt;=Input!$C$5,C89&lt;Input!$C$5+Input!$C$6),1,2))</f>
        <v>2</v>
      </c>
      <c r="E89" s="4">
        <f>IF(C89&gt;=Input!$B$61,1,0)</f>
        <v>1</v>
      </c>
      <c r="F89" s="4">
        <f>IF(AND(C89&gt;=Input!$B$62,D89=1),1,0)</f>
        <v>0</v>
      </c>
      <c r="G89" s="5">
        <f>IF(OR(P88&lt;0,D89=2),0,P88*(1+Input!$B$56))</f>
        <v>0</v>
      </c>
      <c r="H89" s="5">
        <f>IF(D89=0,Input!$C$21+Input!$C$24+Input!$C$27,0)</f>
        <v>0</v>
      </c>
      <c r="I89" s="5">
        <f>IF(D89=1,Input!$B$72,0)</f>
        <v>0</v>
      </c>
      <c r="J89" s="5">
        <f>IF(F89=1,FV(Input!$B$56,B89,,-Input!$C$12),0)</f>
        <v>0</v>
      </c>
      <c r="K89" s="5">
        <f>IF(E89=1,FV(Input!$B$56,B89,,-Input!$C$13),0)</f>
        <v>9490.5796577762776</v>
      </c>
      <c r="L89" s="5">
        <f>IF(D89=1,Input!$C$16+Input!$C$14+Input!$C$15,0)</f>
        <v>0</v>
      </c>
      <c r="M89" s="8"/>
      <c r="N89" s="8">
        <f t="shared" si="7"/>
        <v>9490.5796577762776</v>
      </c>
      <c r="O89" s="5">
        <f t="shared" si="8"/>
        <v>0</v>
      </c>
      <c r="P89" s="5">
        <f t="shared" si="9"/>
        <v>-34237.488437712193</v>
      </c>
      <c r="R89" s="7">
        <f>PV(Input!$B$56,'Spouse Details - Hypothetical'!B89,0,'Spouse Details - Hypothetical'!H89,1)</f>
        <v>0</v>
      </c>
      <c r="S89">
        <f t="shared" si="6"/>
        <v>0</v>
      </c>
    </row>
    <row r="90" spans="1:19" x14ac:dyDescent="0.25">
      <c r="A90" s="4">
        <f t="shared" si="10"/>
        <v>89</v>
      </c>
      <c r="B90" s="4">
        <f>IF(C90&gt;=Input!$C$5,C90-Input!$C$5,"")</f>
        <v>48</v>
      </c>
      <c r="C90" s="4">
        <f t="shared" si="11"/>
        <v>113</v>
      </c>
      <c r="D90" s="4">
        <f>IF(C90&lt;Input!$C$5,0,IF(AND(C90&gt;=Input!$C$5,C90&lt;Input!$C$5+Input!$C$6),1,2))</f>
        <v>2</v>
      </c>
      <c r="E90" s="4">
        <f>IF(C90&gt;=Input!$B$61,1,0)</f>
        <v>1</v>
      </c>
      <c r="F90" s="4">
        <f>IF(AND(C90&gt;=Input!$B$62,D90=1),1,0)</f>
        <v>0</v>
      </c>
      <c r="G90" s="5">
        <f>IF(OR(P89&lt;0,D90=2),0,P89*(1+Input!$B$56))</f>
        <v>0</v>
      </c>
      <c r="H90" s="5">
        <f>IF(D90=0,Input!$C$21+Input!$C$24+Input!$C$27,0)</f>
        <v>0</v>
      </c>
      <c r="I90" s="5">
        <f>IF(D90=1,Input!$B$72,0)</f>
        <v>0</v>
      </c>
      <c r="J90" s="5">
        <f>IF(F90=1,FV(Input!$B$56,B90,,-Input!$C$12),0)</f>
        <v>0</v>
      </c>
      <c r="K90" s="5">
        <f>IF(E90=1,FV(Input!$B$56,B90,,-Input!$C$13),0)</f>
        <v>9583.6245563819266</v>
      </c>
      <c r="L90" s="5">
        <f>IF(D90=1,Input!$C$16+Input!$C$14+Input!$C$15,0)</f>
        <v>0</v>
      </c>
      <c r="M90" s="8"/>
      <c r="N90" s="8">
        <f t="shared" si="7"/>
        <v>9583.6245563819266</v>
      </c>
      <c r="O90" s="5">
        <f t="shared" si="8"/>
        <v>0</v>
      </c>
      <c r="P90" s="5">
        <f t="shared" si="9"/>
        <v>-34237.488437712193</v>
      </c>
      <c r="R90" s="7">
        <f>PV(Input!$B$56,'Spouse Details - Hypothetical'!B90,0,'Spouse Details - Hypothetical'!H90,1)</f>
        <v>0</v>
      </c>
      <c r="S90">
        <f t="shared" si="6"/>
        <v>0</v>
      </c>
    </row>
    <row r="91" spans="1:19" x14ac:dyDescent="0.25">
      <c r="A91" s="4">
        <f t="shared" si="10"/>
        <v>90</v>
      </c>
      <c r="B91" s="4">
        <f>IF(C91&gt;=Input!$C$5,C91-Input!$C$5,"")</f>
        <v>49</v>
      </c>
      <c r="C91" s="4">
        <f t="shared" si="11"/>
        <v>114</v>
      </c>
      <c r="D91" s="4">
        <f>IF(C91&lt;Input!$C$5,0,IF(AND(C91&gt;=Input!$C$5,C91&lt;Input!$C$5+Input!$C$6),1,2))</f>
        <v>2</v>
      </c>
      <c r="E91" s="4">
        <f>IF(C91&gt;=Input!$B$61,1,0)</f>
        <v>1</v>
      </c>
      <c r="F91" s="4">
        <f>IF(AND(C91&gt;=Input!$B$62,D91=1),1,0)</f>
        <v>0</v>
      </c>
      <c r="G91" s="5">
        <f>IF(OR(P90&lt;0,D91=2),0,P90*(1+Input!$B$56))</f>
        <v>0</v>
      </c>
      <c r="H91" s="5">
        <f>IF(D91=0,Input!$C$21+Input!$C$24+Input!$C$27,0)</f>
        <v>0</v>
      </c>
      <c r="I91" s="5">
        <f>IF(D91=1,Input!$B$72,0)</f>
        <v>0</v>
      </c>
      <c r="J91" s="5">
        <f>IF(F91=1,FV(Input!$B$56,B91,,-Input!$C$12),0)</f>
        <v>0</v>
      </c>
      <c r="K91" s="5">
        <f>IF(E91=1,FV(Input!$B$56,B91,,-Input!$C$13),0)</f>
        <v>9677.5816598758665</v>
      </c>
      <c r="L91" s="5">
        <f>IF(D91=1,Input!$C$16+Input!$C$14+Input!$C$15,0)</f>
        <v>0</v>
      </c>
      <c r="M91" s="8"/>
      <c r="N91" s="8">
        <f t="shared" si="7"/>
        <v>9677.5816598758665</v>
      </c>
      <c r="O91" s="5">
        <f t="shared" si="8"/>
        <v>0</v>
      </c>
      <c r="P91" s="5">
        <f t="shared" si="9"/>
        <v>-34237.488437712193</v>
      </c>
      <c r="R91" s="7">
        <f>PV(Input!$B$56,'Spouse Details - Hypothetical'!B91,0,'Spouse Details - Hypothetical'!H91,1)</f>
        <v>0</v>
      </c>
      <c r="S91">
        <f t="shared" si="6"/>
        <v>0</v>
      </c>
    </row>
    <row r="92" spans="1:19" x14ac:dyDescent="0.25">
      <c r="A92" s="4">
        <f t="shared" si="10"/>
        <v>91</v>
      </c>
      <c r="B92" s="4">
        <f>IF(C92&gt;=Input!$C$5,C92-Input!$C$5,"")</f>
        <v>50</v>
      </c>
      <c r="C92" s="4">
        <f t="shared" si="11"/>
        <v>115</v>
      </c>
      <c r="D92" s="4">
        <f>IF(C92&lt;Input!$C$5,0,IF(AND(C92&gt;=Input!$C$5,C92&lt;Input!$C$5+Input!$C$6),1,2))</f>
        <v>2</v>
      </c>
      <c r="E92" s="4">
        <f>IF(C92&gt;=Input!$B$61,1,0)</f>
        <v>1</v>
      </c>
      <c r="F92" s="4">
        <f>IF(AND(C92&gt;=Input!$B$62,D92=1),1,0)</f>
        <v>0</v>
      </c>
      <c r="G92" s="5">
        <f>IF(OR(P91&lt;0,D92=2),0,P91*(1+Input!$B$56))</f>
        <v>0</v>
      </c>
      <c r="H92" s="5">
        <f>IF(D92=0,Input!$C$21+Input!$C$24+Input!$C$27,0)</f>
        <v>0</v>
      </c>
      <c r="I92" s="5">
        <f>IF(D92=1,Input!$B$72,0)</f>
        <v>0</v>
      </c>
      <c r="J92" s="5">
        <f>IF(F92=1,FV(Input!$B$56,B92,,-Input!$C$12),0)</f>
        <v>0</v>
      </c>
      <c r="K92" s="5">
        <f>IF(E92=1,FV(Input!$B$56,B92,,-Input!$C$13),0)</f>
        <v>9772.4599114432767</v>
      </c>
      <c r="L92" s="5">
        <f>IF(D92=1,Input!$C$16+Input!$C$14+Input!$C$15,0)</f>
        <v>0</v>
      </c>
      <c r="M92" s="8"/>
      <c r="N92" s="8">
        <f t="shared" si="7"/>
        <v>9772.4599114432767</v>
      </c>
      <c r="O92" s="5">
        <f t="shared" si="8"/>
        <v>0</v>
      </c>
      <c r="P92" s="5">
        <f t="shared" si="9"/>
        <v>-34237.488437712193</v>
      </c>
      <c r="R92" s="7">
        <f>PV(Input!$B$56,'Spouse Details - Hypothetical'!B92,0,'Spouse Details - Hypothetical'!H92,1)</f>
        <v>0</v>
      </c>
      <c r="S92">
        <f t="shared" si="6"/>
        <v>0</v>
      </c>
    </row>
    <row r="93" spans="1:19" x14ac:dyDescent="0.25">
      <c r="A93" s="4">
        <f t="shared" si="10"/>
        <v>92</v>
      </c>
      <c r="B93" s="4">
        <f>IF(C93&gt;=Input!$C$5,C93-Input!$C$5,"")</f>
        <v>51</v>
      </c>
      <c r="C93" s="4">
        <f t="shared" si="11"/>
        <v>116</v>
      </c>
      <c r="D93" s="4">
        <f>IF(C93&lt;Input!$C$5,0,IF(AND(C93&gt;=Input!$C$5,C93&lt;Input!$C$5+Input!$C$6),1,2))</f>
        <v>2</v>
      </c>
      <c r="E93" s="4">
        <f>IF(C93&gt;=Input!$B$61,1,0)</f>
        <v>1</v>
      </c>
      <c r="F93" s="4">
        <f>IF(AND(C93&gt;=Input!$B$62,D93=1),1,0)</f>
        <v>0</v>
      </c>
      <c r="G93" s="5">
        <f>IF(OR(P92&lt;0,D93=2),0,P92*(1+Input!$B$56))</f>
        <v>0</v>
      </c>
      <c r="H93" s="5">
        <f>IF(D93=0,Input!$C$21+Input!$C$24+Input!$C$27,0)</f>
        <v>0</v>
      </c>
      <c r="I93" s="5">
        <f>IF(D93=1,Input!$B$72,0)</f>
        <v>0</v>
      </c>
      <c r="J93" s="5">
        <f>IF(F93=1,FV(Input!$B$56,B93,,-Input!$C$12),0)</f>
        <v>0</v>
      </c>
      <c r="K93" s="5">
        <f>IF(E93=1,FV(Input!$B$56,B93,,-Input!$C$13),0)</f>
        <v>9868.2683419476198</v>
      </c>
      <c r="L93" s="5">
        <f>IF(D93=1,Input!$C$16+Input!$C$14+Input!$C$15,0)</f>
        <v>0</v>
      </c>
      <c r="M93" s="8"/>
      <c r="N93" s="8">
        <f t="shared" si="7"/>
        <v>9868.2683419476198</v>
      </c>
      <c r="O93" s="5">
        <f t="shared" si="8"/>
        <v>0</v>
      </c>
      <c r="P93" s="5">
        <f t="shared" si="9"/>
        <v>-34237.488437712193</v>
      </c>
      <c r="R93" s="7">
        <f>PV(Input!$B$56,'Spouse Details - Hypothetical'!B93,0,'Spouse Details - Hypothetical'!H93,1)</f>
        <v>0</v>
      </c>
      <c r="S93">
        <f t="shared" si="6"/>
        <v>0</v>
      </c>
    </row>
    <row r="94" spans="1:19" x14ac:dyDescent="0.25">
      <c r="A94" s="4">
        <f t="shared" si="10"/>
        <v>93</v>
      </c>
      <c r="B94" s="4">
        <f>IF(C94&gt;=Input!$C$5,C94-Input!$C$5,"")</f>
        <v>52</v>
      </c>
      <c r="C94" s="4">
        <f t="shared" si="11"/>
        <v>117</v>
      </c>
      <c r="D94" s="4">
        <f>IF(C94&lt;Input!$C$5,0,IF(AND(C94&gt;=Input!$C$5,C94&lt;Input!$C$5+Input!$C$6),1,2))</f>
        <v>2</v>
      </c>
      <c r="E94" s="4">
        <f>IF(C94&gt;=Input!$B$61,1,0)</f>
        <v>1</v>
      </c>
      <c r="F94" s="4">
        <f>IF(AND(C94&gt;=Input!$B$62,D94=1),1,0)</f>
        <v>0</v>
      </c>
      <c r="G94" s="5">
        <f>IF(OR(P93&lt;0,D94=2),0,P93*(1+Input!$B$56))</f>
        <v>0</v>
      </c>
      <c r="H94" s="5">
        <f>IF(D94=0,Input!$C$21+Input!$C$24+Input!$C$27,0)</f>
        <v>0</v>
      </c>
      <c r="I94" s="5">
        <f>IF(D94=1,Input!$B$72,0)</f>
        <v>0</v>
      </c>
      <c r="J94" s="5">
        <f>IF(F94=1,FV(Input!$B$56,B94,,-Input!$C$12),0)</f>
        <v>0</v>
      </c>
      <c r="K94" s="5">
        <f>IF(E94=1,FV(Input!$B$56,B94,,-Input!$C$13),0)</f>
        <v>9965.0160707902432</v>
      </c>
      <c r="L94" s="5">
        <f>IF(D94=1,Input!$C$16+Input!$C$14+Input!$C$15,0)</f>
        <v>0</v>
      </c>
      <c r="M94" s="8"/>
      <c r="N94" s="8">
        <f t="shared" si="7"/>
        <v>9965.0160707902432</v>
      </c>
      <c r="O94" s="5">
        <f t="shared" si="8"/>
        <v>0</v>
      </c>
      <c r="P94" s="5">
        <f t="shared" si="9"/>
        <v>-34237.488437712193</v>
      </c>
      <c r="R94" s="7">
        <f>PV(Input!$B$56,'Spouse Details - Hypothetical'!B94,0,'Spouse Details - Hypothetical'!H94,1)</f>
        <v>0</v>
      </c>
      <c r="S94">
        <f t="shared" si="6"/>
        <v>0</v>
      </c>
    </row>
    <row r="95" spans="1:19" x14ac:dyDescent="0.25">
      <c r="A95" s="4">
        <f t="shared" si="10"/>
        <v>94</v>
      </c>
      <c r="B95" s="4">
        <f>IF(C95&gt;=Input!$C$5,C95-Input!$C$5,"")</f>
        <v>53</v>
      </c>
      <c r="C95" s="4">
        <f t="shared" si="11"/>
        <v>118</v>
      </c>
      <c r="D95" s="4">
        <f>IF(C95&lt;Input!$C$5,0,IF(AND(C95&gt;=Input!$C$5,C95&lt;Input!$C$5+Input!$C$6),1,2))</f>
        <v>2</v>
      </c>
      <c r="E95" s="4">
        <f>IF(C95&gt;=Input!$B$61,1,0)</f>
        <v>1</v>
      </c>
      <c r="F95" s="4">
        <f>IF(AND(C95&gt;=Input!$B$62,D95=1),1,0)</f>
        <v>0</v>
      </c>
      <c r="G95" s="5">
        <f>IF(OR(P94&lt;0,D95=2),0,P94*(1+Input!$B$56))</f>
        <v>0</v>
      </c>
      <c r="H95" s="5">
        <f>IF(D95=0,Input!$C$21+Input!$C$24+Input!$C$27,0)</f>
        <v>0</v>
      </c>
      <c r="I95" s="5">
        <f>IF(D95=1,Input!$B$72,0)</f>
        <v>0</v>
      </c>
      <c r="J95" s="5">
        <f>IF(F95=1,FV(Input!$B$56,B95,,-Input!$C$12),0)</f>
        <v>0</v>
      </c>
      <c r="K95" s="5">
        <f>IF(E95=1,FV(Input!$B$56,B95,,-Input!$C$13),0)</f>
        <v>10062.712306778381</v>
      </c>
      <c r="L95" s="5">
        <f>IF(D95=1,Input!$C$16+Input!$C$14+Input!$C$15,0)</f>
        <v>0</v>
      </c>
      <c r="M95" s="8"/>
      <c r="N95" s="8">
        <f t="shared" si="7"/>
        <v>10062.712306778381</v>
      </c>
      <c r="O95" s="5">
        <f t="shared" si="8"/>
        <v>0</v>
      </c>
      <c r="P95" s="5">
        <f t="shared" si="9"/>
        <v>-34237.488437712193</v>
      </c>
      <c r="R95" s="7">
        <f>PV(Input!$B$56,'Spouse Details - Hypothetical'!B95,0,'Spouse Details - Hypothetical'!H95,1)</f>
        <v>0</v>
      </c>
      <c r="S95">
        <f t="shared" si="6"/>
        <v>0</v>
      </c>
    </row>
    <row r="96" spans="1:19" x14ac:dyDescent="0.25">
      <c r="A96" s="4">
        <f t="shared" si="10"/>
        <v>95</v>
      </c>
      <c r="B96" s="4">
        <f>IF(C96&gt;=Input!$C$5,C96-Input!$C$5,"")</f>
        <v>54</v>
      </c>
      <c r="C96" s="4">
        <f>C95+1</f>
        <v>119</v>
      </c>
      <c r="D96" s="4">
        <f>IF(C96&lt;Input!$C$5,0,IF(AND(C96&gt;=Input!$C$5,C96&lt;Input!$C$5+Input!$C$6),1,2))</f>
        <v>2</v>
      </c>
      <c r="E96" s="4">
        <f>IF(C96&gt;=Input!$B$61,1,0)</f>
        <v>1</v>
      </c>
      <c r="F96" s="4">
        <f>IF(AND(C96&gt;=Input!$B$62,D96=1),1,0)</f>
        <v>0</v>
      </c>
      <c r="G96" s="5">
        <f>IF(OR(P95&lt;0,D96=2),0,P95*(1+Input!$B$56))</f>
        <v>0</v>
      </c>
      <c r="H96" s="5">
        <f>IF(D96=0,Input!$C$21+Input!$C$24+Input!$C$27,0)</f>
        <v>0</v>
      </c>
      <c r="I96" s="5">
        <f>IF(D96=1,Input!$B$72,0)</f>
        <v>0</v>
      </c>
      <c r="J96" s="5">
        <f>IF(F96=1,FV(Input!$B$56,B96,,-Input!$C$12),0)</f>
        <v>0</v>
      </c>
      <c r="K96" s="5">
        <f>IF(E96=1,FV(Input!$B$56,B96,,-Input!$C$13),0)</f>
        <v>10161.366349001699</v>
      </c>
      <c r="L96" s="5">
        <f>IF(D96=1,Input!$C$16+Input!$C$14+Input!$C$15,0)</f>
        <v>0</v>
      </c>
      <c r="M96" s="8"/>
      <c r="N96" s="8">
        <f t="shared" si="7"/>
        <v>10161.366349001699</v>
      </c>
      <c r="O96" s="5">
        <f t="shared" si="8"/>
        <v>0</v>
      </c>
      <c r="P96" s="5">
        <f t="shared" si="9"/>
        <v>-34237.488437712193</v>
      </c>
      <c r="R96" s="7">
        <f>PV(Input!$B$56,'Spouse Details - Hypothetical'!B96,0,'Spouse Details - Hypothetical'!H96,1)</f>
        <v>0</v>
      </c>
      <c r="S96">
        <f t="shared" si="6"/>
        <v>0</v>
      </c>
    </row>
    <row r="97" spans="1:19" x14ac:dyDescent="0.25">
      <c r="A97" s="4">
        <f t="shared" si="10"/>
        <v>96</v>
      </c>
      <c r="B97" s="4">
        <f>IF(C97&gt;=Input!$C$5,C97-Input!$C$5,"")</f>
        <v>55</v>
      </c>
      <c r="C97" s="4">
        <f t="shared" si="11"/>
        <v>120</v>
      </c>
      <c r="D97" s="4">
        <f>IF(C97&lt;Input!$C$5,0,IF(AND(C97&gt;=Input!$C$5,C97&lt;Input!$C$5+Input!$C$6),1,2))</f>
        <v>2</v>
      </c>
      <c r="E97" s="4">
        <f>IF(C97&gt;=Input!$B$61,1,0)</f>
        <v>1</v>
      </c>
      <c r="F97" s="4">
        <f>IF(AND(C97&gt;=Input!$B$62,D97=1),1,0)</f>
        <v>0</v>
      </c>
      <c r="G97" s="5">
        <f>IF(OR(P96&lt;0,D97=2),0,P96*(1+Input!$B$56))</f>
        <v>0</v>
      </c>
      <c r="H97" s="5">
        <f>IF(D97=0,Input!$C$21+Input!$C$24+Input!$C$27,0)</f>
        <v>0</v>
      </c>
      <c r="I97" s="5">
        <f>IF(D97=1,Input!$B$72,0)</f>
        <v>0</v>
      </c>
      <c r="J97" s="5">
        <f>IF(F97=1,FV(Input!$B$56,B97,,-Input!$C$12),0)</f>
        <v>0</v>
      </c>
      <c r="K97" s="5">
        <f>IF(E97=1,FV(Input!$B$56,B97,,-Input!$C$13),0)</f>
        <v>10260.9875877174</v>
      </c>
      <c r="L97" s="5">
        <f>IF(D97=1,Input!$C$16+Input!$C$14+Input!$C$15,0)</f>
        <v>0</v>
      </c>
      <c r="M97" s="8"/>
      <c r="N97" s="8">
        <f t="shared" si="7"/>
        <v>10260.9875877174</v>
      </c>
      <c r="O97" s="5">
        <f t="shared" si="8"/>
        <v>0</v>
      </c>
      <c r="P97" s="5">
        <f t="shared" si="9"/>
        <v>-34237.488437712193</v>
      </c>
      <c r="R97" s="7">
        <f>PV(Input!$B$56,'Spouse Details - Hypothetical'!B97,0,'Spouse Details - Hypothetical'!H97,1)</f>
        <v>0</v>
      </c>
      <c r="S97">
        <f t="shared" si="6"/>
        <v>0</v>
      </c>
    </row>
    <row r="98" spans="1:19" x14ac:dyDescent="0.25">
      <c r="A98" s="4">
        <f t="shared" si="10"/>
        <v>97</v>
      </c>
      <c r="B98" s="4">
        <f>IF(C98&gt;=Input!$C$5,C98-Input!$C$5,"")</f>
        <v>56</v>
      </c>
      <c r="C98" s="4">
        <f t="shared" si="11"/>
        <v>121</v>
      </c>
      <c r="D98" s="4">
        <f>IF(C98&lt;Input!$C$5,0,IF(AND(C98&gt;=Input!$C$5,C98&lt;Input!$C$5+Input!$C$6),1,2))</f>
        <v>2</v>
      </c>
      <c r="E98" s="4">
        <f>IF(C98&gt;=Input!$B$61,1,0)</f>
        <v>1</v>
      </c>
      <c r="F98" s="4">
        <f>IF(AND(C98&gt;=Input!$B$62,D98=1),1,0)</f>
        <v>0</v>
      </c>
      <c r="G98" s="5">
        <f>IF(OR(P97&lt;0,D98=2),0,P97*(1+Input!$B$56))</f>
        <v>0</v>
      </c>
      <c r="H98" s="5">
        <f>IF(D98=0,Input!$C$21+Input!$C$24+Input!$C$27,0)</f>
        <v>0</v>
      </c>
      <c r="I98" s="5">
        <f>IF(D98=1,Input!$B$72,0)</f>
        <v>0</v>
      </c>
      <c r="J98" s="5">
        <f>IF(F98=1,FV(Input!$B$56,B98,,-Input!$C$12),0)</f>
        <v>0</v>
      </c>
      <c r="K98" s="5">
        <f>IF(E98=1,FV(Input!$B$56,B98,,-Input!$C$13),0)</f>
        <v>10361.585505244042</v>
      </c>
      <c r="L98" s="5">
        <f>IF(D98=1,Input!$C$16+Input!$C$14+Input!$C$15,0)</f>
        <v>0</v>
      </c>
      <c r="M98" s="8"/>
      <c r="N98" s="8">
        <f t="shared" si="7"/>
        <v>10361.585505244042</v>
      </c>
      <c r="O98" s="5">
        <f t="shared" si="8"/>
        <v>0</v>
      </c>
      <c r="P98" s="5">
        <f t="shared" si="9"/>
        <v>-34237.488437712193</v>
      </c>
      <c r="R98" s="7">
        <f>PV(Input!$B$56,'Spouse Details - Hypothetical'!B98,0,'Spouse Details - Hypothetical'!H98,1)</f>
        <v>0</v>
      </c>
      <c r="S98">
        <f t="shared" si="6"/>
        <v>0</v>
      </c>
    </row>
    <row r="99" spans="1:19" x14ac:dyDescent="0.25">
      <c r="A99" s="4">
        <f t="shared" si="10"/>
        <v>98</v>
      </c>
      <c r="B99" s="4">
        <f>IF(C99&gt;=Input!$C$5,C99-Input!$C$5,"")</f>
        <v>57</v>
      </c>
      <c r="C99" s="4">
        <f t="shared" si="11"/>
        <v>122</v>
      </c>
      <c r="D99" s="4">
        <f>IF(C99&lt;Input!$C$5,0,IF(AND(C99&gt;=Input!$C$5,C99&lt;Input!$C$5+Input!$C$6),1,2))</f>
        <v>2</v>
      </c>
      <c r="E99" s="4">
        <f>IF(C99&gt;=Input!$B$61,1,0)</f>
        <v>1</v>
      </c>
      <c r="F99" s="4">
        <f>IF(AND(C99&gt;=Input!$B$62,D99=1),1,0)</f>
        <v>0</v>
      </c>
      <c r="G99" s="5">
        <f>IF(OR(P98&lt;0,D99=2),0,P98*(1+Input!$B$56))</f>
        <v>0</v>
      </c>
      <c r="H99" s="5">
        <f>IF(D99=0,Input!$C$21+Input!$C$24+Input!$C$27,0)</f>
        <v>0</v>
      </c>
      <c r="I99" s="5">
        <f>IF(D99=1,Input!$B$72,0)</f>
        <v>0</v>
      </c>
      <c r="J99" s="5">
        <f>IF(F99=1,FV(Input!$B$56,B99,,-Input!$C$12),0)</f>
        <v>0</v>
      </c>
      <c r="K99" s="5">
        <f>IF(E99=1,FV(Input!$B$56,B99,,-Input!$C$13),0)</f>
        <v>10463.169676864081</v>
      </c>
      <c r="L99" s="5">
        <f>IF(D99=1,Input!$C$16+Input!$C$14+Input!$C$15,0)</f>
        <v>0</v>
      </c>
      <c r="M99" s="8"/>
      <c r="N99" s="8">
        <f t="shared" si="7"/>
        <v>10463.169676864081</v>
      </c>
      <c r="O99" s="5">
        <f t="shared" si="8"/>
        <v>0</v>
      </c>
      <c r="P99" s="5">
        <f t="shared" si="9"/>
        <v>-34237.488437712193</v>
      </c>
      <c r="R99" s="7">
        <f>PV(Input!$B$56,'Spouse Details - Hypothetical'!B99,0,'Spouse Details - Hypothetical'!H99,1)</f>
        <v>0</v>
      </c>
      <c r="S99">
        <f t="shared" si="6"/>
        <v>0</v>
      </c>
    </row>
    <row r="100" spans="1:19" x14ac:dyDescent="0.25">
      <c r="A100" s="4">
        <f t="shared" si="10"/>
        <v>99</v>
      </c>
      <c r="B100" s="4">
        <f>IF(C100&gt;=Input!$C$5,C100-Input!$C$5,"")</f>
        <v>58</v>
      </c>
      <c r="C100" s="4">
        <f t="shared" si="11"/>
        <v>123</v>
      </c>
      <c r="D100" s="4">
        <f>IF(C100&lt;Input!$C$5,0,IF(AND(C100&gt;=Input!$C$5,C100&lt;Input!$C$5+Input!$C$6),1,2))</f>
        <v>2</v>
      </c>
      <c r="E100" s="4">
        <f>IF(C100&gt;=Input!$B$61,1,0)</f>
        <v>1</v>
      </c>
      <c r="F100" s="4">
        <f>IF(AND(C100&gt;=Input!$B$62,D100=1),1,0)</f>
        <v>0</v>
      </c>
      <c r="G100" s="5">
        <f>IF(OR(P99&lt;0,D100=2),0,P99*(1+Input!$B$56))</f>
        <v>0</v>
      </c>
      <c r="H100" s="5">
        <f>IF(D100=0,Input!$C$21+Input!$C$24+Input!$C$27,0)</f>
        <v>0</v>
      </c>
      <c r="I100" s="5">
        <f>IF(D100=1,Input!$B$72,0)</f>
        <v>0</v>
      </c>
      <c r="J100" s="5">
        <f>IF(F100=1,FV(Input!$B$56,B100,,-Input!$C$12),0)</f>
        <v>0</v>
      </c>
      <c r="K100" s="5">
        <f>IF(E100=1,FV(Input!$B$56,B100,,-Input!$C$13),0)</f>
        <v>10565.749771735296</v>
      </c>
      <c r="L100" s="5">
        <f>IF(D100=1,Input!$C$16+Input!$C$14+Input!$C$15,0)</f>
        <v>0</v>
      </c>
      <c r="M100" s="8"/>
      <c r="N100" s="8">
        <f t="shared" si="7"/>
        <v>10565.749771735296</v>
      </c>
      <c r="O100" s="5">
        <f t="shared" si="8"/>
        <v>0</v>
      </c>
      <c r="P100" s="5">
        <f t="shared" si="9"/>
        <v>-34237.488437712193</v>
      </c>
      <c r="R100" s="7">
        <f>PV(Input!$B$56,'Spouse Details - Hypothetical'!B100,0,'Spouse Details - Hypothetical'!H100,1)</f>
        <v>0</v>
      </c>
      <c r="S100">
        <f t="shared" si="6"/>
        <v>0</v>
      </c>
    </row>
    <row r="101" spans="1:19" x14ac:dyDescent="0.25">
      <c r="A101" s="4">
        <f t="shared" si="10"/>
        <v>100</v>
      </c>
      <c r="B101" s="4">
        <f>IF(C101&gt;=Input!$C$5,C101-Input!$C$5,"")</f>
        <v>59</v>
      </c>
      <c r="C101" s="4">
        <f t="shared" si="11"/>
        <v>124</v>
      </c>
      <c r="D101" s="4">
        <f>IF(C101&lt;Input!$C$5,0,IF(AND(C101&gt;=Input!$C$5,C101&lt;Input!$C$5+Input!$C$6),1,2))</f>
        <v>2</v>
      </c>
      <c r="E101" s="4">
        <f>IF(C101&gt;=Input!$B$61,1,0)</f>
        <v>1</v>
      </c>
      <c r="F101" s="4">
        <f>IF(AND(C101&gt;=Input!$B$62,D101=1),1,0)</f>
        <v>0</v>
      </c>
      <c r="G101" s="5">
        <f>IF(OR(P100&lt;0,D101=2),0,P100*(1+Input!$B$56))</f>
        <v>0</v>
      </c>
      <c r="H101" s="5">
        <f>IF(D101=0,Input!$C$21+Input!$C$24+Input!$C$27,0)</f>
        <v>0</v>
      </c>
      <c r="I101" s="5">
        <f>IF(D101=1,Input!$B$72,0)</f>
        <v>0</v>
      </c>
      <c r="J101" s="5">
        <f>IF(F101=1,FV(Input!$B$56,B101,,-Input!$C$12),0)</f>
        <v>0</v>
      </c>
      <c r="K101" s="5">
        <f>IF(E101=1,FV(Input!$B$56,B101,,-Input!$C$13),0)</f>
        <v>10669.335553811132</v>
      </c>
      <c r="L101" s="5">
        <f>IF(D101=1,Input!$C$16+Input!$C$14+Input!$C$15,0)</f>
        <v>0</v>
      </c>
      <c r="M101" s="8"/>
      <c r="N101" s="8">
        <f t="shared" si="7"/>
        <v>10669.335553811132</v>
      </c>
      <c r="O101" s="5">
        <f t="shared" si="8"/>
        <v>0</v>
      </c>
      <c r="P101" s="5">
        <f t="shared" si="9"/>
        <v>-34237.488437712193</v>
      </c>
      <c r="R101" s="7">
        <f>PV(Input!$B$56,'Spouse Details - Hypothetical'!B101,0,'Spouse Details - Hypothetical'!H101,1)</f>
        <v>0</v>
      </c>
      <c r="S101">
        <f t="shared" si="6"/>
        <v>0</v>
      </c>
    </row>
    <row r="102" spans="1:19" x14ac:dyDescent="0.25">
      <c r="A102" s="4">
        <f t="shared" si="10"/>
        <v>101</v>
      </c>
      <c r="B102" s="4">
        <f>IF(C102&gt;=Input!$C$5,C102-Input!$C$5,"")</f>
        <v>60</v>
      </c>
      <c r="C102" s="4">
        <f t="shared" si="11"/>
        <v>125</v>
      </c>
      <c r="D102" s="4">
        <f>IF(C102&lt;Input!$C$5,0,IF(AND(C102&gt;=Input!$C$5,C102&lt;Input!$C$5+Input!$C$6),1,2))</f>
        <v>2</v>
      </c>
      <c r="E102" s="4">
        <f>IF(C102&gt;=Input!$B$61,1,0)</f>
        <v>1</v>
      </c>
      <c r="F102" s="4">
        <f>IF(AND(C102&gt;=Input!$B$62,D102=1),1,0)</f>
        <v>0</v>
      </c>
      <c r="G102" s="5">
        <f>IF(OR(P101&lt;0,D102=2),0,P101*(1+Input!$B$56))</f>
        <v>0</v>
      </c>
      <c r="H102" s="5">
        <f>IF(D102=0,Input!$C$21+Input!$C$24+Input!$C$27,0)</f>
        <v>0</v>
      </c>
      <c r="I102" s="5">
        <f>IF(D102=1,Input!$B$72,0)</f>
        <v>0</v>
      </c>
      <c r="J102" s="5">
        <f>IF(F102=1,FV(Input!$B$56,B102,,-Input!$C$12),0)</f>
        <v>0</v>
      </c>
      <c r="K102" s="5">
        <f>IF(E102=1,FV(Input!$B$56,B102,,-Input!$C$13),0)</f>
        <v>10773.93688277006</v>
      </c>
      <c r="L102" s="5">
        <f>IF(D102=1,Input!$C$16+Input!$C$14+Input!$C$15,0)</f>
        <v>0</v>
      </c>
      <c r="M102" s="8"/>
      <c r="N102" s="8">
        <f t="shared" si="7"/>
        <v>10773.93688277006</v>
      </c>
      <c r="O102" s="5">
        <f t="shared" si="8"/>
        <v>0</v>
      </c>
      <c r="P102" s="5">
        <f t="shared" si="9"/>
        <v>-34237.488437712193</v>
      </c>
      <c r="R102" s="7">
        <f>PV(Input!$B$56,'Spouse Details - Hypothetical'!B102,0,'Spouse Details - Hypothetical'!H102,1)</f>
        <v>0</v>
      </c>
      <c r="S102">
        <f t="shared" si="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opLeftCell="A29" workbookViewId="0">
      <selection activeCell="K2" sqref="K2"/>
    </sheetView>
  </sheetViews>
  <sheetFormatPr defaultRowHeight="15" x14ac:dyDescent="0.25"/>
  <cols>
    <col min="1" max="1" width="4" bestFit="1" customWidth="1"/>
    <col min="2" max="2" width="7" bestFit="1" customWidth="1"/>
    <col min="3" max="3" width="10.28515625" customWidth="1"/>
    <col min="5" max="5" width="13.85546875" customWidth="1"/>
    <col min="6" max="6" width="13.28515625" bestFit="1" customWidth="1"/>
    <col min="7" max="7" width="15.28515625" bestFit="1" customWidth="1"/>
    <col min="8" max="8" width="17.140625" customWidth="1"/>
    <col min="9" max="9" width="14.7109375" customWidth="1"/>
  </cols>
  <sheetData>
    <row r="1" spans="1:9" ht="30" x14ac:dyDescent="0.25">
      <c r="A1" s="4" t="s">
        <v>26</v>
      </c>
      <c r="B1" s="10" t="s">
        <v>39</v>
      </c>
      <c r="C1" s="4" t="s">
        <v>20</v>
      </c>
      <c r="D1" s="4" t="s">
        <v>21</v>
      </c>
      <c r="E1" s="10" t="s">
        <v>22</v>
      </c>
      <c r="F1" s="4" t="s">
        <v>23</v>
      </c>
      <c r="G1" s="4" t="s">
        <v>35</v>
      </c>
      <c r="H1" s="10" t="s">
        <v>38</v>
      </c>
      <c r="I1" s="10" t="s">
        <v>25</v>
      </c>
    </row>
    <row r="2" spans="1:9" x14ac:dyDescent="0.25">
      <c r="A2" s="4">
        <v>1</v>
      </c>
      <c r="B2" s="4" t="str">
        <f>IF(C2&gt;=Input!$B$5,C2-Input!$B$5,"")</f>
        <v/>
      </c>
      <c r="C2" s="4">
        <f>Input!C4</f>
        <v>25</v>
      </c>
      <c r="D2" s="4">
        <f>IF(C2&lt;Input!$C$5,0,IF(AND(C2&gt;=Input!$C$5,C2&lt;Input!$C$5+Input!$C$6),1,2))</f>
        <v>0</v>
      </c>
      <c r="E2" s="5">
        <f>Input!C44</f>
        <v>360459.05974287214</v>
      </c>
      <c r="F2" s="5">
        <f>IF(D2=0,Input!$C$21+Input!$C$24+Input!$C$27,0)</f>
        <v>2400</v>
      </c>
      <c r="G2" s="5">
        <f>'Spouse Details - Actual'!I2</f>
        <v>0</v>
      </c>
      <c r="H2" s="5">
        <f>IF(D2=1,'Spouse Details - Actual'!O2,0)</f>
        <v>0</v>
      </c>
      <c r="I2" s="5">
        <f>E2+F2-H2</f>
        <v>362859.05974287214</v>
      </c>
    </row>
    <row r="3" spans="1:9" x14ac:dyDescent="0.25">
      <c r="A3" s="4">
        <f>A2+1</f>
        <v>2</v>
      </c>
      <c r="B3" s="4" t="str">
        <f>IF(C3&gt;=Input!$B$5,C3-Input!$B$5,"")</f>
        <v/>
      </c>
      <c r="C3" s="4">
        <f>C2+1</f>
        <v>26</v>
      </c>
      <c r="D3" s="4">
        <f>IF(C3&lt;Input!$C$5,0,IF(AND(C3&gt;=Input!$C$5,C3&lt;Input!$C$5+Input!$C$6),1,2))</f>
        <v>0</v>
      </c>
      <c r="E3" s="5">
        <f>IF(OR(I2&lt;0,D3=2),0,I2*(1+Input!$B$56))</f>
        <v>366416.50150505715</v>
      </c>
      <c r="F3" s="5">
        <f>IF(D3=0,Input!$C$21+Input!$C$24+Input!$C$27,0)</f>
        <v>2400</v>
      </c>
      <c r="G3" s="5">
        <f>'Spouse Details - Actual'!I3</f>
        <v>0</v>
      </c>
      <c r="H3" s="5">
        <f>IF(D3=1,'Spouse Details - Actual'!O3,0)</f>
        <v>0</v>
      </c>
      <c r="I3" s="5">
        <f t="shared" ref="I3:I66" si="0">IF(D3=2,I2,E3+F3-H3)</f>
        <v>368816.50150505715</v>
      </c>
    </row>
    <row r="4" spans="1:9" x14ac:dyDescent="0.25">
      <c r="A4" s="4">
        <f t="shared" ref="A4:A67" si="1">A3+1</f>
        <v>3</v>
      </c>
      <c r="B4" s="4" t="str">
        <f>IF(C4&gt;=Input!$B$5,C4-Input!$B$5,"")</f>
        <v/>
      </c>
      <c r="C4" s="4">
        <f t="shared" ref="C4:C67" si="2">C3+1</f>
        <v>27</v>
      </c>
      <c r="D4" s="4">
        <f>IF(C4&lt;Input!$C$5,0,IF(AND(C4&gt;=Input!$C$5,C4&lt;Input!$C$5+Input!$C$6),1,2))</f>
        <v>0</v>
      </c>
      <c r="E4" s="5">
        <f>IF(OR(I3&lt;0,D4=2),0,I3*(1+Input!$B$56))</f>
        <v>372432.34955902828</v>
      </c>
      <c r="F4" s="5">
        <f>IF(D4=0,Input!$C$21+Input!$C$24+Input!$C$27,0)</f>
        <v>2400</v>
      </c>
      <c r="G4" s="5">
        <f>'Spouse Details - Actual'!I4</f>
        <v>0</v>
      </c>
      <c r="H4" s="5">
        <f>IF(D4=1,'Spouse Details - Actual'!O4,0)</f>
        <v>0</v>
      </c>
      <c r="I4" s="5">
        <f t="shared" si="0"/>
        <v>374832.34955902828</v>
      </c>
    </row>
    <row r="5" spans="1:9" x14ac:dyDescent="0.25">
      <c r="A5" s="4">
        <f t="shared" si="1"/>
        <v>4</v>
      </c>
      <c r="B5" s="4" t="str">
        <f>IF(C5&gt;=Input!$B$5,C5-Input!$B$5,"")</f>
        <v/>
      </c>
      <c r="C5" s="4">
        <f t="shared" si="2"/>
        <v>28</v>
      </c>
      <c r="D5" s="4">
        <f>IF(C5&lt;Input!$C$5,0,IF(AND(C5&gt;=Input!$C$5,C5&lt;Input!$C$5+Input!$C$6),1,2))</f>
        <v>0</v>
      </c>
      <c r="E5" s="5">
        <f>IF(OR(I4&lt;0,D5=2),0,I4*(1+Input!$B$56))</f>
        <v>378507.17651548935</v>
      </c>
      <c r="F5" s="5">
        <f>IF(D5=0,Input!$C$21+Input!$C$24+Input!$C$27,0)</f>
        <v>2400</v>
      </c>
      <c r="G5" s="5">
        <f>'Spouse Details - Actual'!I5</f>
        <v>0</v>
      </c>
      <c r="H5" s="5">
        <f>IF(D5=1,'Spouse Details - Actual'!O5,0)</f>
        <v>0</v>
      </c>
      <c r="I5" s="5">
        <f t="shared" si="0"/>
        <v>380907.17651548935</v>
      </c>
    </row>
    <row r="6" spans="1:9" x14ac:dyDescent="0.25">
      <c r="A6" s="4">
        <f t="shared" si="1"/>
        <v>5</v>
      </c>
      <c r="B6" s="4" t="str">
        <f>IF(C6&gt;=Input!$B$5,C6-Input!$B$5,"")</f>
        <v/>
      </c>
      <c r="C6" s="4">
        <f t="shared" si="2"/>
        <v>29</v>
      </c>
      <c r="D6" s="4">
        <f>IF(C6&lt;Input!$C$5,0,IF(AND(C6&gt;=Input!$C$5,C6&lt;Input!$C$5+Input!$C$6),1,2))</f>
        <v>0</v>
      </c>
      <c r="E6" s="5">
        <f>IF(OR(I5&lt;0,D6=2),0,I5*(1+Input!$B$56))</f>
        <v>384641.56059897452</v>
      </c>
      <c r="F6" s="5">
        <f>IF(D6=0,Input!$C$21+Input!$C$24+Input!$C$27,0)</f>
        <v>2400</v>
      </c>
      <c r="G6" s="5">
        <f>'Spouse Details - Actual'!I6</f>
        <v>0</v>
      </c>
      <c r="H6" s="5">
        <f>IF(D6=1,'Spouse Details - Actual'!O6,0)</f>
        <v>0</v>
      </c>
      <c r="I6" s="5">
        <f t="shared" si="0"/>
        <v>387041.56059897452</v>
      </c>
    </row>
    <row r="7" spans="1:9" x14ac:dyDescent="0.25">
      <c r="A7" s="4">
        <f t="shared" si="1"/>
        <v>6</v>
      </c>
      <c r="B7" s="4" t="str">
        <f>IF(C7&gt;=Input!$B$5,C7-Input!$B$5,"")</f>
        <v/>
      </c>
      <c r="C7" s="4">
        <f t="shared" si="2"/>
        <v>30</v>
      </c>
      <c r="D7" s="4">
        <f>IF(C7&lt;Input!$C$5,0,IF(AND(C7&gt;=Input!$C$5,C7&lt;Input!$C$5+Input!$C$6),1,2))</f>
        <v>0</v>
      </c>
      <c r="E7" s="5">
        <f>IF(OR(I6&lt;0,D7=2),0,I6*(1+Input!$B$56))</f>
        <v>390836.08570288605</v>
      </c>
      <c r="F7" s="5">
        <f>IF(D7=0,Input!$C$21+Input!$C$24+Input!$C$27,0)</f>
        <v>2400</v>
      </c>
      <c r="G7" s="5">
        <f>'Spouse Details - Actual'!I7</f>
        <v>0</v>
      </c>
      <c r="H7" s="5">
        <f>IF(D7=1,'Spouse Details - Actual'!O7,0)</f>
        <v>0</v>
      </c>
      <c r="I7" s="5">
        <f t="shared" si="0"/>
        <v>393236.08570288605</v>
      </c>
    </row>
    <row r="8" spans="1:9" x14ac:dyDescent="0.25">
      <c r="A8" s="4">
        <f t="shared" si="1"/>
        <v>7</v>
      </c>
      <c r="B8" s="4" t="str">
        <f>IF(C8&gt;=Input!$B$5,C8-Input!$B$5,"")</f>
        <v/>
      </c>
      <c r="C8" s="4">
        <f t="shared" si="2"/>
        <v>31</v>
      </c>
      <c r="D8" s="4">
        <f>IF(C8&lt;Input!$C$5,0,IF(AND(C8&gt;=Input!$C$5,C8&lt;Input!$C$5+Input!$C$6),1,2))</f>
        <v>0</v>
      </c>
      <c r="E8" s="5">
        <f>IF(OR(I7&lt;0,D8=2),0,I7*(1+Input!$B$56))</f>
        <v>397091.34144507122</v>
      </c>
      <c r="F8" s="5">
        <f>IF(D8=0,Input!$C$21+Input!$C$24+Input!$C$27,0)</f>
        <v>2400</v>
      </c>
      <c r="G8" s="5">
        <f>'Spouse Details - Actual'!I8</f>
        <v>0</v>
      </c>
      <c r="H8" s="5">
        <f>IF(D8=1,'Spouse Details - Actual'!O8,0)</f>
        <v>0</v>
      </c>
      <c r="I8" s="5">
        <f t="shared" si="0"/>
        <v>399491.34144507122</v>
      </c>
    </row>
    <row r="9" spans="1:9" x14ac:dyDescent="0.25">
      <c r="A9" s="4">
        <f t="shared" si="1"/>
        <v>8</v>
      </c>
      <c r="B9" s="4" t="str">
        <f>IF(C9&gt;=Input!$B$5,C9-Input!$B$5,"")</f>
        <v/>
      </c>
      <c r="C9" s="4">
        <f t="shared" si="2"/>
        <v>32</v>
      </c>
      <c r="D9" s="4">
        <f>IF(C9&lt;Input!$C$5,0,IF(AND(C9&gt;=Input!$C$5,C9&lt;Input!$C$5+Input!$C$6),1,2))</f>
        <v>0</v>
      </c>
      <c r="E9" s="5">
        <f>IF(OR(I8&lt;0,D9=2),0,I8*(1+Input!$B$56))</f>
        <v>403407.92322394444</v>
      </c>
      <c r="F9" s="5">
        <f>IF(D9=0,Input!$C$21+Input!$C$24+Input!$C$27,0)</f>
        <v>2400</v>
      </c>
      <c r="G9" s="5">
        <f>'Spouse Details - Actual'!I9</f>
        <v>0</v>
      </c>
      <c r="H9" s="5">
        <f>IF(D9=1,'Spouse Details - Actual'!O9,0)</f>
        <v>0</v>
      </c>
      <c r="I9" s="5">
        <f t="shared" si="0"/>
        <v>405807.92322394444</v>
      </c>
    </row>
    <row r="10" spans="1:9" x14ac:dyDescent="0.25">
      <c r="A10" s="4">
        <f t="shared" si="1"/>
        <v>9</v>
      </c>
      <c r="B10" s="4" t="str">
        <f>IF(C10&gt;=Input!$B$5,C10-Input!$B$5,"")</f>
        <v/>
      </c>
      <c r="C10" s="4">
        <f t="shared" si="2"/>
        <v>33</v>
      </c>
      <c r="D10" s="4">
        <f>IF(C10&lt;Input!$C$5,0,IF(AND(C10&gt;=Input!$C$5,C10&lt;Input!$C$5+Input!$C$6),1,2))</f>
        <v>0</v>
      </c>
      <c r="E10" s="5">
        <f>IF(OR(I9&lt;0,D10=2),0,I9*(1+Input!$B$56))</f>
        <v>409786.43227515958</v>
      </c>
      <c r="F10" s="5">
        <f>IF(D10=0,Input!$C$21+Input!$C$24+Input!$C$27,0)</f>
        <v>2400</v>
      </c>
      <c r="G10" s="5">
        <f>'Spouse Details - Actual'!I10</f>
        <v>0</v>
      </c>
      <c r="H10" s="5">
        <f>IF(D10=1,'Spouse Details - Actual'!O10,0)</f>
        <v>0</v>
      </c>
      <c r="I10" s="5">
        <f t="shared" si="0"/>
        <v>412186.43227515958</v>
      </c>
    </row>
    <row r="11" spans="1:9" x14ac:dyDescent="0.25">
      <c r="A11" s="4">
        <f t="shared" si="1"/>
        <v>10</v>
      </c>
      <c r="B11" s="4" t="str">
        <f>IF(C11&gt;=Input!$B$5,C11-Input!$B$5,"")</f>
        <v/>
      </c>
      <c r="C11" s="4">
        <f t="shared" si="2"/>
        <v>34</v>
      </c>
      <c r="D11" s="4">
        <f>IF(C11&lt;Input!$C$5,0,IF(AND(C11&gt;=Input!$C$5,C11&lt;Input!$C$5+Input!$C$6),1,2))</f>
        <v>0</v>
      </c>
      <c r="E11" s="5">
        <f>IF(OR(I10&lt;0,D11=2),0,I10*(1+Input!$B$56))</f>
        <v>416227.4757288376</v>
      </c>
      <c r="F11" s="5">
        <f>IF(D11=0,Input!$C$21+Input!$C$24+Input!$C$27,0)</f>
        <v>2400</v>
      </c>
      <c r="G11" s="5">
        <f>'Spouse Details - Actual'!I11</f>
        <v>0</v>
      </c>
      <c r="H11" s="5">
        <f>IF(D11=1,'Spouse Details - Actual'!O11,0)</f>
        <v>0</v>
      </c>
      <c r="I11" s="5">
        <f t="shared" si="0"/>
        <v>418627.4757288376</v>
      </c>
    </row>
    <row r="12" spans="1:9" x14ac:dyDescent="0.25">
      <c r="A12" s="4">
        <f t="shared" si="1"/>
        <v>11</v>
      </c>
      <c r="B12" s="4" t="str">
        <f>IF(C12&gt;=Input!$B$5,C12-Input!$B$5,"")</f>
        <v/>
      </c>
      <c r="C12" s="4">
        <f t="shared" si="2"/>
        <v>35</v>
      </c>
      <c r="D12" s="4">
        <f>IF(C12&lt;Input!$C$5,0,IF(AND(C12&gt;=Input!$C$5,C12&lt;Input!$C$5+Input!$C$6),1,2))</f>
        <v>0</v>
      </c>
      <c r="E12" s="5">
        <f>IF(OR(I11&lt;0,D12=2),0,I11*(1+Input!$B$56))</f>
        <v>422731.66666735557</v>
      </c>
      <c r="F12" s="5">
        <f>IF(D12=0,Input!$C$21+Input!$C$24+Input!$C$27,0)</f>
        <v>2400</v>
      </c>
      <c r="G12" s="5">
        <f>'Spouse Details - Actual'!I12</f>
        <v>0</v>
      </c>
      <c r="H12" s="5">
        <f>IF(D12=1,'Spouse Details - Actual'!O12,0)</f>
        <v>0</v>
      </c>
      <c r="I12" s="5">
        <f t="shared" si="0"/>
        <v>425131.66666735557</v>
      </c>
    </row>
    <row r="13" spans="1:9" x14ac:dyDescent="0.25">
      <c r="A13" s="4">
        <f t="shared" si="1"/>
        <v>12</v>
      </c>
      <c r="B13" s="4" t="str">
        <f>IF(C13&gt;=Input!$B$5,C13-Input!$B$5,"")</f>
        <v/>
      </c>
      <c r="C13" s="4">
        <f t="shared" si="2"/>
        <v>36</v>
      </c>
      <c r="D13" s="4">
        <f>IF(C13&lt;Input!$C$5,0,IF(AND(C13&gt;=Input!$C$5,C13&lt;Input!$C$5+Input!$C$6),1,2))</f>
        <v>0</v>
      </c>
      <c r="E13" s="5">
        <f>IF(OR(I12&lt;0,D13=2),0,I12*(1+Input!$B$56))</f>
        <v>429299.62418370217</v>
      </c>
      <c r="F13" s="5">
        <f>IF(D13=0,Input!$C$21+Input!$C$24+Input!$C$27,0)</f>
        <v>2400</v>
      </c>
      <c r="G13" s="5">
        <f>'Spouse Details - Actual'!I13</f>
        <v>0</v>
      </c>
      <c r="H13" s="5">
        <f>IF(D13=1,'Spouse Details - Actual'!O13,0)</f>
        <v>0</v>
      </c>
      <c r="I13" s="5">
        <f t="shared" si="0"/>
        <v>431699.62418370217</v>
      </c>
    </row>
    <row r="14" spans="1:9" x14ac:dyDescent="0.25">
      <c r="A14" s="4">
        <f t="shared" si="1"/>
        <v>13</v>
      </c>
      <c r="B14" s="4" t="str">
        <f>IF(C14&gt;=Input!$B$5,C14-Input!$B$5,"")</f>
        <v/>
      </c>
      <c r="C14" s="4">
        <f t="shared" si="2"/>
        <v>37</v>
      </c>
      <c r="D14" s="4">
        <f>IF(C14&lt;Input!$C$5,0,IF(AND(C14&gt;=Input!$C$5,C14&lt;Input!$C$5+Input!$C$6),1,2))</f>
        <v>0</v>
      </c>
      <c r="E14" s="5">
        <f>IF(OR(I13&lt;0,D14=2),0,I13*(1+Input!$B$56))</f>
        <v>435931.9734404051</v>
      </c>
      <c r="F14" s="5">
        <f>IF(D14=0,Input!$C$21+Input!$C$24+Input!$C$27,0)</f>
        <v>2400</v>
      </c>
      <c r="G14" s="5">
        <f>'Spouse Details - Actual'!I14</f>
        <v>0</v>
      </c>
      <c r="H14" s="5">
        <f>IF(D14=1,'Spouse Details - Actual'!O14,0)</f>
        <v>0</v>
      </c>
      <c r="I14" s="5">
        <f t="shared" si="0"/>
        <v>438331.9734404051</v>
      </c>
    </row>
    <row r="15" spans="1:9" x14ac:dyDescent="0.25">
      <c r="A15" s="4">
        <f t="shared" si="1"/>
        <v>14</v>
      </c>
      <c r="B15" s="4" t="str">
        <f>IF(C15&gt;=Input!$B$5,C15-Input!$B$5,"")</f>
        <v/>
      </c>
      <c r="C15" s="4">
        <f t="shared" si="2"/>
        <v>38</v>
      </c>
      <c r="D15" s="4">
        <f>IF(C15&lt;Input!$C$5,0,IF(AND(C15&gt;=Input!$C$5,C15&lt;Input!$C$5+Input!$C$6),1,2))</f>
        <v>0</v>
      </c>
      <c r="E15" s="5">
        <f>IF(OR(I14&lt;0,D15=2),0,I14*(1+Input!$B$56))</f>
        <v>442629.34572903649</v>
      </c>
      <c r="F15" s="5">
        <f>IF(D15=0,Input!$C$21+Input!$C$24+Input!$C$27,0)</f>
        <v>2400</v>
      </c>
      <c r="G15" s="5">
        <f>'Spouse Details - Actual'!I15</f>
        <v>0</v>
      </c>
      <c r="H15" s="5">
        <f>IF(D15=1,'Spouse Details - Actual'!O15,0)</f>
        <v>0</v>
      </c>
      <c r="I15" s="5">
        <f t="shared" si="0"/>
        <v>445029.34572903649</v>
      </c>
    </row>
    <row r="16" spans="1:9" x14ac:dyDescent="0.25">
      <c r="A16" s="4">
        <f t="shared" si="1"/>
        <v>15</v>
      </c>
      <c r="B16" s="4" t="str">
        <f>IF(C16&gt;=Input!$B$5,C16-Input!$B$5,"")</f>
        <v/>
      </c>
      <c r="C16" s="4">
        <f t="shared" si="2"/>
        <v>39</v>
      </c>
      <c r="D16" s="4">
        <f>IF(C16&lt;Input!$C$5,0,IF(AND(C16&gt;=Input!$C$5,C16&lt;Input!$C$5+Input!$C$6),1,2))</f>
        <v>0</v>
      </c>
      <c r="E16" s="5">
        <f>IF(OR(I15&lt;0,D16=2),0,I15*(1+Input!$B$56))</f>
        <v>449392.37853030156</v>
      </c>
      <c r="F16" s="5">
        <f>IF(D16=0,Input!$C$21+Input!$C$24+Input!$C$27,0)</f>
        <v>2400</v>
      </c>
      <c r="G16" s="5">
        <f>'Spouse Details - Actual'!I16</f>
        <v>0</v>
      </c>
      <c r="H16" s="5">
        <f>IF(D16=1,'Spouse Details - Actual'!O16,0)</f>
        <v>0</v>
      </c>
      <c r="I16" s="5">
        <f t="shared" si="0"/>
        <v>451792.37853030156</v>
      </c>
    </row>
    <row r="17" spans="1:9" x14ac:dyDescent="0.25">
      <c r="A17" s="4">
        <f t="shared" si="1"/>
        <v>16</v>
      </c>
      <c r="B17" s="4" t="str">
        <f>IF(C17&gt;=Input!$B$5,C17-Input!$B$5,"")</f>
        <v/>
      </c>
      <c r="C17" s="4">
        <f t="shared" si="2"/>
        <v>40</v>
      </c>
      <c r="D17" s="4">
        <f>IF(C17&lt;Input!$C$5,0,IF(AND(C17&gt;=Input!$C$5,C17&lt;Input!$C$5+Input!$C$6),1,2))</f>
        <v>0</v>
      </c>
      <c r="E17" s="5">
        <f>IF(OR(I16&lt;0,D17=2),0,I16*(1+Input!$B$56))</f>
        <v>456221.71557471628</v>
      </c>
      <c r="F17" s="5">
        <f>IF(D17=0,Input!$C$21+Input!$C$24+Input!$C$27,0)</f>
        <v>2400</v>
      </c>
      <c r="G17" s="5">
        <f>'Spouse Details - Actual'!I17</f>
        <v>0</v>
      </c>
      <c r="H17" s="5">
        <f>IF(D17=1,'Spouse Details - Actual'!O17,0)</f>
        <v>0</v>
      </c>
      <c r="I17" s="5">
        <f t="shared" si="0"/>
        <v>458621.71557471628</v>
      </c>
    </row>
    <row r="18" spans="1:9" x14ac:dyDescent="0.25">
      <c r="A18" s="4">
        <f t="shared" si="1"/>
        <v>17</v>
      </c>
      <c r="B18" s="4" t="str">
        <f>IF(C18&gt;=Input!$B$5,C18-Input!$B$5,"")</f>
        <v/>
      </c>
      <c r="C18" s="4">
        <f t="shared" si="2"/>
        <v>41</v>
      </c>
      <c r="D18" s="4">
        <f>IF(C18&lt;Input!$C$5,0,IF(AND(C18&gt;=Input!$C$5,C18&lt;Input!$C$5+Input!$C$6),1,2))</f>
        <v>0</v>
      </c>
      <c r="E18" s="5">
        <f>IF(OR(I17&lt;0,D18=2),0,I17*(1+Input!$B$56))</f>
        <v>463118.00690388016</v>
      </c>
      <c r="F18" s="5">
        <f>IF(D18=0,Input!$C$21+Input!$C$24+Input!$C$27,0)</f>
        <v>2400</v>
      </c>
      <c r="G18" s="5">
        <f>'Spouse Details - Actual'!I18</f>
        <v>0</v>
      </c>
      <c r="H18" s="5">
        <f>IF(D18=1,'Spouse Details - Actual'!O18,0)</f>
        <v>0</v>
      </c>
      <c r="I18" s="5">
        <f t="shared" si="0"/>
        <v>465518.00690388016</v>
      </c>
    </row>
    <row r="19" spans="1:9" x14ac:dyDescent="0.25">
      <c r="A19" s="4">
        <f t="shared" si="1"/>
        <v>18</v>
      </c>
      <c r="B19" s="4" t="str">
        <f>IF(C19&gt;=Input!$B$5,C19-Input!$B$5,"")</f>
        <v/>
      </c>
      <c r="C19" s="4">
        <f t="shared" si="2"/>
        <v>42</v>
      </c>
      <c r="D19" s="4">
        <f>IF(C19&lt;Input!$C$5,0,IF(AND(C19&gt;=Input!$C$5,C19&lt;Input!$C$5+Input!$C$6),1,2))</f>
        <v>0</v>
      </c>
      <c r="E19" s="5">
        <f>IF(OR(I18&lt;0,D19=2),0,I18*(1+Input!$B$56))</f>
        <v>470081.90893234953</v>
      </c>
      <c r="F19" s="5">
        <f>IF(D19=0,Input!$C$21+Input!$C$24+Input!$C$27,0)</f>
        <v>2400</v>
      </c>
      <c r="G19" s="5">
        <f>'Spouse Details - Actual'!I19</f>
        <v>0</v>
      </c>
      <c r="H19" s="5">
        <f>IF(D19=1,'Spouse Details - Actual'!O19,0)</f>
        <v>0</v>
      </c>
      <c r="I19" s="5">
        <f t="shared" si="0"/>
        <v>472481.90893234953</v>
      </c>
    </row>
    <row r="20" spans="1:9" x14ac:dyDescent="0.25">
      <c r="A20" s="4">
        <f t="shared" si="1"/>
        <v>19</v>
      </c>
      <c r="B20" s="4" t="str">
        <f>IF(C20&gt;=Input!$B$5,C20-Input!$B$5,"")</f>
        <v/>
      </c>
      <c r="C20" s="4">
        <f t="shared" si="2"/>
        <v>43</v>
      </c>
      <c r="D20" s="4">
        <f>IF(C20&lt;Input!$C$5,0,IF(AND(C20&gt;=Input!$C$5,C20&lt;Input!$C$5+Input!$C$6),1,2))</f>
        <v>0</v>
      </c>
      <c r="E20" s="5">
        <f>IF(OR(I19&lt;0,D20=2),0,I19*(1+Input!$B$56))</f>
        <v>477114.08451011765</v>
      </c>
      <c r="F20" s="5">
        <f>IF(D20=0,Input!$C$21+Input!$C$24+Input!$C$27,0)</f>
        <v>2400</v>
      </c>
      <c r="G20" s="5">
        <f>'Spouse Details - Actual'!I20</f>
        <v>0</v>
      </c>
      <c r="H20" s="5">
        <f>IF(D20=1,'Spouse Details - Actual'!O20,0)</f>
        <v>0</v>
      </c>
      <c r="I20" s="5">
        <f t="shared" si="0"/>
        <v>479514.08451011765</v>
      </c>
    </row>
    <row r="21" spans="1:9" x14ac:dyDescent="0.25">
      <c r="A21" s="4">
        <f t="shared" si="1"/>
        <v>20</v>
      </c>
      <c r="B21" s="4" t="str">
        <f>IF(C21&gt;=Input!$B$5,C21-Input!$B$5,"")</f>
        <v/>
      </c>
      <c r="C21" s="4">
        <f t="shared" si="2"/>
        <v>44</v>
      </c>
      <c r="D21" s="4">
        <f>IF(C21&lt;Input!$C$5,0,IF(AND(C21&gt;=Input!$C$5,C21&lt;Input!$C$5+Input!$C$6),1,2))</f>
        <v>0</v>
      </c>
      <c r="E21" s="5">
        <f>IF(OR(I20&lt;0,D21=2),0,I20*(1+Input!$B$56))</f>
        <v>484215.20298570703</v>
      </c>
      <c r="F21" s="5">
        <f>IF(D21=0,Input!$C$21+Input!$C$24+Input!$C$27,0)</f>
        <v>2400</v>
      </c>
      <c r="G21" s="5">
        <f>'Spouse Details - Actual'!I21</f>
        <v>0</v>
      </c>
      <c r="H21" s="5">
        <f>IF(D21=1,'Spouse Details - Actual'!O21,0)</f>
        <v>0</v>
      </c>
      <c r="I21" s="5">
        <f t="shared" si="0"/>
        <v>486615.20298570703</v>
      </c>
    </row>
    <row r="22" spans="1:9" x14ac:dyDescent="0.25">
      <c r="A22" s="4">
        <f t="shared" si="1"/>
        <v>21</v>
      </c>
      <c r="B22" s="4" t="str">
        <f>IF(C22&gt;=Input!$B$5,C22-Input!$B$5,"")</f>
        <v/>
      </c>
      <c r="C22" s="4">
        <f t="shared" si="2"/>
        <v>45</v>
      </c>
      <c r="D22" s="4">
        <f>IF(C22&lt;Input!$C$5,0,IF(AND(C22&gt;=Input!$C$5,C22&lt;Input!$C$5+Input!$C$6),1,2))</f>
        <v>0</v>
      </c>
      <c r="E22" s="5">
        <f>IF(OR(I21&lt;0,D22=2),0,I21*(1+Input!$B$56))</f>
        <v>491385.94026988064</v>
      </c>
      <c r="F22" s="5">
        <f>IF(D22=0,Input!$C$21+Input!$C$24+Input!$C$27,0)</f>
        <v>2400</v>
      </c>
      <c r="G22" s="5">
        <f>'Spouse Details - Actual'!I22</f>
        <v>0</v>
      </c>
      <c r="H22" s="5">
        <f>IF(D22=1,'Spouse Details - Actual'!O22,0)</f>
        <v>0</v>
      </c>
      <c r="I22" s="5">
        <f t="shared" si="0"/>
        <v>493785.94026988064</v>
      </c>
    </row>
    <row r="23" spans="1:9" x14ac:dyDescent="0.25">
      <c r="A23" s="4">
        <f t="shared" si="1"/>
        <v>22</v>
      </c>
      <c r="B23" s="4" t="str">
        <f>IF(C23&gt;=Input!$B$5,C23-Input!$B$5,"")</f>
        <v/>
      </c>
      <c r="C23" s="4">
        <f t="shared" si="2"/>
        <v>46</v>
      </c>
      <c r="D23" s="4">
        <f>IF(C23&lt;Input!$C$5,0,IF(AND(C23&gt;=Input!$C$5,C23&lt;Input!$C$5+Input!$C$6),1,2))</f>
        <v>0</v>
      </c>
      <c r="E23" s="5">
        <f>IF(OR(I22&lt;0,D23=2),0,I22*(1+Input!$B$56))</f>
        <v>498626.97889997746</v>
      </c>
      <c r="F23" s="5">
        <f>IF(D23=0,Input!$C$21+Input!$C$24+Input!$C$27,0)</f>
        <v>2400</v>
      </c>
      <c r="G23" s="5">
        <f>'Spouse Details - Actual'!I23</f>
        <v>0</v>
      </c>
      <c r="H23" s="5">
        <f>IF(D23=1,'Spouse Details - Actual'!O23,0)</f>
        <v>0</v>
      </c>
      <c r="I23" s="5">
        <f t="shared" si="0"/>
        <v>501026.97889997746</v>
      </c>
    </row>
    <row r="24" spans="1:9" x14ac:dyDescent="0.25">
      <c r="A24" s="4">
        <f t="shared" si="1"/>
        <v>23</v>
      </c>
      <c r="B24" s="4" t="str">
        <f>IF(C24&gt;=Input!$B$5,C24-Input!$B$5,"")</f>
        <v/>
      </c>
      <c r="C24" s="4">
        <f t="shared" si="2"/>
        <v>47</v>
      </c>
      <c r="D24" s="4">
        <f>IF(C24&lt;Input!$C$5,0,IF(AND(C24&gt;=Input!$C$5,C24&lt;Input!$C$5+Input!$C$6),1,2))</f>
        <v>0</v>
      </c>
      <c r="E24" s="5">
        <f>IF(OR(I23&lt;0,D24=2),0,I23*(1+Input!$B$56))</f>
        <v>505939.00810487918</v>
      </c>
      <c r="F24" s="5">
        <f>IF(D24=0,Input!$C$21+Input!$C$24+Input!$C$27,0)</f>
        <v>2400</v>
      </c>
      <c r="G24" s="5">
        <f>'Spouse Details - Actual'!I24</f>
        <v>0</v>
      </c>
      <c r="H24" s="5">
        <f>IF(D24=1,'Spouse Details - Actual'!O24,0)</f>
        <v>0</v>
      </c>
      <c r="I24" s="5">
        <f t="shared" si="0"/>
        <v>508339.00810487918</v>
      </c>
    </row>
    <row r="25" spans="1:9" x14ac:dyDescent="0.25">
      <c r="A25" s="4">
        <f t="shared" si="1"/>
        <v>24</v>
      </c>
      <c r="B25" s="4" t="str">
        <f>IF(C25&gt;=Input!$B$5,C25-Input!$B$5,"")</f>
        <v/>
      </c>
      <c r="C25" s="4">
        <f t="shared" si="2"/>
        <v>48</v>
      </c>
      <c r="D25" s="4">
        <f>IF(C25&lt;Input!$C$5,0,IF(AND(C25&gt;=Input!$C$5,C25&lt;Input!$C$5+Input!$C$6),1,2))</f>
        <v>0</v>
      </c>
      <c r="E25" s="5">
        <f>IF(OR(I24&lt;0,D25=2),0,I24*(1+Input!$B$56))</f>
        <v>513322.72387061326</v>
      </c>
      <c r="F25" s="5">
        <f>IF(D25=0,Input!$C$21+Input!$C$24+Input!$C$27,0)</f>
        <v>2400</v>
      </c>
      <c r="G25" s="5">
        <f>'Spouse Details - Actual'!I25</f>
        <v>0</v>
      </c>
      <c r="H25" s="5">
        <f>IF(D25=1,'Spouse Details - Actual'!O25,0)</f>
        <v>0</v>
      </c>
      <c r="I25" s="5">
        <f t="shared" si="0"/>
        <v>515722.72387061326</v>
      </c>
    </row>
    <row r="26" spans="1:9" x14ac:dyDescent="0.25">
      <c r="A26" s="4">
        <f t="shared" si="1"/>
        <v>25</v>
      </c>
      <c r="B26" s="4" t="str">
        <f>IF(C26&gt;=Input!$B$5,C26-Input!$B$5,"")</f>
        <v/>
      </c>
      <c r="C26" s="4">
        <f t="shared" si="2"/>
        <v>49</v>
      </c>
      <c r="D26" s="4">
        <f>IF(C26&lt;Input!$C$5,0,IF(AND(C26&gt;=Input!$C$5,C26&lt;Input!$C$5+Input!$C$6),1,2))</f>
        <v>0</v>
      </c>
      <c r="E26" s="5">
        <f>IF(OR(I25&lt;0,D26=2),0,I25*(1+Input!$B$56))</f>
        <v>520778.82900659967</v>
      </c>
      <c r="F26" s="5">
        <f>IF(D26=0,Input!$C$21+Input!$C$24+Input!$C$27,0)</f>
        <v>2400</v>
      </c>
      <c r="G26" s="5">
        <f>'Spouse Details - Actual'!I26</f>
        <v>0</v>
      </c>
      <c r="H26" s="5">
        <f>IF(D26=1,'Spouse Details - Actual'!O26,0)</f>
        <v>0</v>
      </c>
      <c r="I26" s="5">
        <f t="shared" si="0"/>
        <v>523178.82900659967</v>
      </c>
    </row>
    <row r="27" spans="1:9" x14ac:dyDescent="0.25">
      <c r="A27" s="4">
        <f t="shared" si="1"/>
        <v>26</v>
      </c>
      <c r="B27" s="4" t="str">
        <f>IF(C27&gt;=Input!$B$5,C27-Input!$B$5,"")</f>
        <v/>
      </c>
      <c r="C27" s="4">
        <f t="shared" si="2"/>
        <v>50</v>
      </c>
      <c r="D27" s="4">
        <f>IF(C27&lt;Input!$C$5,0,IF(AND(C27&gt;=Input!$C$5,C27&lt;Input!$C$5+Input!$C$6),1,2))</f>
        <v>0</v>
      </c>
      <c r="E27" s="5">
        <f>IF(OR(I26&lt;0,D27=2),0,I26*(1+Input!$B$56))</f>
        <v>528308.03321254672</v>
      </c>
      <c r="F27" s="5">
        <f>IF(D27=0,Input!$C$21+Input!$C$24+Input!$C$27,0)</f>
        <v>2400</v>
      </c>
      <c r="G27" s="5">
        <f>'Spouse Details - Actual'!I27</f>
        <v>0</v>
      </c>
      <c r="H27" s="5">
        <f>IF(D27=1,'Spouse Details - Actual'!O27,0)</f>
        <v>0</v>
      </c>
      <c r="I27" s="5">
        <f t="shared" si="0"/>
        <v>530708.03321254672</v>
      </c>
    </row>
    <row r="28" spans="1:9" x14ac:dyDescent="0.25">
      <c r="A28" s="4">
        <f t="shared" si="1"/>
        <v>27</v>
      </c>
      <c r="B28" s="4" t="str">
        <f>IF(C28&gt;=Input!$B$5,C28-Input!$B$5,"")</f>
        <v/>
      </c>
      <c r="C28" s="4">
        <f t="shared" si="2"/>
        <v>51</v>
      </c>
      <c r="D28" s="4">
        <f>IF(C28&lt;Input!$C$5,0,IF(AND(C28&gt;=Input!$C$5,C28&lt;Input!$C$5+Input!$C$6),1,2))</f>
        <v>0</v>
      </c>
      <c r="E28" s="5">
        <f>IF(OR(I27&lt;0,D28=2),0,I27*(1+Input!$B$56))</f>
        <v>535911.05314600305</v>
      </c>
      <c r="F28" s="5">
        <f>IF(D28=0,Input!$C$21+Input!$C$24+Input!$C$27,0)</f>
        <v>2400</v>
      </c>
      <c r="G28" s="5">
        <f>'Spouse Details - Actual'!I28</f>
        <v>0</v>
      </c>
      <c r="H28" s="5">
        <f>IF(D28=1,'Spouse Details - Actual'!O28,0)</f>
        <v>0</v>
      </c>
      <c r="I28" s="5">
        <f t="shared" si="0"/>
        <v>538311.05314600305</v>
      </c>
    </row>
    <row r="29" spans="1:9" x14ac:dyDescent="0.25">
      <c r="A29" s="4">
        <f t="shared" si="1"/>
        <v>28</v>
      </c>
      <c r="B29" s="4" t="str">
        <f>IF(C29&gt;=Input!$B$5,C29-Input!$B$5,"")</f>
        <v/>
      </c>
      <c r="C29" s="4">
        <f t="shared" si="2"/>
        <v>52</v>
      </c>
      <c r="D29" s="4">
        <f>IF(C29&lt;Input!$C$5,0,IF(AND(C29&gt;=Input!$C$5,C29&lt;Input!$C$5+Input!$C$6),1,2))</f>
        <v>0</v>
      </c>
      <c r="E29" s="5">
        <f>IF(OR(I28&lt;0,D29=2),0,I28*(1+Input!$B$56))</f>
        <v>543588.61249057169</v>
      </c>
      <c r="F29" s="5">
        <f>IF(D29=0,Input!$C$21+Input!$C$24+Input!$C$27,0)</f>
        <v>2400</v>
      </c>
      <c r="G29" s="5">
        <f>'Spouse Details - Actual'!I29</f>
        <v>0</v>
      </c>
      <c r="H29" s="5">
        <f>IF(D29=1,'Spouse Details - Actual'!O29,0)</f>
        <v>0</v>
      </c>
      <c r="I29" s="5">
        <f t="shared" si="0"/>
        <v>545988.61249057169</v>
      </c>
    </row>
    <row r="30" spans="1:9" x14ac:dyDescent="0.25">
      <c r="A30" s="4">
        <f t="shared" si="1"/>
        <v>29</v>
      </c>
      <c r="B30" s="4" t="str">
        <f>IF(C30&gt;=Input!$B$5,C30-Input!$B$5,"")</f>
        <v/>
      </c>
      <c r="C30" s="4">
        <f t="shared" si="2"/>
        <v>53</v>
      </c>
      <c r="D30" s="4">
        <f>IF(C30&lt;Input!$C$5,0,IF(AND(C30&gt;=Input!$C$5,C30&lt;Input!$C$5+Input!$C$6),1,2))</f>
        <v>0</v>
      </c>
      <c r="E30" s="5">
        <f>IF(OR(I29&lt;0,D30=2),0,I29*(1+Input!$B$56))</f>
        <v>551341.44202479301</v>
      </c>
      <c r="F30" s="5">
        <f>IF(D30=0,Input!$C$21+Input!$C$24+Input!$C$27,0)</f>
        <v>2400</v>
      </c>
      <c r="G30" s="5">
        <f>'Spouse Details - Actual'!I30</f>
        <v>0</v>
      </c>
      <c r="H30" s="5">
        <f>IF(D30=1,'Spouse Details - Actual'!O30,0)</f>
        <v>0</v>
      </c>
      <c r="I30" s="5">
        <f t="shared" si="0"/>
        <v>553741.44202479301</v>
      </c>
    </row>
    <row r="31" spans="1:9" x14ac:dyDescent="0.25">
      <c r="A31" s="4">
        <f t="shared" si="1"/>
        <v>30</v>
      </c>
      <c r="B31" s="4" t="str">
        <f>IF(C31&gt;=Input!$B$5,C31-Input!$B$5,"")</f>
        <v/>
      </c>
      <c r="C31" s="4">
        <f t="shared" si="2"/>
        <v>54</v>
      </c>
      <c r="D31" s="4">
        <f>IF(C31&lt;Input!$C$5,0,IF(AND(C31&gt;=Input!$C$5,C31&lt;Input!$C$5+Input!$C$6),1,2))</f>
        <v>0</v>
      </c>
      <c r="E31" s="5">
        <f>IF(OR(I30&lt;0,D31=2),0,I30*(1+Input!$B$56))</f>
        <v>559170.27969170269</v>
      </c>
      <c r="F31" s="5">
        <f>IF(D31=0,Input!$C$21+Input!$C$24+Input!$C$27,0)</f>
        <v>2400</v>
      </c>
      <c r="G31" s="5">
        <f>'Spouse Details - Actual'!I31</f>
        <v>0</v>
      </c>
      <c r="H31" s="5">
        <f>IF(D31=1,'Spouse Details - Actual'!O31,0)</f>
        <v>0</v>
      </c>
      <c r="I31" s="5">
        <f t="shared" si="0"/>
        <v>561570.27969170269</v>
      </c>
    </row>
    <row r="32" spans="1:9" x14ac:dyDescent="0.25">
      <c r="A32" s="4">
        <f t="shared" si="1"/>
        <v>31</v>
      </c>
      <c r="B32" s="4" t="str">
        <f>IF(C32&gt;=Input!$B$5,C32-Input!$B$5,"")</f>
        <v/>
      </c>
      <c r="C32" s="4">
        <f t="shared" si="2"/>
        <v>55</v>
      </c>
      <c r="D32" s="4">
        <f>IF(C32&lt;Input!$C$5,0,IF(AND(C32&gt;=Input!$C$5,C32&lt;Input!$C$5+Input!$C$6),1,2))</f>
        <v>0</v>
      </c>
      <c r="E32" s="5">
        <f>IF(OR(I31&lt;0,D32=2),0,I31*(1+Input!$B$56))</f>
        <v>567075.87066907226</v>
      </c>
      <c r="F32" s="5">
        <f>IF(D32=0,Input!$C$21+Input!$C$24+Input!$C$27,0)</f>
        <v>2400</v>
      </c>
      <c r="G32" s="5">
        <f>'Spouse Details - Actual'!I32</f>
        <v>0</v>
      </c>
      <c r="H32" s="5">
        <f>IF(D32=1,'Spouse Details - Actual'!O32,0)</f>
        <v>0</v>
      </c>
      <c r="I32" s="5">
        <f t="shared" si="0"/>
        <v>569475.87066907226</v>
      </c>
    </row>
    <row r="33" spans="1:9" x14ac:dyDescent="0.25">
      <c r="A33" s="4">
        <f t="shared" si="1"/>
        <v>32</v>
      </c>
      <c r="B33" s="4" t="str">
        <f>IF(C33&gt;=Input!$B$5,C33-Input!$B$5,"")</f>
        <v/>
      </c>
      <c r="C33" s="4">
        <f t="shared" si="2"/>
        <v>56</v>
      </c>
      <c r="D33" s="4">
        <f>IF(C33&lt;Input!$C$5,0,IF(AND(C33&gt;=Input!$C$5,C33&lt;Input!$C$5+Input!$C$6),1,2))</f>
        <v>0</v>
      </c>
      <c r="E33" s="5">
        <f>IF(OR(I32&lt;0,D33=2),0,I32*(1+Input!$B$56))</f>
        <v>575058.96744033764</v>
      </c>
      <c r="F33" s="5">
        <f>IF(D33=0,Input!$C$21+Input!$C$24+Input!$C$27,0)</f>
        <v>2400</v>
      </c>
      <c r="G33" s="5">
        <f>'Spouse Details - Actual'!I33</f>
        <v>0</v>
      </c>
      <c r="H33" s="5">
        <f>IF(D33=1,'Spouse Details - Actual'!O33,0)</f>
        <v>0</v>
      </c>
      <c r="I33" s="5">
        <f t="shared" si="0"/>
        <v>577458.96744033764</v>
      </c>
    </row>
    <row r="34" spans="1:9" x14ac:dyDescent="0.25">
      <c r="A34" s="4">
        <f t="shared" si="1"/>
        <v>33</v>
      </c>
      <c r="B34" s="4" t="str">
        <f>IF(C34&gt;=Input!$B$5,C34-Input!$B$5,"")</f>
        <v/>
      </c>
      <c r="C34" s="4">
        <f t="shared" si="2"/>
        <v>57</v>
      </c>
      <c r="D34" s="4">
        <f>IF(C34&lt;Input!$C$5,0,IF(AND(C34&gt;=Input!$C$5,C34&lt;Input!$C$5+Input!$C$6),1,2))</f>
        <v>0</v>
      </c>
      <c r="E34" s="5">
        <f>IF(OR(I33&lt;0,D34=2),0,I33*(1+Input!$B$56))</f>
        <v>583120.32986622327</v>
      </c>
      <c r="F34" s="5">
        <f>IF(D34=0,Input!$C$21+Input!$C$24+Input!$C$27,0)</f>
        <v>2400</v>
      </c>
      <c r="G34" s="5">
        <f>'Spouse Details - Actual'!I34</f>
        <v>0</v>
      </c>
      <c r="H34" s="5">
        <f>IF(D34=1,'Spouse Details - Actual'!O34,0)</f>
        <v>0</v>
      </c>
      <c r="I34" s="5">
        <f t="shared" si="0"/>
        <v>585520.32986622327</v>
      </c>
    </row>
    <row r="35" spans="1:9" x14ac:dyDescent="0.25">
      <c r="A35" s="4">
        <f t="shared" si="1"/>
        <v>34</v>
      </c>
      <c r="B35" s="4" t="str">
        <f>IF(C35&gt;=Input!$B$5,C35-Input!$B$5,"")</f>
        <v/>
      </c>
      <c r="C35" s="4">
        <f t="shared" si="2"/>
        <v>58</v>
      </c>
      <c r="D35" s="4">
        <f>IF(C35&lt;Input!$C$5,0,IF(AND(C35&gt;=Input!$C$5,C35&lt;Input!$C$5+Input!$C$6),1,2))</f>
        <v>0</v>
      </c>
      <c r="E35" s="5">
        <f>IF(OR(I34&lt;0,D35=2),0,I34*(1+Input!$B$56))</f>
        <v>591260.72525706852</v>
      </c>
      <c r="F35" s="5">
        <f>IF(D35=0,Input!$C$21+Input!$C$24+Input!$C$27,0)</f>
        <v>2400</v>
      </c>
      <c r="G35" s="5">
        <f>'Spouse Details - Actual'!I35</f>
        <v>0</v>
      </c>
      <c r="H35" s="5">
        <f>IF(D35=1,'Spouse Details - Actual'!O35,0)</f>
        <v>0</v>
      </c>
      <c r="I35" s="5">
        <f t="shared" si="0"/>
        <v>593660.72525706852</v>
      </c>
    </row>
    <row r="36" spans="1:9" x14ac:dyDescent="0.25">
      <c r="A36" s="4">
        <f t="shared" si="1"/>
        <v>35</v>
      </c>
      <c r="B36" s="4" t="str">
        <f>IF(C36&gt;=Input!$B$5,C36-Input!$B$5,"")</f>
        <v/>
      </c>
      <c r="C36" s="4">
        <f t="shared" si="2"/>
        <v>59</v>
      </c>
      <c r="D36" s="4">
        <f>IF(C36&lt;Input!$C$5,0,IF(AND(C36&gt;=Input!$C$5,C36&lt;Input!$C$5+Input!$C$6),1,2))</f>
        <v>0</v>
      </c>
      <c r="E36" s="5">
        <f>IF(OR(I35&lt;0,D36=2),0,I35*(1+Input!$B$56))</f>
        <v>599480.9284458633</v>
      </c>
      <c r="F36" s="5">
        <f>IF(D36=0,Input!$C$21+Input!$C$24+Input!$C$27,0)</f>
        <v>2400</v>
      </c>
      <c r="G36" s="5">
        <f>'Spouse Details - Actual'!I36</f>
        <v>0</v>
      </c>
      <c r="H36" s="5">
        <f>IF(D36=1,'Spouse Details - Actual'!O36,0)</f>
        <v>0</v>
      </c>
      <c r="I36" s="5">
        <f t="shared" si="0"/>
        <v>601880.9284458633</v>
      </c>
    </row>
    <row r="37" spans="1:9" x14ac:dyDescent="0.25">
      <c r="A37" s="4">
        <f t="shared" si="1"/>
        <v>36</v>
      </c>
      <c r="B37" s="4" t="str">
        <f>IF(C37&gt;=Input!$B$5,C37-Input!$B$5,"")</f>
        <v/>
      </c>
      <c r="C37" s="4">
        <f t="shared" si="2"/>
        <v>60</v>
      </c>
      <c r="D37" s="4">
        <f>IF(C37&lt;Input!$C$5,0,IF(AND(C37&gt;=Input!$C$5,C37&lt;Input!$C$5+Input!$C$6),1,2))</f>
        <v>0</v>
      </c>
      <c r="E37" s="5">
        <f>IF(OR(I36&lt;0,D37=2),0,I36*(1+Input!$B$56))</f>
        <v>607781.72186199925</v>
      </c>
      <c r="F37" s="5">
        <f>IF(D37=0,Input!$C$21+Input!$C$24+Input!$C$27,0)</f>
        <v>2400</v>
      </c>
      <c r="G37" s="5">
        <f>'Spouse Details - Actual'!I37</f>
        <v>0</v>
      </c>
      <c r="H37" s="5">
        <f>IF(D37=1,'Spouse Details - Actual'!O37,0)</f>
        <v>0</v>
      </c>
      <c r="I37" s="5">
        <f t="shared" si="0"/>
        <v>610181.72186199925</v>
      </c>
    </row>
    <row r="38" spans="1:9" x14ac:dyDescent="0.25">
      <c r="A38" s="4">
        <f t="shared" si="1"/>
        <v>37</v>
      </c>
      <c r="B38" s="4" t="str">
        <f>IF(C38&gt;=Input!$B$5,C38-Input!$B$5,"")</f>
        <v/>
      </c>
      <c r="C38" s="4">
        <f t="shared" si="2"/>
        <v>61</v>
      </c>
      <c r="D38" s="4">
        <f>IF(C38&lt;Input!$C$5,0,IF(AND(C38&gt;=Input!$C$5,C38&lt;Input!$C$5+Input!$C$6),1,2))</f>
        <v>0</v>
      </c>
      <c r="E38" s="5">
        <f>IF(OR(I37&lt;0,D38=2),0,I37*(1+Input!$B$56))</f>
        <v>616163.89560574433</v>
      </c>
      <c r="F38" s="5">
        <f>IF(D38=0,Input!$C$21+Input!$C$24+Input!$C$27,0)</f>
        <v>2400</v>
      </c>
      <c r="G38" s="5">
        <f>'Spouse Details - Actual'!I38</f>
        <v>0</v>
      </c>
      <c r="H38" s="5">
        <f>IF(D38=1,'Spouse Details - Actual'!O38,0)</f>
        <v>0</v>
      </c>
      <c r="I38" s="5">
        <f t="shared" si="0"/>
        <v>618563.89560574433</v>
      </c>
    </row>
    <row r="39" spans="1:9" x14ac:dyDescent="0.25">
      <c r="A39" s="4">
        <f t="shared" si="1"/>
        <v>38</v>
      </c>
      <c r="B39" s="4" t="str">
        <f>IF(C39&gt;=Input!$B$5,C39-Input!$B$5,"")</f>
        <v/>
      </c>
      <c r="C39" s="4">
        <f>C38+1</f>
        <v>62</v>
      </c>
      <c r="D39" s="4">
        <f>IF(C39&lt;Input!$C$5,0,IF(AND(C39&gt;=Input!$C$5,C39&lt;Input!$C$5+Input!$C$6),1,2))</f>
        <v>0</v>
      </c>
      <c r="E39" s="5">
        <f>IF(OR(I38&lt;0,D39=2),0,I38*(1+Input!$B$56))</f>
        <v>624628.24752344773</v>
      </c>
      <c r="F39" s="5">
        <f>IF(D39=0,Input!$C$21+Input!$C$24+Input!$C$27,0)</f>
        <v>2400</v>
      </c>
      <c r="G39" s="5">
        <f>'Spouse Details - Actual'!I39</f>
        <v>0</v>
      </c>
      <c r="H39" s="5">
        <f>IF(D39=1,'Spouse Details - Actual'!O39,0)</f>
        <v>0</v>
      </c>
      <c r="I39" s="5">
        <f t="shared" si="0"/>
        <v>627028.24752344773</v>
      </c>
    </row>
    <row r="40" spans="1:9" x14ac:dyDescent="0.25">
      <c r="A40" s="4">
        <f t="shared" si="1"/>
        <v>39</v>
      </c>
      <c r="B40" s="4" t="str">
        <f>IF(C40&gt;=Input!$B$5,C40-Input!$B$5,"")</f>
        <v/>
      </c>
      <c r="C40" s="4">
        <f t="shared" si="2"/>
        <v>63</v>
      </c>
      <c r="D40" s="4">
        <f>IF(C40&lt;Input!$C$5,0,IF(AND(C40&gt;=Input!$C$5,C40&lt;Input!$C$5+Input!$C$6),1,2))</f>
        <v>0</v>
      </c>
      <c r="E40" s="5">
        <f>IF(OR(I39&lt;0,D40=2),0,I39*(1+Input!$B$56))</f>
        <v>633175.58328348154</v>
      </c>
      <c r="F40" s="5">
        <f>IF(D40=0,Input!$C$21+Input!$C$24+Input!$C$27,0)</f>
        <v>2400</v>
      </c>
      <c r="G40" s="5">
        <f>'Spouse Details - Actual'!I40</f>
        <v>0</v>
      </c>
      <c r="H40" s="5">
        <f>IF(D40=1,'Spouse Details - Actual'!O40,0)</f>
        <v>0</v>
      </c>
      <c r="I40" s="5">
        <f t="shared" si="0"/>
        <v>635575.58328348154</v>
      </c>
    </row>
    <row r="41" spans="1:9" x14ac:dyDescent="0.25">
      <c r="A41" s="4">
        <f t="shared" si="1"/>
        <v>40</v>
      </c>
      <c r="B41" s="4" t="str">
        <f>IF(C41&gt;=Input!$B$5,C41-Input!$B$5,"")</f>
        <v/>
      </c>
      <c r="C41" s="4">
        <f t="shared" si="2"/>
        <v>64</v>
      </c>
      <c r="D41" s="4">
        <f>IF(C41&lt;Input!$C$5,0,IF(AND(C41&gt;=Input!$C$5,C41&lt;Input!$C$5+Input!$C$6),1,2))</f>
        <v>0</v>
      </c>
      <c r="E41" s="5">
        <f>IF(OR(I40&lt;0,D41=2),0,I40*(1+Input!$B$56))</f>
        <v>641806.71645292745</v>
      </c>
      <c r="F41" s="5">
        <f>IF(D41=0,Input!$C$21+Input!$C$24+Input!$C$27,0)</f>
        <v>2400</v>
      </c>
      <c r="G41" s="5">
        <f>'Spouse Details - Actual'!I41</f>
        <v>0</v>
      </c>
      <c r="H41" s="5">
        <f>IF(D41=1,'Spouse Details - Actual'!O41,0)</f>
        <v>0</v>
      </c>
      <c r="I41" s="5">
        <f t="shared" si="0"/>
        <v>644206.71645292745</v>
      </c>
    </row>
    <row r="42" spans="1:9" x14ac:dyDescent="0.25">
      <c r="A42" s="4">
        <f t="shared" si="1"/>
        <v>41</v>
      </c>
      <c r="B42" s="4">
        <f>IF(C42&gt;=Input!$B$5,C42-Input!$B$5,"")</f>
        <v>0</v>
      </c>
      <c r="C42" s="4">
        <f t="shared" si="2"/>
        <v>65</v>
      </c>
      <c r="D42" s="4">
        <f>IF(C42&lt;Input!$C$5,0,IF(AND(C42&gt;=Input!$C$5,C42&lt;Input!$C$5+Input!$C$6),1,2))</f>
        <v>1</v>
      </c>
      <c r="E42" s="5">
        <f>IF(OR(I41&lt;0,D42=2),0,I41*(1+Input!$B$56))</f>
        <v>650522.46857501497</v>
      </c>
      <c r="F42" s="5">
        <f>IF(D42=0,Input!$C$21+Input!$C$24+Input!$C$27,0)</f>
        <v>0</v>
      </c>
      <c r="G42" s="5">
        <f>'Spouse Details - Actual'!I42</f>
        <v>50000</v>
      </c>
      <c r="H42" s="5">
        <f>IF(D42=1,'Spouse Details - Actual'!O42,0)</f>
        <v>36853.760000000002</v>
      </c>
      <c r="I42" s="5">
        <f t="shared" si="0"/>
        <v>613668.70857501496</v>
      </c>
    </row>
    <row r="43" spans="1:9" x14ac:dyDescent="0.25">
      <c r="A43" s="4">
        <f t="shared" si="1"/>
        <v>42</v>
      </c>
      <c r="B43" s="4">
        <f>IF(C43&gt;=Input!$B$5,C43-Input!$B$5,"")</f>
        <v>1</v>
      </c>
      <c r="C43" s="4">
        <f t="shared" si="2"/>
        <v>66</v>
      </c>
      <c r="D43" s="4">
        <f>IF(C43&lt;Input!$C$5,0,IF(AND(C43&gt;=Input!$C$5,C43&lt;Input!$C$5+Input!$C$6),1,2))</f>
        <v>1</v>
      </c>
      <c r="E43" s="5">
        <f>IF(OR(I42&lt;0,D43=2),0,I42*(1+Input!$B$56))</f>
        <v>619685.06846300524</v>
      </c>
      <c r="F43" s="5">
        <f>IF(D43=0,Input!$C$21+Input!$C$24+Input!$C$27,0)</f>
        <v>0</v>
      </c>
      <c r="G43" s="5">
        <f>'Spouse Details - Actual'!I43</f>
        <v>50000</v>
      </c>
      <c r="H43" s="5">
        <f>IF(D43=1,'Spouse Details - Actual'!O43,0)</f>
        <v>36727.816470588237</v>
      </c>
      <c r="I43" s="5">
        <f t="shared" si="0"/>
        <v>582957.25199241703</v>
      </c>
    </row>
    <row r="44" spans="1:9" x14ac:dyDescent="0.25">
      <c r="A44" s="4">
        <f t="shared" si="1"/>
        <v>43</v>
      </c>
      <c r="B44" s="4">
        <f>IF(C44&gt;=Input!$B$5,C44-Input!$B$5,"")</f>
        <v>2</v>
      </c>
      <c r="C44" s="4">
        <f t="shared" si="2"/>
        <v>67</v>
      </c>
      <c r="D44" s="4">
        <f>IF(C44&lt;Input!$C$5,0,IF(AND(C44&gt;=Input!$C$5,C44&lt;Input!$C$5+Input!$C$6),1,2))</f>
        <v>1</v>
      </c>
      <c r="E44" s="5">
        <f>IF(OR(I43&lt;0,D44=2),0,I43*(1+Input!$B$56))</f>
        <v>588672.51916881325</v>
      </c>
      <c r="F44" s="5">
        <f>IF(D44=0,Input!$C$21+Input!$C$24+Input!$C$27,0)</f>
        <v>0</v>
      </c>
      <c r="G44" s="5">
        <f>'Spouse Details - Actual'!I44</f>
        <v>50000</v>
      </c>
      <c r="H44" s="5">
        <f>IF(D44=1,'Spouse Details - Actual'!O44,0)</f>
        <v>36600.638200692039</v>
      </c>
      <c r="I44" s="5">
        <f t="shared" si="0"/>
        <v>552071.88096812123</v>
      </c>
    </row>
    <row r="45" spans="1:9" x14ac:dyDescent="0.25">
      <c r="A45" s="4">
        <f t="shared" si="1"/>
        <v>44</v>
      </c>
      <c r="B45" s="4">
        <f>IF(C45&gt;=Input!$B$5,C45-Input!$B$5,"")</f>
        <v>3</v>
      </c>
      <c r="C45" s="4">
        <f t="shared" si="2"/>
        <v>68</v>
      </c>
      <c r="D45" s="4">
        <f>IF(C45&lt;Input!$C$5,0,IF(AND(C45&gt;=Input!$C$5,C45&lt;Input!$C$5+Input!$C$6),1,2))</f>
        <v>1</v>
      </c>
      <c r="E45" s="5">
        <f>IF(OR(I44&lt;0,D45=2),0,I44*(1+Input!$B$56))</f>
        <v>557484.35038937733</v>
      </c>
      <c r="F45" s="5">
        <f>IF(D45=0,Input!$C$21+Input!$C$24+Input!$C$27,0)</f>
        <v>0</v>
      </c>
      <c r="G45" s="5">
        <f>'Spouse Details - Actual'!I45</f>
        <v>50000</v>
      </c>
      <c r="H45" s="5">
        <f>IF(D45=1,'Spouse Details - Actual'!O45,0)</f>
        <v>36472.213085012554</v>
      </c>
      <c r="I45" s="5">
        <f t="shared" si="0"/>
        <v>521012.13730436476</v>
      </c>
    </row>
    <row r="46" spans="1:9" x14ac:dyDescent="0.25">
      <c r="A46" s="4">
        <f t="shared" si="1"/>
        <v>45</v>
      </c>
      <c r="B46" s="4">
        <f>IF(C46&gt;=Input!$B$5,C46-Input!$B$5,"")</f>
        <v>4</v>
      </c>
      <c r="C46" s="4">
        <f t="shared" si="2"/>
        <v>69</v>
      </c>
      <c r="D46" s="4">
        <f>IF(C46&lt;Input!$C$5,0,IF(AND(C46&gt;=Input!$C$5,C46&lt;Input!$C$5+Input!$C$6),1,2))</f>
        <v>1</v>
      </c>
      <c r="E46" s="5">
        <f>IF(OR(I45&lt;0,D46=2),0,I45*(1+Input!$B$56))</f>
        <v>526120.09943479975</v>
      </c>
      <c r="F46" s="5">
        <f>IF(D46=0,Input!$C$21+Input!$C$24+Input!$C$27,0)</f>
        <v>0</v>
      </c>
      <c r="G46" s="5">
        <f>'Spouse Details - Actual'!I46</f>
        <v>50000</v>
      </c>
      <c r="H46" s="5">
        <f>IF(D46=1,'Spouse Details - Actual'!O46,0)</f>
        <v>36342.528899571502</v>
      </c>
      <c r="I46" s="5">
        <f t="shared" si="0"/>
        <v>489777.57053522824</v>
      </c>
    </row>
    <row r="47" spans="1:9" x14ac:dyDescent="0.25">
      <c r="A47" s="4">
        <f t="shared" si="1"/>
        <v>46</v>
      </c>
      <c r="B47" s="4">
        <f>IF(C47&gt;=Input!$B$5,C47-Input!$B$5,"")</f>
        <v>5</v>
      </c>
      <c r="C47" s="4">
        <f t="shared" si="2"/>
        <v>70</v>
      </c>
      <c r="D47" s="4">
        <f>IF(C47&lt;Input!$C$5,0,IF(AND(C47&gt;=Input!$C$5,C47&lt;Input!$C$5+Input!$C$6),1,2))</f>
        <v>1</v>
      </c>
      <c r="E47" s="5">
        <f>IF(OR(I46&lt;0,D47=2),0,I46*(1+Input!$B$56))</f>
        <v>494579.31142282853</v>
      </c>
      <c r="F47" s="5">
        <f>IF(D47=0,Input!$C$21+Input!$C$24+Input!$C$27,0)</f>
        <v>0</v>
      </c>
      <c r="G47" s="5">
        <f>'Spouse Details - Actual'!I47</f>
        <v>50000</v>
      </c>
      <c r="H47" s="5">
        <f>IF(D47=1,'Spouse Details - Actual'!O47,0)</f>
        <v>36211.573300547694</v>
      </c>
      <c r="I47" s="5">
        <f t="shared" si="0"/>
        <v>458367.7381222808</v>
      </c>
    </row>
    <row r="48" spans="1:9" x14ac:dyDescent="0.25">
      <c r="A48" s="4">
        <f t="shared" si="1"/>
        <v>47</v>
      </c>
      <c r="B48" s="4">
        <f>IF(C48&gt;=Input!$B$5,C48-Input!$B$5,"")</f>
        <v>6</v>
      </c>
      <c r="C48" s="4">
        <f t="shared" si="2"/>
        <v>71</v>
      </c>
      <c r="D48" s="4">
        <f>IF(C48&lt;Input!$C$5,0,IF(AND(C48&gt;=Input!$C$5,C48&lt;Input!$C$5+Input!$C$6),1,2))</f>
        <v>1</v>
      </c>
      <c r="E48" s="5">
        <f>IF(OR(I47&lt;0,D48=2),0,I47*(1+Input!$B$56))</f>
        <v>462861.53947642079</v>
      </c>
      <c r="F48" s="5">
        <f>IF(D48=0,Input!$C$21+Input!$C$24+Input!$C$27,0)</f>
        <v>0</v>
      </c>
      <c r="G48" s="5">
        <f>'Spouse Details - Actual'!I48</f>
        <v>50000</v>
      </c>
      <c r="H48" s="5">
        <f>IF(D48=1,'Spouse Details - Actual'!O48,0)</f>
        <v>36079.33382310209</v>
      </c>
      <c r="I48" s="5">
        <f t="shared" si="0"/>
        <v>426782.20565331867</v>
      </c>
    </row>
    <row r="49" spans="1:9" x14ac:dyDescent="0.25">
      <c r="A49" s="4">
        <f t="shared" si="1"/>
        <v>48</v>
      </c>
      <c r="B49" s="4">
        <f>IF(C49&gt;=Input!$B$5,C49-Input!$B$5,"")</f>
        <v>7</v>
      </c>
      <c r="C49" s="4">
        <f t="shared" si="2"/>
        <v>72</v>
      </c>
      <c r="D49" s="4">
        <f>IF(C49&lt;Input!$C$5,0,IF(AND(C49&gt;=Input!$C$5,C49&lt;Input!$C$5+Input!$C$6),1,2))</f>
        <v>1</v>
      </c>
      <c r="E49" s="5">
        <f>IF(OR(I48&lt;0,D49=2),0,I48*(1+Input!$B$56))</f>
        <v>430966.34492442961</v>
      </c>
      <c r="F49" s="5">
        <f>IF(D49=0,Input!$C$21+Input!$C$24+Input!$C$27,0)</f>
        <v>0</v>
      </c>
      <c r="G49" s="5">
        <f>'Spouse Details - Actual'!I49</f>
        <v>50000</v>
      </c>
      <c r="H49" s="5">
        <f>IF(D49=1,'Spouse Details - Actual'!O49,0)</f>
        <v>35945.797880191327</v>
      </c>
      <c r="I49" s="5">
        <f t="shared" si="0"/>
        <v>395020.54704423831</v>
      </c>
    </row>
    <row r="50" spans="1:9" x14ac:dyDescent="0.25">
      <c r="A50" s="4">
        <f t="shared" si="1"/>
        <v>49</v>
      </c>
      <c r="B50" s="4">
        <f>IF(C50&gt;=Input!$B$5,C50-Input!$B$5,"")</f>
        <v>8</v>
      </c>
      <c r="C50" s="4">
        <f t="shared" si="2"/>
        <v>73</v>
      </c>
      <c r="D50" s="4">
        <f>IF(C50&lt;Input!$C$5,0,IF(AND(C50&gt;=Input!$C$5,C50&lt;Input!$C$5+Input!$C$6),1,2))</f>
        <v>1</v>
      </c>
      <c r="E50" s="5">
        <f>IF(OR(I49&lt;0,D50=2),0,I49*(1+Input!$B$56))</f>
        <v>398893.29750545631</v>
      </c>
      <c r="F50" s="5">
        <f>IF(D50=0,Input!$C$21+Input!$C$24+Input!$C$27,0)</f>
        <v>0</v>
      </c>
      <c r="G50" s="5">
        <f>'Spouse Details - Actual'!I50</f>
        <v>50000</v>
      </c>
      <c r="H50" s="5">
        <f>IF(D50=1,'Spouse Details - Actual'!O50,0)</f>
        <v>35810.95276136967</v>
      </c>
      <c r="I50" s="5">
        <f t="shared" si="0"/>
        <v>363082.34474408661</v>
      </c>
    </row>
    <row r="51" spans="1:9" x14ac:dyDescent="0.25">
      <c r="A51" s="4">
        <f t="shared" si="1"/>
        <v>50</v>
      </c>
      <c r="B51" s="4">
        <f>IF(C51&gt;=Input!$B$5,C51-Input!$B$5,"")</f>
        <v>9</v>
      </c>
      <c r="C51" s="4">
        <f t="shared" si="2"/>
        <v>74</v>
      </c>
      <c r="D51" s="4">
        <f>IF(C51&lt;Input!$C$5,0,IF(AND(C51&gt;=Input!$C$5,C51&lt;Input!$C$5+Input!$C$6),1,2))</f>
        <v>1</v>
      </c>
      <c r="E51" s="5">
        <f>IF(OR(I50&lt;0,D51=2),0,I50*(1+Input!$B$56))</f>
        <v>366641.97557491099</v>
      </c>
      <c r="F51" s="5">
        <f>IF(D51=0,Input!$C$21+Input!$C$24+Input!$C$27,0)</f>
        <v>0</v>
      </c>
      <c r="G51" s="5">
        <f>'Spouse Details - Actual'!I51</f>
        <v>50000</v>
      </c>
      <c r="H51" s="5">
        <f>IF(D51=1,'Spouse Details - Actual'!O51,0)</f>
        <v>35674.78563157918</v>
      </c>
      <c r="I51" s="5">
        <f t="shared" si="0"/>
        <v>330967.18994333182</v>
      </c>
    </row>
    <row r="52" spans="1:9" x14ac:dyDescent="0.25">
      <c r="A52" s="4">
        <f t="shared" si="1"/>
        <v>51</v>
      </c>
      <c r="B52" s="4">
        <f>IF(C52&gt;=Input!$B$5,C52-Input!$B$5,"")</f>
        <v>10</v>
      </c>
      <c r="C52" s="4">
        <f t="shared" si="2"/>
        <v>75</v>
      </c>
      <c r="D52" s="4">
        <f>IF(C52&lt;Input!$C$5,0,IF(AND(C52&gt;=Input!$C$5,C52&lt;Input!$C$5+Input!$C$6),1,2))</f>
        <v>1</v>
      </c>
      <c r="E52" s="5">
        <f>IF(OR(I51&lt;0,D52=2),0,I51*(1+Input!$B$56))</f>
        <v>334211.96631532523</v>
      </c>
      <c r="F52" s="5">
        <f>IF(D52=0,Input!$C$21+Input!$C$24+Input!$C$27,0)</f>
        <v>0</v>
      </c>
      <c r="G52" s="5">
        <f>'Spouse Details - Actual'!I52</f>
        <v>50000</v>
      </c>
      <c r="H52" s="5">
        <f>IF(D52=1,'Spouse Details - Actual'!O52,0)</f>
        <v>35537.283529927998</v>
      </c>
      <c r="I52" s="5">
        <f t="shared" si="0"/>
        <v>298674.68278539722</v>
      </c>
    </row>
    <row r="53" spans="1:9" x14ac:dyDescent="0.25">
      <c r="A53" s="4">
        <f t="shared" si="1"/>
        <v>52</v>
      </c>
      <c r="B53" s="4">
        <f>IF(C53&gt;=Input!$B$5,C53-Input!$B$5,"")</f>
        <v>11</v>
      </c>
      <c r="C53" s="4">
        <f t="shared" si="2"/>
        <v>76</v>
      </c>
      <c r="D53" s="4">
        <f>IF(C53&lt;Input!$C$5,0,IF(AND(C53&gt;=Input!$C$5,C53&lt;Input!$C$5+Input!$C$6),1,2))</f>
        <v>1</v>
      </c>
      <c r="E53" s="5">
        <f>IF(OR(I52&lt;0,D53=2),0,I52*(1+Input!$B$56))</f>
        <v>301602.8659499599</v>
      </c>
      <c r="F53" s="5">
        <f>IF(D53=0,Input!$C$21+Input!$C$24+Input!$C$27,0)</f>
        <v>0</v>
      </c>
      <c r="G53" s="5">
        <f>'Spouse Details - Actual'!I53</f>
        <v>50000</v>
      </c>
      <c r="H53" s="5">
        <f>IF(D53=1,'Spouse Details - Actual'!O53,0)</f>
        <v>35398.433368456703</v>
      </c>
      <c r="I53" s="5">
        <f t="shared" si="0"/>
        <v>266204.43258150318</v>
      </c>
    </row>
    <row r="54" spans="1:9" x14ac:dyDescent="0.25">
      <c r="A54" s="4">
        <f t="shared" si="1"/>
        <v>53</v>
      </c>
      <c r="B54" s="4">
        <f>IF(C54&gt;=Input!$B$5,C54-Input!$B$5,"")</f>
        <v>12</v>
      </c>
      <c r="C54" s="4">
        <f t="shared" si="2"/>
        <v>77</v>
      </c>
      <c r="D54" s="4">
        <f>IF(C54&lt;Input!$C$5,0,IF(AND(C54&gt;=Input!$C$5,C54&lt;Input!$C$5+Input!$C$6),1,2))</f>
        <v>1</v>
      </c>
      <c r="E54" s="5">
        <f>IF(OR(I53&lt;0,D54=2),0,I53*(1+Input!$B$56))</f>
        <v>268814.27995975321</v>
      </c>
      <c r="F54" s="5">
        <f>IF(D54=0,Input!$C$21+Input!$C$24+Input!$C$27,0)</f>
        <v>0</v>
      </c>
      <c r="G54" s="5">
        <f>'Spouse Details - Actual'!I54</f>
        <v>50000</v>
      </c>
      <c r="H54" s="5">
        <f>IF(D54=1,'Spouse Details - Actual'!O54,0)</f>
        <v>35258.221930892556</v>
      </c>
      <c r="I54" s="5">
        <f t="shared" si="0"/>
        <v>233556.05802886066</v>
      </c>
    </row>
    <row r="55" spans="1:9" x14ac:dyDescent="0.25">
      <c r="A55" s="4">
        <f t="shared" si="1"/>
        <v>54</v>
      </c>
      <c r="B55" s="4">
        <f>IF(C55&gt;=Input!$B$5,C55-Input!$B$5,"")</f>
        <v>13</v>
      </c>
      <c r="C55" s="4">
        <f>C54+1</f>
        <v>78</v>
      </c>
      <c r="D55" s="4">
        <f>IF(C55&lt;Input!$C$5,0,IF(AND(C55&gt;=Input!$C$5,C55&lt;Input!$C$5+Input!$C$6),1,2))</f>
        <v>1</v>
      </c>
      <c r="E55" s="5">
        <f>IF(OR(I54&lt;0,D55=2),0,I54*(1+Input!$B$56))</f>
        <v>235845.82330365339</v>
      </c>
      <c r="F55" s="5">
        <f>IF(D55=0,Input!$C$21+Input!$C$24+Input!$C$27,0)</f>
        <v>0</v>
      </c>
      <c r="G55" s="5">
        <f>'Spouse Details - Actual'!I55</f>
        <v>50000</v>
      </c>
      <c r="H55" s="5">
        <f>IF(D55=1,'Spouse Details - Actual'!O55,0)</f>
        <v>35116.635871391503</v>
      </c>
      <c r="I55" s="5">
        <f t="shared" si="0"/>
        <v>200729.18743226188</v>
      </c>
    </row>
    <row r="56" spans="1:9" x14ac:dyDescent="0.25">
      <c r="A56" s="4">
        <f t="shared" si="1"/>
        <v>55</v>
      </c>
      <c r="B56" s="4">
        <f>IF(C56&gt;=Input!$B$5,C56-Input!$B$5,"")</f>
        <v>14</v>
      </c>
      <c r="C56" s="4">
        <f t="shared" si="2"/>
        <v>79</v>
      </c>
      <c r="D56" s="4">
        <f>IF(C56&lt;Input!$C$5,0,IF(AND(C56&gt;=Input!$C$5,C56&lt;Input!$C$5+Input!$C$6),1,2))</f>
        <v>1</v>
      </c>
      <c r="E56" s="5">
        <f>IF(OR(I55&lt;0,D56=2),0,I55*(1+Input!$B$56))</f>
        <v>202697.1206423821</v>
      </c>
      <c r="F56" s="5">
        <f>IF(D56=0,Input!$C$21+Input!$C$24+Input!$C$27,0)</f>
        <v>0</v>
      </c>
      <c r="G56" s="5">
        <f>'Spouse Details - Actual'!I56</f>
        <v>50000</v>
      </c>
      <c r="H56" s="5">
        <f>IF(D56=1,'Spouse Details - Actual'!O56,0)</f>
        <v>34973.661713267895</v>
      </c>
      <c r="I56" s="5">
        <f t="shared" si="0"/>
        <v>167723.45892911422</v>
      </c>
    </row>
    <row r="57" spans="1:9" x14ac:dyDescent="0.25">
      <c r="A57" s="4">
        <f t="shared" si="1"/>
        <v>56</v>
      </c>
      <c r="B57" s="4">
        <f>IF(C57&gt;=Input!$B$5,C57-Input!$B$5,"")</f>
        <v>15</v>
      </c>
      <c r="C57" s="4">
        <f t="shared" si="2"/>
        <v>80</v>
      </c>
      <c r="D57" s="4">
        <f>IF(C57&lt;Input!$C$5,0,IF(AND(C57&gt;=Input!$C$5,C57&lt;Input!$C$5+Input!$C$6),1,2))</f>
        <v>1</v>
      </c>
      <c r="E57" s="5">
        <f>IF(OR(I56&lt;0,D57=2),0,I56*(1+Input!$B$56))</f>
        <v>169367.80656567417</v>
      </c>
      <c r="F57" s="5">
        <f>IF(D57=0,Input!$C$21+Input!$C$24+Input!$C$27,0)</f>
        <v>0</v>
      </c>
      <c r="G57" s="5">
        <f>'Spouse Details - Actual'!I57</f>
        <v>50000</v>
      </c>
      <c r="H57" s="5">
        <f>IF(D57=1,'Spouse Details - Actual'!O57,0)</f>
        <v>34829.285847711697</v>
      </c>
      <c r="I57" s="5">
        <f t="shared" si="0"/>
        <v>134538.52071796247</v>
      </c>
    </row>
    <row r="58" spans="1:9" x14ac:dyDescent="0.25">
      <c r="A58" s="4">
        <f t="shared" si="1"/>
        <v>57</v>
      </c>
      <c r="B58" s="4">
        <f>IF(C58&gt;=Input!$B$5,C58-Input!$B$5,"")</f>
        <v>16</v>
      </c>
      <c r="C58" s="4">
        <f t="shared" si="2"/>
        <v>81</v>
      </c>
      <c r="D58" s="4">
        <f>IF(C58&lt;Input!$C$5,0,IF(AND(C58&gt;=Input!$C$5,C58&lt;Input!$C$5+Input!$C$6),1,2))</f>
        <v>1</v>
      </c>
      <c r="E58" s="5">
        <f>IF(OR(I57&lt;0,D58=2),0,I57*(1+Input!$B$56))</f>
        <v>135857.52582304052</v>
      </c>
      <c r="F58" s="5">
        <f>IF(D58=0,Input!$C$21+Input!$C$24+Input!$C$27,0)</f>
        <v>0</v>
      </c>
      <c r="G58" s="5">
        <f>'Spouse Details - Actual'!I58</f>
        <v>50000</v>
      </c>
      <c r="H58" s="5">
        <f>IF(D58=1,'Spouse Details - Actual'!O58,0)</f>
        <v>34683.494532493183</v>
      </c>
      <c r="I58" s="5">
        <f t="shared" si="0"/>
        <v>101174.03129054734</v>
      </c>
    </row>
    <row r="59" spans="1:9" x14ac:dyDescent="0.25">
      <c r="A59" s="4">
        <f t="shared" si="1"/>
        <v>58</v>
      </c>
      <c r="B59" s="4">
        <f>IF(C59&gt;=Input!$B$5,C59-Input!$B$5,"")</f>
        <v>17</v>
      </c>
      <c r="C59" s="4">
        <f t="shared" si="2"/>
        <v>82</v>
      </c>
      <c r="D59" s="4">
        <f>IF(C59&lt;Input!$C$5,0,IF(AND(C59&gt;=Input!$C$5,C59&lt;Input!$C$5+Input!$C$6),1,2))</f>
        <v>1</v>
      </c>
      <c r="E59" s="5">
        <f>IF(OR(I58&lt;0,D59=2),0,I58*(1+Input!$B$56))</f>
        <v>102165.93355810172</v>
      </c>
      <c r="F59" s="5">
        <f>IF(D59=0,Input!$C$21+Input!$C$24+Input!$C$27,0)</f>
        <v>0</v>
      </c>
      <c r="G59" s="5">
        <f>'Spouse Details - Actual'!I59</f>
        <v>50000</v>
      </c>
      <c r="H59" s="5">
        <f>IF(D59=1,'Spouse Details - Actual'!O59,0)</f>
        <v>34536.273890654884</v>
      </c>
      <c r="I59" s="5">
        <f t="shared" si="0"/>
        <v>67629.659667446831</v>
      </c>
    </row>
    <row r="60" spans="1:9" x14ac:dyDescent="0.25">
      <c r="A60" s="4">
        <f t="shared" si="1"/>
        <v>59</v>
      </c>
      <c r="B60" s="4">
        <f>IF(C60&gt;=Input!$B$5,C60-Input!$B$5,"")</f>
        <v>18</v>
      </c>
      <c r="C60" s="4">
        <f>C59+1</f>
        <v>83</v>
      </c>
      <c r="D60" s="4">
        <f>IF(C60&lt;Input!$C$5,0,IF(AND(C60&gt;=Input!$C$5,C60&lt;Input!$C$5+Input!$C$6),1,2))</f>
        <v>1</v>
      </c>
      <c r="E60" s="5">
        <f>IF(OR(I59&lt;0,D60=2),0,I59*(1+Input!$B$56))</f>
        <v>68292.695546539442</v>
      </c>
      <c r="F60" s="5">
        <f>IF(D60=0,Input!$C$21+Input!$C$24+Input!$C$27,0)</f>
        <v>0</v>
      </c>
      <c r="G60" s="5">
        <f>'Spouse Details - Actual'!I60</f>
        <v>50000</v>
      </c>
      <c r="H60" s="5">
        <f>IF(D60=1,'Spouse Details - Actual'!O60,0)</f>
        <v>34387.609909190709</v>
      </c>
      <c r="I60" s="5">
        <f t="shared" si="0"/>
        <v>33905.085637348733</v>
      </c>
    </row>
    <row r="61" spans="1:9" x14ac:dyDescent="0.25">
      <c r="A61" s="4">
        <f t="shared" si="1"/>
        <v>60</v>
      </c>
      <c r="B61" s="4">
        <f>IF(C61&gt;=Input!$B$5,C61-Input!$B$5,"")</f>
        <v>19</v>
      </c>
      <c r="C61" s="4">
        <f t="shared" si="2"/>
        <v>84</v>
      </c>
      <c r="D61" s="4">
        <f>IF(C61&lt;Input!$C$5,0,IF(AND(C61&gt;=Input!$C$5,C61&lt;Input!$C$5+Input!$C$6),1,2))</f>
        <v>1</v>
      </c>
      <c r="E61" s="5">
        <f>IF(OR(I60&lt;0,D61=2),0,I60*(1+Input!$B$56))</f>
        <v>34237.488437714899</v>
      </c>
      <c r="F61" s="5">
        <f>IF(D61=0,Input!$C$21+Input!$C$24+Input!$C$27,0)</f>
        <v>0</v>
      </c>
      <c r="G61" s="5">
        <f>'Spouse Details - Actual'!I61</f>
        <v>50000</v>
      </c>
      <c r="H61" s="5">
        <f>IF(D61=1,'Spouse Details - Actual'!O61,0)</f>
        <v>34237.488437712193</v>
      </c>
      <c r="I61" s="5">
        <f t="shared" si="0"/>
        <v>2.7066562324762344E-9</v>
      </c>
    </row>
    <row r="62" spans="1:9" x14ac:dyDescent="0.25">
      <c r="A62" s="4">
        <f t="shared" si="1"/>
        <v>61</v>
      </c>
      <c r="B62" s="4">
        <f>IF(C62&gt;=Input!$B$5,C62-Input!$B$5,"")</f>
        <v>20</v>
      </c>
      <c r="C62" s="4">
        <f t="shared" si="2"/>
        <v>85</v>
      </c>
      <c r="D62" s="4">
        <f>IF(C62&lt;Input!$C$5,0,IF(AND(C62&gt;=Input!$C$5,C62&lt;Input!$C$5+Input!$C$6),1,2))</f>
        <v>2</v>
      </c>
      <c r="E62" s="5">
        <f>IF(OR(I61&lt;0,D62=2),0,I61*(1+Input!$B$56))</f>
        <v>0</v>
      </c>
      <c r="F62" s="5">
        <f>IF(D62=0,Input!$C$21+Input!$C$24+Input!$C$27,0)</f>
        <v>0</v>
      </c>
      <c r="G62" s="5">
        <f>'Spouse Details - Actual'!I62</f>
        <v>0</v>
      </c>
      <c r="H62" s="5">
        <f>IF(D62=1,'Spouse Details - Actual'!O62,0)</f>
        <v>0</v>
      </c>
      <c r="I62" s="5">
        <f t="shared" si="0"/>
        <v>2.7066562324762344E-9</v>
      </c>
    </row>
    <row r="63" spans="1:9" x14ac:dyDescent="0.25">
      <c r="A63" s="4">
        <f t="shared" si="1"/>
        <v>62</v>
      </c>
      <c r="B63" s="4">
        <f>IF(C63&gt;=Input!$B$5,C63-Input!$B$5,"")</f>
        <v>21</v>
      </c>
      <c r="C63" s="4">
        <f t="shared" si="2"/>
        <v>86</v>
      </c>
      <c r="D63" s="4">
        <f>IF(C63&lt;Input!$C$5,0,IF(AND(C63&gt;=Input!$C$5,C63&lt;Input!$C$5+Input!$C$6),1,2))</f>
        <v>2</v>
      </c>
      <c r="E63" s="5">
        <f>IF(OR(I62&lt;0,D63=2),0,I62*(1+Input!$B$56))</f>
        <v>0</v>
      </c>
      <c r="F63" s="5">
        <f>IF(D63=0,Input!$C$21+Input!$C$24+Input!$C$27,0)</f>
        <v>0</v>
      </c>
      <c r="G63" s="5">
        <f>'Spouse Details - Actual'!I63</f>
        <v>0</v>
      </c>
      <c r="H63" s="5">
        <f>IF(D63=1,'Spouse Details - Actual'!O63,0)</f>
        <v>0</v>
      </c>
      <c r="I63" s="5">
        <f t="shared" si="0"/>
        <v>2.7066562324762344E-9</v>
      </c>
    </row>
    <row r="64" spans="1:9" x14ac:dyDescent="0.25">
      <c r="A64" s="4">
        <f t="shared" si="1"/>
        <v>63</v>
      </c>
      <c r="B64" s="4">
        <f>IF(C64&gt;=Input!$B$5,C64-Input!$B$5,"")</f>
        <v>22</v>
      </c>
      <c r="C64" s="4">
        <f t="shared" si="2"/>
        <v>87</v>
      </c>
      <c r="D64" s="4">
        <f>IF(C64&lt;Input!$C$5,0,IF(AND(C64&gt;=Input!$C$5,C64&lt;Input!$C$5+Input!$C$6),1,2))</f>
        <v>2</v>
      </c>
      <c r="E64" s="5">
        <f>IF(OR(I63&lt;0,D64=2),0,I63*(1+Input!$B$56))</f>
        <v>0</v>
      </c>
      <c r="F64" s="5">
        <f>IF(D64=0,Input!$C$21+Input!$C$24+Input!$C$27,0)</f>
        <v>0</v>
      </c>
      <c r="G64" s="5">
        <f>'Spouse Details - Actual'!I64</f>
        <v>0</v>
      </c>
      <c r="H64" s="5">
        <f>IF(D64=1,'Spouse Details - Actual'!O64,0)</f>
        <v>0</v>
      </c>
      <c r="I64" s="5">
        <f t="shared" si="0"/>
        <v>2.7066562324762344E-9</v>
      </c>
    </row>
    <row r="65" spans="1:9" x14ac:dyDescent="0.25">
      <c r="A65" s="4">
        <f t="shared" si="1"/>
        <v>64</v>
      </c>
      <c r="B65" s="4">
        <f>IF(C65&gt;=Input!$B$5,C65-Input!$B$5,"")</f>
        <v>23</v>
      </c>
      <c r="C65" s="4">
        <f t="shared" si="2"/>
        <v>88</v>
      </c>
      <c r="D65" s="4">
        <f>IF(C65&lt;Input!$C$5,0,IF(AND(C65&gt;=Input!$C$5,C65&lt;Input!$C$5+Input!$C$6),1,2))</f>
        <v>2</v>
      </c>
      <c r="E65" s="5">
        <f>IF(OR(I64&lt;0,D65=2),0,I64*(1+Input!$B$56))</f>
        <v>0</v>
      </c>
      <c r="F65" s="5">
        <f>IF(D65=0,Input!$C$21+Input!$C$24+Input!$C$27,0)</f>
        <v>0</v>
      </c>
      <c r="G65" s="5">
        <f>'Spouse Details - Actual'!I65</f>
        <v>0</v>
      </c>
      <c r="H65" s="5">
        <f>IF(D65=1,'Spouse Details - Actual'!O65,0)</f>
        <v>0</v>
      </c>
      <c r="I65" s="5">
        <f t="shared" si="0"/>
        <v>2.7066562324762344E-9</v>
      </c>
    </row>
    <row r="66" spans="1:9" x14ac:dyDescent="0.25">
      <c r="A66" s="4">
        <f t="shared" si="1"/>
        <v>65</v>
      </c>
      <c r="B66" s="4">
        <f>IF(C66&gt;=Input!$B$5,C66-Input!$B$5,"")</f>
        <v>24</v>
      </c>
      <c r="C66" s="4">
        <f t="shared" si="2"/>
        <v>89</v>
      </c>
      <c r="D66" s="4">
        <f>IF(C66&lt;Input!$C$5,0,IF(AND(C66&gt;=Input!$C$5,C66&lt;Input!$C$5+Input!$C$6),1,2))</f>
        <v>2</v>
      </c>
      <c r="E66" s="5">
        <f>IF(OR(I65&lt;0,D66=2),0,I65*(1+Input!$B$56))</f>
        <v>0</v>
      </c>
      <c r="F66" s="5">
        <f>IF(D66=0,Input!$C$21+Input!$C$24+Input!$C$27,0)</f>
        <v>0</v>
      </c>
      <c r="G66" s="5">
        <f>'Spouse Details - Actual'!I66</f>
        <v>0</v>
      </c>
      <c r="H66" s="5">
        <f>IF(D66=1,'Spouse Details - Actual'!O66,0)</f>
        <v>0</v>
      </c>
      <c r="I66" s="5">
        <f t="shared" si="0"/>
        <v>2.7066562324762344E-9</v>
      </c>
    </row>
    <row r="67" spans="1:9" x14ac:dyDescent="0.25">
      <c r="A67" s="4">
        <f t="shared" si="1"/>
        <v>66</v>
      </c>
      <c r="B67" s="4">
        <f>IF(C67&gt;=Input!$B$5,C67-Input!$B$5,"")</f>
        <v>25</v>
      </c>
      <c r="C67" s="4">
        <f t="shared" si="2"/>
        <v>90</v>
      </c>
      <c r="D67" s="4">
        <f>IF(C67&lt;Input!$C$5,0,IF(AND(C67&gt;=Input!$C$5,C67&lt;Input!$C$5+Input!$C$6),1,2))</f>
        <v>2</v>
      </c>
      <c r="E67" s="5">
        <f>IF(OR(I66&lt;0,D67=2),0,I66*(1+Input!$B$56))</f>
        <v>0</v>
      </c>
      <c r="F67" s="5">
        <f>IF(D67=0,Input!$C$21+Input!$C$24+Input!$C$27,0)</f>
        <v>0</v>
      </c>
      <c r="G67" s="5">
        <f>'Spouse Details - Actual'!I67</f>
        <v>0</v>
      </c>
      <c r="H67" s="5">
        <f>IF(D67=1,'Spouse Details - Actual'!O67,0)</f>
        <v>0</v>
      </c>
      <c r="I67" s="5">
        <f t="shared" ref="I67:I102" si="3">IF(D67=2,I66,E67+F67-H67)</f>
        <v>2.7066562324762344E-9</v>
      </c>
    </row>
    <row r="68" spans="1:9" x14ac:dyDescent="0.25">
      <c r="A68" s="4">
        <f t="shared" ref="A68:A102" si="4">A67+1</f>
        <v>67</v>
      </c>
      <c r="B68" s="4">
        <f>IF(C68&gt;=Input!$B$5,C68-Input!$B$5,"")</f>
        <v>26</v>
      </c>
      <c r="C68" s="4">
        <f t="shared" ref="C68:C102" si="5">C67+1</f>
        <v>91</v>
      </c>
      <c r="D68" s="4">
        <f>IF(C68&lt;Input!$C$5,0,IF(AND(C68&gt;=Input!$C$5,C68&lt;Input!$C$5+Input!$C$6),1,2))</f>
        <v>2</v>
      </c>
      <c r="E68" s="5">
        <f>IF(OR(I67&lt;0,D68=2),0,I67*(1+Input!$B$56))</f>
        <v>0</v>
      </c>
      <c r="F68" s="5">
        <f>IF(D68=0,Input!$C$21+Input!$C$24+Input!$C$27,0)</f>
        <v>0</v>
      </c>
      <c r="G68" s="5">
        <f>'Spouse Details - Actual'!I68</f>
        <v>0</v>
      </c>
      <c r="H68" s="5">
        <f>IF(D68=1,'Spouse Details - Actual'!O68,0)</f>
        <v>0</v>
      </c>
      <c r="I68" s="5">
        <f t="shared" si="3"/>
        <v>2.7066562324762344E-9</v>
      </c>
    </row>
    <row r="69" spans="1:9" x14ac:dyDescent="0.25">
      <c r="A69" s="4">
        <f t="shared" si="4"/>
        <v>68</v>
      </c>
      <c r="B69" s="4">
        <f>IF(C69&gt;=Input!$B$5,C69-Input!$B$5,"")</f>
        <v>27</v>
      </c>
      <c r="C69" s="4">
        <f t="shared" si="5"/>
        <v>92</v>
      </c>
      <c r="D69" s="4">
        <f>IF(C69&lt;Input!$C$5,0,IF(AND(C69&gt;=Input!$C$5,C69&lt;Input!$C$5+Input!$C$6),1,2))</f>
        <v>2</v>
      </c>
      <c r="E69" s="5">
        <f>IF(OR(I68&lt;0,D69=2),0,I68*(1+Input!$B$56))</f>
        <v>0</v>
      </c>
      <c r="F69" s="5">
        <f>IF(D69=0,Input!$C$21+Input!$C$24+Input!$C$27,0)</f>
        <v>0</v>
      </c>
      <c r="G69" s="5">
        <f>'Spouse Details - Actual'!I69</f>
        <v>0</v>
      </c>
      <c r="H69" s="5">
        <f>IF(D69=1,'Spouse Details - Actual'!O69,0)</f>
        <v>0</v>
      </c>
      <c r="I69" s="5">
        <f t="shared" si="3"/>
        <v>2.7066562324762344E-9</v>
      </c>
    </row>
    <row r="70" spans="1:9" x14ac:dyDescent="0.25">
      <c r="A70" s="4">
        <f t="shared" si="4"/>
        <v>69</v>
      </c>
      <c r="B70" s="4">
        <f>IF(C70&gt;=Input!$B$5,C70-Input!$B$5,"")</f>
        <v>28</v>
      </c>
      <c r="C70" s="4">
        <f t="shared" si="5"/>
        <v>93</v>
      </c>
      <c r="D70" s="4">
        <f>IF(C70&lt;Input!$C$5,0,IF(AND(C70&gt;=Input!$C$5,C70&lt;Input!$C$5+Input!$C$6),1,2))</f>
        <v>2</v>
      </c>
      <c r="E70" s="5">
        <f>IF(OR(I69&lt;0,D70=2),0,I69*(1+Input!$B$56))</f>
        <v>0</v>
      </c>
      <c r="F70" s="5">
        <f>IF(D70=0,Input!$C$21+Input!$C$24+Input!$C$27,0)</f>
        <v>0</v>
      </c>
      <c r="G70" s="5">
        <f>'Spouse Details - Actual'!I70</f>
        <v>0</v>
      </c>
      <c r="H70" s="5">
        <f>IF(D70=1,'Spouse Details - Actual'!O70,0)</f>
        <v>0</v>
      </c>
      <c r="I70" s="5">
        <f t="shared" si="3"/>
        <v>2.7066562324762344E-9</v>
      </c>
    </row>
    <row r="71" spans="1:9" x14ac:dyDescent="0.25">
      <c r="A71" s="4">
        <f t="shared" si="4"/>
        <v>70</v>
      </c>
      <c r="B71" s="4">
        <f>IF(C71&gt;=Input!$B$5,C71-Input!$B$5,"")</f>
        <v>29</v>
      </c>
      <c r="C71" s="4">
        <f t="shared" si="5"/>
        <v>94</v>
      </c>
      <c r="D71" s="4">
        <f>IF(C71&lt;Input!$C$5,0,IF(AND(C71&gt;=Input!$C$5,C71&lt;Input!$C$5+Input!$C$6),1,2))</f>
        <v>2</v>
      </c>
      <c r="E71" s="5">
        <f>IF(OR(I70&lt;0,D71=2),0,I70*(1+Input!$B$56))</f>
        <v>0</v>
      </c>
      <c r="F71" s="5">
        <f>IF(D71=0,Input!$C$21+Input!$C$24+Input!$C$27,0)</f>
        <v>0</v>
      </c>
      <c r="G71" s="5">
        <f>'Spouse Details - Actual'!I71</f>
        <v>0</v>
      </c>
      <c r="H71" s="5">
        <f>IF(D71=1,'Spouse Details - Actual'!O71,0)</f>
        <v>0</v>
      </c>
      <c r="I71" s="5">
        <f t="shared" si="3"/>
        <v>2.7066562324762344E-9</v>
      </c>
    </row>
    <row r="72" spans="1:9" x14ac:dyDescent="0.25">
      <c r="A72" s="4">
        <f t="shared" si="4"/>
        <v>71</v>
      </c>
      <c r="B72" s="4">
        <f>IF(C72&gt;=Input!$B$5,C72-Input!$B$5,"")</f>
        <v>30</v>
      </c>
      <c r="C72" s="4">
        <f t="shared" si="5"/>
        <v>95</v>
      </c>
      <c r="D72" s="4">
        <f>IF(C72&lt;Input!$C$5,0,IF(AND(C72&gt;=Input!$C$5,C72&lt;Input!$C$5+Input!$C$6),1,2))</f>
        <v>2</v>
      </c>
      <c r="E72" s="5">
        <f>IF(OR(I71&lt;0,D72=2),0,I71*(1+Input!$B$56))</f>
        <v>0</v>
      </c>
      <c r="F72" s="5">
        <f>IF(D72=0,Input!$C$21+Input!$C$24+Input!$C$27,0)</f>
        <v>0</v>
      </c>
      <c r="G72" s="5">
        <f>'Spouse Details - Actual'!I72</f>
        <v>0</v>
      </c>
      <c r="H72" s="5">
        <f>IF(D72=1,'Spouse Details - Actual'!O72,0)</f>
        <v>0</v>
      </c>
      <c r="I72" s="5">
        <f t="shared" si="3"/>
        <v>2.7066562324762344E-9</v>
      </c>
    </row>
    <row r="73" spans="1:9" x14ac:dyDescent="0.25">
      <c r="A73" s="4">
        <f t="shared" si="4"/>
        <v>72</v>
      </c>
      <c r="B73" s="4">
        <f>IF(C73&gt;=Input!$B$5,C73-Input!$B$5,"")</f>
        <v>31</v>
      </c>
      <c r="C73" s="4">
        <f t="shared" si="5"/>
        <v>96</v>
      </c>
      <c r="D73" s="4">
        <f>IF(C73&lt;Input!$C$5,0,IF(AND(C73&gt;=Input!$C$5,C73&lt;Input!$C$5+Input!$C$6),1,2))</f>
        <v>2</v>
      </c>
      <c r="E73" s="5">
        <f>IF(OR(I72&lt;0,D73=2),0,I72*(1+Input!$B$56))</f>
        <v>0</v>
      </c>
      <c r="F73" s="5">
        <f>IF(D73=0,Input!$C$21+Input!$C$24+Input!$C$27,0)</f>
        <v>0</v>
      </c>
      <c r="G73" s="5">
        <f>'Spouse Details - Actual'!I73</f>
        <v>0</v>
      </c>
      <c r="H73" s="5">
        <f>IF(D73=1,'Spouse Details - Actual'!O73,0)</f>
        <v>0</v>
      </c>
      <c r="I73" s="5">
        <f t="shared" si="3"/>
        <v>2.7066562324762344E-9</v>
      </c>
    </row>
    <row r="74" spans="1:9" x14ac:dyDescent="0.25">
      <c r="A74" s="4">
        <f t="shared" si="4"/>
        <v>73</v>
      </c>
      <c r="B74" s="4">
        <f>IF(C74&gt;=Input!$B$5,C74-Input!$B$5,"")</f>
        <v>32</v>
      </c>
      <c r="C74" s="4">
        <f t="shared" si="5"/>
        <v>97</v>
      </c>
      <c r="D74" s="4">
        <f>IF(C74&lt;Input!$C$5,0,IF(AND(C74&gt;=Input!$C$5,C74&lt;Input!$C$5+Input!$C$6),1,2))</f>
        <v>2</v>
      </c>
      <c r="E74" s="5">
        <f>IF(OR(I73&lt;0,D74=2),0,I73*(1+Input!$B$56))</f>
        <v>0</v>
      </c>
      <c r="F74" s="5">
        <f>IF(D74=0,Input!$C$21+Input!$C$24+Input!$C$27,0)</f>
        <v>0</v>
      </c>
      <c r="G74" s="5">
        <f>'Spouse Details - Actual'!I74</f>
        <v>0</v>
      </c>
      <c r="H74" s="5">
        <f>IF(D74=1,'Spouse Details - Actual'!O74,0)</f>
        <v>0</v>
      </c>
      <c r="I74" s="5">
        <f t="shared" si="3"/>
        <v>2.7066562324762344E-9</v>
      </c>
    </row>
    <row r="75" spans="1:9" x14ac:dyDescent="0.25">
      <c r="A75" s="4">
        <f t="shared" si="4"/>
        <v>74</v>
      </c>
      <c r="B75" s="4">
        <f>IF(C75&gt;=Input!$B$5,C75-Input!$B$5,"")</f>
        <v>33</v>
      </c>
      <c r="C75" s="4">
        <f t="shared" si="5"/>
        <v>98</v>
      </c>
      <c r="D75" s="4">
        <f>IF(C75&lt;Input!$C$5,0,IF(AND(C75&gt;=Input!$C$5,C75&lt;Input!$C$5+Input!$C$6),1,2))</f>
        <v>2</v>
      </c>
      <c r="E75" s="5">
        <f>IF(OR(I74&lt;0,D75=2),0,I74*(1+Input!$B$56))</f>
        <v>0</v>
      </c>
      <c r="F75" s="5">
        <f>IF(D75=0,Input!$C$21+Input!$C$24+Input!$C$27,0)</f>
        <v>0</v>
      </c>
      <c r="G75" s="5">
        <f>'Spouse Details - Actual'!I75</f>
        <v>0</v>
      </c>
      <c r="H75" s="5">
        <f>IF(D75=1,'Spouse Details - Actual'!O75,0)</f>
        <v>0</v>
      </c>
      <c r="I75" s="5">
        <f t="shared" si="3"/>
        <v>2.7066562324762344E-9</v>
      </c>
    </row>
    <row r="76" spans="1:9" x14ac:dyDescent="0.25">
      <c r="A76" s="4">
        <f t="shared" si="4"/>
        <v>75</v>
      </c>
      <c r="B76" s="4">
        <f>IF(C76&gt;=Input!$B$5,C76-Input!$B$5,"")</f>
        <v>34</v>
      </c>
      <c r="C76" s="4">
        <f t="shared" si="5"/>
        <v>99</v>
      </c>
      <c r="D76" s="4">
        <f>IF(C76&lt;Input!$C$5,0,IF(AND(C76&gt;=Input!$C$5,C76&lt;Input!$C$5+Input!$C$6),1,2))</f>
        <v>2</v>
      </c>
      <c r="E76" s="5">
        <f>IF(OR(I75&lt;0,D76=2),0,I75*(1+Input!$B$56))</f>
        <v>0</v>
      </c>
      <c r="F76" s="5">
        <f>IF(D76=0,Input!$C$21+Input!$C$24+Input!$C$27,0)</f>
        <v>0</v>
      </c>
      <c r="G76" s="5">
        <f>'Spouse Details - Actual'!I76</f>
        <v>0</v>
      </c>
      <c r="H76" s="5">
        <f>IF(D76=1,'Spouse Details - Actual'!O76,0)</f>
        <v>0</v>
      </c>
      <c r="I76" s="5">
        <f t="shared" si="3"/>
        <v>2.7066562324762344E-9</v>
      </c>
    </row>
    <row r="77" spans="1:9" x14ac:dyDescent="0.25">
      <c r="A77" s="4">
        <f t="shared" si="4"/>
        <v>76</v>
      </c>
      <c r="B77" s="4">
        <f>IF(C77&gt;=Input!$B$5,C77-Input!$B$5,"")</f>
        <v>35</v>
      </c>
      <c r="C77" s="4">
        <f t="shared" si="5"/>
        <v>100</v>
      </c>
      <c r="D77" s="4">
        <f>IF(C77&lt;Input!$C$5,0,IF(AND(C77&gt;=Input!$C$5,C77&lt;Input!$C$5+Input!$C$6),1,2))</f>
        <v>2</v>
      </c>
      <c r="E77" s="5">
        <f>IF(OR(I76&lt;0,D77=2),0,I76*(1+Input!$B$56))</f>
        <v>0</v>
      </c>
      <c r="F77" s="5">
        <f>IF(D77=0,Input!$C$21+Input!$C$24+Input!$C$27,0)</f>
        <v>0</v>
      </c>
      <c r="G77" s="5">
        <f>'Spouse Details - Actual'!I77</f>
        <v>0</v>
      </c>
      <c r="H77" s="5">
        <f>IF(D77=1,'Spouse Details - Actual'!O77,0)</f>
        <v>0</v>
      </c>
      <c r="I77" s="5">
        <f t="shared" si="3"/>
        <v>2.7066562324762344E-9</v>
      </c>
    </row>
    <row r="78" spans="1:9" x14ac:dyDescent="0.25">
      <c r="A78" s="4">
        <f t="shared" si="4"/>
        <v>77</v>
      </c>
      <c r="B78" s="4">
        <f>IF(C78&gt;=Input!$B$5,C78-Input!$B$5,"")</f>
        <v>36</v>
      </c>
      <c r="C78" s="4">
        <f t="shared" si="5"/>
        <v>101</v>
      </c>
      <c r="D78" s="4">
        <f>IF(C78&lt;Input!$C$5,0,IF(AND(C78&gt;=Input!$C$5,C78&lt;Input!$C$5+Input!$C$6),1,2))</f>
        <v>2</v>
      </c>
      <c r="E78" s="5">
        <f>IF(OR(I77&lt;0,D78=2),0,I77*(1+Input!$B$56))</f>
        <v>0</v>
      </c>
      <c r="F78" s="5">
        <f>IF(D78=0,Input!$C$21+Input!$C$24+Input!$C$27,0)</f>
        <v>0</v>
      </c>
      <c r="G78" s="5">
        <f>'Spouse Details - Actual'!I78</f>
        <v>0</v>
      </c>
      <c r="H78" s="5">
        <f>IF(D78=1,'Spouse Details - Actual'!O78,0)</f>
        <v>0</v>
      </c>
      <c r="I78" s="5">
        <f t="shared" si="3"/>
        <v>2.7066562324762344E-9</v>
      </c>
    </row>
    <row r="79" spans="1:9" x14ac:dyDescent="0.25">
      <c r="A79" s="4">
        <f t="shared" si="4"/>
        <v>78</v>
      </c>
      <c r="B79" s="4">
        <f>IF(C79&gt;=Input!$B$5,C79-Input!$B$5,"")</f>
        <v>37</v>
      </c>
      <c r="C79" s="4">
        <f t="shared" si="5"/>
        <v>102</v>
      </c>
      <c r="D79" s="4">
        <f>IF(C79&lt;Input!$C$5,0,IF(AND(C79&gt;=Input!$C$5,C79&lt;Input!$C$5+Input!$C$6),1,2))</f>
        <v>2</v>
      </c>
      <c r="E79" s="5">
        <f>IF(OR(I78&lt;0,D79=2),0,I78*(1+Input!$B$56))</f>
        <v>0</v>
      </c>
      <c r="F79" s="5">
        <f>IF(D79=0,Input!$C$21+Input!$C$24+Input!$C$27,0)</f>
        <v>0</v>
      </c>
      <c r="G79" s="5">
        <f>'Spouse Details - Actual'!I79</f>
        <v>0</v>
      </c>
      <c r="H79" s="5">
        <f>IF(D79=1,'Spouse Details - Actual'!O79,0)</f>
        <v>0</v>
      </c>
      <c r="I79" s="5">
        <f t="shared" si="3"/>
        <v>2.7066562324762344E-9</v>
      </c>
    </row>
    <row r="80" spans="1:9" x14ac:dyDescent="0.25">
      <c r="A80" s="4">
        <f t="shared" si="4"/>
        <v>79</v>
      </c>
      <c r="B80" s="4">
        <f>IF(C80&gt;=Input!$B$5,C80-Input!$B$5,"")</f>
        <v>38</v>
      </c>
      <c r="C80" s="4">
        <f t="shared" si="5"/>
        <v>103</v>
      </c>
      <c r="D80" s="4">
        <f>IF(C80&lt;Input!$C$5,0,IF(AND(C80&gt;=Input!$C$5,C80&lt;Input!$C$5+Input!$C$6),1,2))</f>
        <v>2</v>
      </c>
      <c r="E80" s="5">
        <f>IF(OR(I79&lt;0,D80=2),0,I79*(1+Input!$B$56))</f>
        <v>0</v>
      </c>
      <c r="F80" s="5">
        <f>IF(D80=0,Input!$C$21+Input!$C$24+Input!$C$27,0)</f>
        <v>0</v>
      </c>
      <c r="G80" s="5">
        <f>'Spouse Details - Actual'!I80</f>
        <v>0</v>
      </c>
      <c r="H80" s="5">
        <f>IF(D80=1,'Spouse Details - Actual'!O80,0)</f>
        <v>0</v>
      </c>
      <c r="I80" s="5">
        <f t="shared" si="3"/>
        <v>2.7066562324762344E-9</v>
      </c>
    </row>
    <row r="81" spans="1:9" x14ac:dyDescent="0.25">
      <c r="A81" s="4">
        <f t="shared" si="4"/>
        <v>80</v>
      </c>
      <c r="B81" s="4">
        <f>IF(C81&gt;=Input!$B$5,C81-Input!$B$5,"")</f>
        <v>39</v>
      </c>
      <c r="C81" s="4">
        <f t="shared" si="5"/>
        <v>104</v>
      </c>
      <c r="D81" s="4">
        <f>IF(C81&lt;Input!$C$5,0,IF(AND(C81&gt;=Input!$C$5,C81&lt;Input!$C$5+Input!$C$6),1,2))</f>
        <v>2</v>
      </c>
      <c r="E81" s="5">
        <f>IF(OR(I80&lt;0,D81=2),0,I80*(1+Input!$B$56))</f>
        <v>0</v>
      </c>
      <c r="F81" s="5">
        <f>IF(D81=0,Input!$C$21+Input!$C$24+Input!$C$27,0)</f>
        <v>0</v>
      </c>
      <c r="G81" s="5">
        <f>'Spouse Details - Actual'!I81</f>
        <v>0</v>
      </c>
      <c r="H81" s="5">
        <f>IF(D81=1,'Spouse Details - Actual'!O81,0)</f>
        <v>0</v>
      </c>
      <c r="I81" s="5">
        <f t="shared" si="3"/>
        <v>2.7066562324762344E-9</v>
      </c>
    </row>
    <row r="82" spans="1:9" x14ac:dyDescent="0.25">
      <c r="A82" s="4">
        <f t="shared" si="4"/>
        <v>81</v>
      </c>
      <c r="B82" s="4">
        <f>IF(C82&gt;=Input!$B$5,C82-Input!$B$5,"")</f>
        <v>40</v>
      </c>
      <c r="C82" s="4">
        <f t="shared" si="5"/>
        <v>105</v>
      </c>
      <c r="D82" s="4">
        <f>IF(C82&lt;Input!$C$5,0,IF(AND(C82&gt;=Input!$C$5,C82&lt;Input!$C$5+Input!$C$6),1,2))</f>
        <v>2</v>
      </c>
      <c r="E82" s="5">
        <f>IF(OR(I81&lt;0,D82=2),0,I81*(1+Input!$B$56))</f>
        <v>0</v>
      </c>
      <c r="F82" s="5">
        <f>IF(D82=0,Input!$C$21+Input!$C$24+Input!$C$27,0)</f>
        <v>0</v>
      </c>
      <c r="G82" s="5">
        <f>'Spouse Details - Actual'!I82</f>
        <v>0</v>
      </c>
      <c r="H82" s="5">
        <f>IF(D82=1,'Spouse Details - Actual'!O82,0)</f>
        <v>0</v>
      </c>
      <c r="I82" s="5">
        <f t="shared" si="3"/>
        <v>2.7066562324762344E-9</v>
      </c>
    </row>
    <row r="83" spans="1:9" x14ac:dyDescent="0.25">
      <c r="A83" s="4">
        <f t="shared" si="4"/>
        <v>82</v>
      </c>
      <c r="B83" s="4">
        <f>IF(C83&gt;=Input!$B$5,C83-Input!$B$5,"")</f>
        <v>41</v>
      </c>
      <c r="C83" s="4">
        <f t="shared" si="5"/>
        <v>106</v>
      </c>
      <c r="D83" s="4">
        <f>IF(C83&lt;Input!$C$5,0,IF(AND(C83&gt;=Input!$C$5,C83&lt;Input!$C$5+Input!$C$6),1,2))</f>
        <v>2</v>
      </c>
      <c r="E83" s="5">
        <f>IF(OR(I82&lt;0,D83=2),0,I82*(1+Input!$B$56))</f>
        <v>0</v>
      </c>
      <c r="F83" s="5">
        <f>IF(D83=0,Input!$C$21+Input!$C$24+Input!$C$27,0)</f>
        <v>0</v>
      </c>
      <c r="G83" s="5">
        <f>'Spouse Details - Actual'!I83</f>
        <v>0</v>
      </c>
      <c r="H83" s="5">
        <f>IF(D83=1,'Spouse Details - Actual'!O83,0)</f>
        <v>0</v>
      </c>
      <c r="I83" s="5">
        <f t="shared" si="3"/>
        <v>2.7066562324762344E-9</v>
      </c>
    </row>
    <row r="84" spans="1:9" x14ac:dyDescent="0.25">
      <c r="A84" s="4">
        <f t="shared" si="4"/>
        <v>83</v>
      </c>
      <c r="B84" s="4">
        <f>IF(C84&gt;=Input!$B$5,C84-Input!$B$5,"")</f>
        <v>42</v>
      </c>
      <c r="C84" s="4">
        <f t="shared" si="5"/>
        <v>107</v>
      </c>
      <c r="D84" s="4">
        <f>IF(C84&lt;Input!$C$5,0,IF(AND(C84&gt;=Input!$C$5,C84&lt;Input!$C$5+Input!$C$6),1,2))</f>
        <v>2</v>
      </c>
      <c r="E84" s="5">
        <f>IF(OR(I83&lt;0,D84=2),0,I83*(1+Input!$B$56))</f>
        <v>0</v>
      </c>
      <c r="F84" s="5">
        <f>IF(D84=0,Input!$C$21+Input!$C$24+Input!$C$27,0)</f>
        <v>0</v>
      </c>
      <c r="G84" s="5">
        <f>'Spouse Details - Actual'!I84</f>
        <v>0</v>
      </c>
      <c r="H84" s="5">
        <f>IF(D84=1,'Spouse Details - Actual'!O84,0)</f>
        <v>0</v>
      </c>
      <c r="I84" s="5">
        <f t="shared" si="3"/>
        <v>2.7066562324762344E-9</v>
      </c>
    </row>
    <row r="85" spans="1:9" x14ac:dyDescent="0.25">
      <c r="A85" s="4">
        <f t="shared" si="4"/>
        <v>84</v>
      </c>
      <c r="B85" s="4">
        <f>IF(C85&gt;=Input!$B$5,C85-Input!$B$5,"")</f>
        <v>43</v>
      </c>
      <c r="C85" s="4">
        <f t="shared" si="5"/>
        <v>108</v>
      </c>
      <c r="D85" s="4">
        <f>IF(C85&lt;Input!$C$5,0,IF(AND(C85&gt;=Input!$C$5,C85&lt;Input!$C$5+Input!$C$6),1,2))</f>
        <v>2</v>
      </c>
      <c r="E85" s="5">
        <f>IF(OR(I84&lt;0,D85=2),0,I84*(1+Input!$B$56))</f>
        <v>0</v>
      </c>
      <c r="F85" s="5">
        <f>IF(D85=0,Input!$C$21+Input!$C$24+Input!$C$27,0)</f>
        <v>0</v>
      </c>
      <c r="G85" s="5">
        <f>'Spouse Details - Actual'!I85</f>
        <v>0</v>
      </c>
      <c r="H85" s="5">
        <f>IF(D85=1,'Spouse Details - Actual'!O85,0)</f>
        <v>0</v>
      </c>
      <c r="I85" s="5">
        <f t="shared" si="3"/>
        <v>2.7066562324762344E-9</v>
      </c>
    </row>
    <row r="86" spans="1:9" x14ac:dyDescent="0.25">
      <c r="A86" s="4">
        <f t="shared" si="4"/>
        <v>85</v>
      </c>
      <c r="B86" s="4">
        <f>IF(C86&gt;=Input!$B$5,C86-Input!$B$5,"")</f>
        <v>44</v>
      </c>
      <c r="C86" s="4">
        <f t="shared" si="5"/>
        <v>109</v>
      </c>
      <c r="D86" s="4">
        <f>IF(C86&lt;Input!$C$5,0,IF(AND(C86&gt;=Input!$C$5,C86&lt;Input!$C$5+Input!$C$6),1,2))</f>
        <v>2</v>
      </c>
      <c r="E86" s="5">
        <f>IF(OR(I85&lt;0,D86=2),0,I85*(1+Input!$B$56))</f>
        <v>0</v>
      </c>
      <c r="F86" s="5">
        <f>IF(D86=0,Input!$C$21+Input!$C$24+Input!$C$27,0)</f>
        <v>0</v>
      </c>
      <c r="G86" s="5">
        <f>'Spouse Details - Actual'!I86</f>
        <v>0</v>
      </c>
      <c r="H86" s="5">
        <f>IF(D86=1,'Spouse Details - Actual'!O86,0)</f>
        <v>0</v>
      </c>
      <c r="I86" s="5">
        <f t="shared" si="3"/>
        <v>2.7066562324762344E-9</v>
      </c>
    </row>
    <row r="87" spans="1:9" x14ac:dyDescent="0.25">
      <c r="A87" s="4">
        <f t="shared" si="4"/>
        <v>86</v>
      </c>
      <c r="B87" s="4">
        <f>IF(C87&gt;=Input!$B$5,C87-Input!$B$5,"")</f>
        <v>45</v>
      </c>
      <c r="C87" s="4">
        <f t="shared" si="5"/>
        <v>110</v>
      </c>
      <c r="D87" s="4">
        <f>IF(C87&lt;Input!$C$5,0,IF(AND(C87&gt;=Input!$C$5,C87&lt;Input!$C$5+Input!$C$6),1,2))</f>
        <v>2</v>
      </c>
      <c r="E87" s="5">
        <f>IF(OR(I86&lt;0,D87=2),0,I86*(1+Input!$B$56))</f>
        <v>0</v>
      </c>
      <c r="F87" s="5">
        <f>IF(D87=0,Input!$C$21+Input!$C$24+Input!$C$27,0)</f>
        <v>0</v>
      </c>
      <c r="G87" s="5">
        <f>'Spouse Details - Actual'!I87</f>
        <v>0</v>
      </c>
      <c r="H87" s="5">
        <f>IF(D87=1,'Spouse Details - Actual'!O87,0)</f>
        <v>0</v>
      </c>
      <c r="I87" s="5">
        <f t="shared" si="3"/>
        <v>2.7066562324762344E-9</v>
      </c>
    </row>
    <row r="88" spans="1:9" x14ac:dyDescent="0.25">
      <c r="A88" s="4">
        <f t="shared" si="4"/>
        <v>87</v>
      </c>
      <c r="B88" s="4">
        <f>IF(C88&gt;=Input!$B$5,C88-Input!$B$5,"")</f>
        <v>46</v>
      </c>
      <c r="C88" s="4">
        <f t="shared" si="5"/>
        <v>111</v>
      </c>
      <c r="D88" s="4">
        <f>IF(C88&lt;Input!$C$5,0,IF(AND(C88&gt;=Input!$C$5,C88&lt;Input!$C$5+Input!$C$6),1,2))</f>
        <v>2</v>
      </c>
      <c r="E88" s="5">
        <f>IF(OR(I87&lt;0,D88=2),0,I87*(1+Input!$B$56))</f>
        <v>0</v>
      </c>
      <c r="F88" s="5">
        <f>IF(D88=0,Input!$C$21+Input!$C$24+Input!$C$27,0)</f>
        <v>0</v>
      </c>
      <c r="G88" s="5">
        <f>'Spouse Details - Actual'!I88</f>
        <v>0</v>
      </c>
      <c r="H88" s="5">
        <f>IF(D88=1,'Spouse Details - Actual'!O88,0)</f>
        <v>0</v>
      </c>
      <c r="I88" s="5">
        <f t="shared" si="3"/>
        <v>2.7066562324762344E-9</v>
      </c>
    </row>
    <row r="89" spans="1:9" x14ac:dyDescent="0.25">
      <c r="A89" s="4">
        <f t="shared" si="4"/>
        <v>88</v>
      </c>
      <c r="B89" s="4">
        <f>IF(C89&gt;=Input!$B$5,C89-Input!$B$5,"")</f>
        <v>47</v>
      </c>
      <c r="C89" s="4">
        <f t="shared" si="5"/>
        <v>112</v>
      </c>
      <c r="D89" s="4">
        <f>IF(C89&lt;Input!$C$5,0,IF(AND(C89&gt;=Input!$C$5,C89&lt;Input!$C$5+Input!$C$6),1,2))</f>
        <v>2</v>
      </c>
      <c r="E89" s="5">
        <f>IF(OR(I88&lt;0,D89=2),0,I88*(1+Input!$B$56))</f>
        <v>0</v>
      </c>
      <c r="F89" s="5">
        <f>IF(D89=0,Input!$C$21+Input!$C$24+Input!$C$27,0)</f>
        <v>0</v>
      </c>
      <c r="G89" s="5">
        <f>'Spouse Details - Actual'!I89</f>
        <v>0</v>
      </c>
      <c r="H89" s="5">
        <f>IF(D89=1,'Spouse Details - Actual'!O89,0)</f>
        <v>0</v>
      </c>
      <c r="I89" s="5">
        <f t="shared" si="3"/>
        <v>2.7066562324762344E-9</v>
      </c>
    </row>
    <row r="90" spans="1:9" x14ac:dyDescent="0.25">
      <c r="A90" s="4">
        <f t="shared" si="4"/>
        <v>89</v>
      </c>
      <c r="B90" s="4">
        <f>IF(C90&gt;=Input!$B$5,C90-Input!$B$5,"")</f>
        <v>48</v>
      </c>
      <c r="C90" s="4">
        <f t="shared" si="5"/>
        <v>113</v>
      </c>
      <c r="D90" s="4">
        <f>IF(C90&lt;Input!$C$5,0,IF(AND(C90&gt;=Input!$C$5,C90&lt;Input!$C$5+Input!$C$6),1,2))</f>
        <v>2</v>
      </c>
      <c r="E90" s="5">
        <f>IF(OR(I89&lt;0,D90=2),0,I89*(1+Input!$B$56))</f>
        <v>0</v>
      </c>
      <c r="F90" s="5">
        <f>IF(D90=0,Input!$C$21+Input!$C$24+Input!$C$27,0)</f>
        <v>0</v>
      </c>
      <c r="G90" s="5">
        <f>'Spouse Details - Actual'!I90</f>
        <v>0</v>
      </c>
      <c r="H90" s="5">
        <f>IF(D90=1,'Spouse Details - Actual'!O90,0)</f>
        <v>0</v>
      </c>
      <c r="I90" s="5">
        <f t="shared" si="3"/>
        <v>2.7066562324762344E-9</v>
      </c>
    </row>
    <row r="91" spans="1:9" x14ac:dyDescent="0.25">
      <c r="A91" s="4">
        <f t="shared" si="4"/>
        <v>90</v>
      </c>
      <c r="B91" s="4">
        <f>IF(C91&gt;=Input!$B$5,C91-Input!$B$5,"")</f>
        <v>49</v>
      </c>
      <c r="C91" s="4">
        <f t="shared" si="5"/>
        <v>114</v>
      </c>
      <c r="D91" s="4">
        <f>IF(C91&lt;Input!$C$5,0,IF(AND(C91&gt;=Input!$C$5,C91&lt;Input!$C$5+Input!$C$6),1,2))</f>
        <v>2</v>
      </c>
      <c r="E91" s="5">
        <f>IF(OR(I90&lt;0,D91=2),0,I90*(1+Input!$B$56))</f>
        <v>0</v>
      </c>
      <c r="F91" s="5">
        <f>IF(D91=0,Input!$C$21+Input!$C$24+Input!$C$27,0)</f>
        <v>0</v>
      </c>
      <c r="G91" s="5">
        <f>'Spouse Details - Actual'!I91</f>
        <v>0</v>
      </c>
      <c r="H91" s="5">
        <f>IF(D91=1,'Spouse Details - Actual'!O91,0)</f>
        <v>0</v>
      </c>
      <c r="I91" s="5">
        <f t="shared" si="3"/>
        <v>2.7066562324762344E-9</v>
      </c>
    </row>
    <row r="92" spans="1:9" x14ac:dyDescent="0.25">
      <c r="A92" s="4">
        <f t="shared" si="4"/>
        <v>91</v>
      </c>
      <c r="B92" s="4">
        <f>IF(C92&gt;=Input!$B$5,C92-Input!$B$5,"")</f>
        <v>50</v>
      </c>
      <c r="C92" s="4">
        <f t="shared" si="5"/>
        <v>115</v>
      </c>
      <c r="D92" s="4">
        <f>IF(C92&lt;Input!$C$5,0,IF(AND(C92&gt;=Input!$C$5,C92&lt;Input!$C$5+Input!$C$6),1,2))</f>
        <v>2</v>
      </c>
      <c r="E92" s="5">
        <f>IF(OR(I91&lt;0,D92=2),0,I91*(1+Input!$B$56))</f>
        <v>0</v>
      </c>
      <c r="F92" s="5">
        <f>IF(D92=0,Input!$C$21+Input!$C$24+Input!$C$27,0)</f>
        <v>0</v>
      </c>
      <c r="G92" s="5">
        <f>'Spouse Details - Actual'!I92</f>
        <v>0</v>
      </c>
      <c r="H92" s="5">
        <f>IF(D92=1,'Spouse Details - Actual'!O92,0)</f>
        <v>0</v>
      </c>
      <c r="I92" s="5">
        <f t="shared" si="3"/>
        <v>2.7066562324762344E-9</v>
      </c>
    </row>
    <row r="93" spans="1:9" x14ac:dyDescent="0.25">
      <c r="A93" s="4">
        <f t="shared" si="4"/>
        <v>92</v>
      </c>
      <c r="B93" s="4">
        <f>IF(C93&gt;=Input!$B$5,C93-Input!$B$5,"")</f>
        <v>51</v>
      </c>
      <c r="C93" s="4">
        <f t="shared" si="5"/>
        <v>116</v>
      </c>
      <c r="D93" s="4">
        <f>IF(C93&lt;Input!$C$5,0,IF(AND(C93&gt;=Input!$C$5,C93&lt;Input!$C$5+Input!$C$6),1,2))</f>
        <v>2</v>
      </c>
      <c r="E93" s="5">
        <f>IF(OR(I92&lt;0,D93=2),0,I92*(1+Input!$B$56))</f>
        <v>0</v>
      </c>
      <c r="F93" s="5">
        <f>IF(D93=0,Input!$C$21+Input!$C$24+Input!$C$27,0)</f>
        <v>0</v>
      </c>
      <c r="G93" s="5">
        <f>'Spouse Details - Actual'!I93</f>
        <v>0</v>
      </c>
      <c r="H93" s="5">
        <f>IF(D93=1,'Spouse Details - Actual'!O93,0)</f>
        <v>0</v>
      </c>
      <c r="I93" s="5">
        <f t="shared" si="3"/>
        <v>2.7066562324762344E-9</v>
      </c>
    </row>
    <row r="94" spans="1:9" x14ac:dyDescent="0.25">
      <c r="A94" s="4">
        <f t="shared" si="4"/>
        <v>93</v>
      </c>
      <c r="B94" s="4">
        <f>IF(C94&gt;=Input!$B$5,C94-Input!$B$5,"")</f>
        <v>52</v>
      </c>
      <c r="C94" s="4">
        <f t="shared" si="5"/>
        <v>117</v>
      </c>
      <c r="D94" s="4">
        <f>IF(C94&lt;Input!$C$5,0,IF(AND(C94&gt;=Input!$C$5,C94&lt;Input!$C$5+Input!$C$6),1,2))</f>
        <v>2</v>
      </c>
      <c r="E94" s="5">
        <f>IF(OR(I93&lt;0,D94=2),0,I93*(1+Input!$B$56))</f>
        <v>0</v>
      </c>
      <c r="F94" s="5">
        <f>IF(D94=0,Input!$C$21+Input!$C$24+Input!$C$27,0)</f>
        <v>0</v>
      </c>
      <c r="G94" s="5">
        <f>'Spouse Details - Actual'!I94</f>
        <v>0</v>
      </c>
      <c r="H94" s="5">
        <f>IF(D94=1,'Spouse Details - Actual'!O94,0)</f>
        <v>0</v>
      </c>
      <c r="I94" s="5">
        <f t="shared" si="3"/>
        <v>2.7066562324762344E-9</v>
      </c>
    </row>
    <row r="95" spans="1:9" x14ac:dyDescent="0.25">
      <c r="A95" s="4">
        <f t="shared" si="4"/>
        <v>94</v>
      </c>
      <c r="B95" s="4">
        <f>IF(C95&gt;=Input!$B$5,C95-Input!$B$5,"")</f>
        <v>53</v>
      </c>
      <c r="C95" s="4">
        <f t="shared" si="5"/>
        <v>118</v>
      </c>
      <c r="D95" s="4">
        <f>IF(C95&lt;Input!$C$5,0,IF(AND(C95&gt;=Input!$C$5,C95&lt;Input!$C$5+Input!$C$6),1,2))</f>
        <v>2</v>
      </c>
      <c r="E95" s="5">
        <f>IF(OR(I94&lt;0,D95=2),0,I94*(1+Input!$B$56))</f>
        <v>0</v>
      </c>
      <c r="F95" s="5">
        <f>IF(D95=0,Input!$C$21+Input!$C$24+Input!$C$27,0)</f>
        <v>0</v>
      </c>
      <c r="G95" s="5">
        <f>'Spouse Details - Actual'!I95</f>
        <v>0</v>
      </c>
      <c r="H95" s="5">
        <f>IF(D95=1,'Spouse Details - Actual'!O95,0)</f>
        <v>0</v>
      </c>
      <c r="I95" s="5">
        <f t="shared" si="3"/>
        <v>2.7066562324762344E-9</v>
      </c>
    </row>
    <row r="96" spans="1:9" x14ac:dyDescent="0.25">
      <c r="A96" s="4">
        <f t="shared" si="4"/>
        <v>95</v>
      </c>
      <c r="B96" s="4">
        <f>IF(C96&gt;=Input!$B$5,C96-Input!$B$5,"")</f>
        <v>54</v>
      </c>
      <c r="C96" s="4">
        <f>C95+1</f>
        <v>119</v>
      </c>
      <c r="D96" s="4">
        <f>IF(C96&lt;Input!$C$5,0,IF(AND(C96&gt;=Input!$C$5,C96&lt;Input!$C$5+Input!$C$6),1,2))</f>
        <v>2</v>
      </c>
      <c r="E96" s="5">
        <f>IF(OR(I95&lt;0,D96=2),0,I95*(1+Input!$B$56))</f>
        <v>0</v>
      </c>
      <c r="F96" s="5">
        <f>IF(D96=0,Input!$C$21+Input!$C$24+Input!$C$27,0)</f>
        <v>0</v>
      </c>
      <c r="G96" s="5">
        <f>'Spouse Details - Actual'!I96</f>
        <v>0</v>
      </c>
      <c r="H96" s="5">
        <f>IF(D96=1,'Spouse Details - Actual'!O96,0)</f>
        <v>0</v>
      </c>
      <c r="I96" s="5">
        <f t="shared" si="3"/>
        <v>2.7066562324762344E-9</v>
      </c>
    </row>
    <row r="97" spans="1:9" x14ac:dyDescent="0.25">
      <c r="A97" s="4">
        <f t="shared" si="4"/>
        <v>96</v>
      </c>
      <c r="B97" s="4">
        <f>IF(C97&gt;=Input!$B$5,C97-Input!$B$5,"")</f>
        <v>55</v>
      </c>
      <c r="C97" s="4">
        <f t="shared" si="5"/>
        <v>120</v>
      </c>
      <c r="D97" s="4">
        <f>IF(C97&lt;Input!$C$5,0,IF(AND(C97&gt;=Input!$C$5,C97&lt;Input!$C$5+Input!$C$6),1,2))</f>
        <v>2</v>
      </c>
      <c r="E97" s="5">
        <f>IF(OR(I96&lt;0,D97=2),0,I96*(1+Input!$B$56))</f>
        <v>0</v>
      </c>
      <c r="F97" s="5">
        <f>IF(D97=0,Input!$C$21+Input!$C$24+Input!$C$27,0)</f>
        <v>0</v>
      </c>
      <c r="G97" s="5">
        <f>'Spouse Details - Actual'!I97</f>
        <v>0</v>
      </c>
      <c r="H97" s="5">
        <f>IF(D97=1,'Spouse Details - Actual'!O97,0)</f>
        <v>0</v>
      </c>
      <c r="I97" s="5">
        <f t="shared" si="3"/>
        <v>2.7066562324762344E-9</v>
      </c>
    </row>
    <row r="98" spans="1:9" x14ac:dyDescent="0.25">
      <c r="A98" s="4">
        <f t="shared" si="4"/>
        <v>97</v>
      </c>
      <c r="B98" s="4">
        <f>IF(C98&gt;=Input!$B$5,C98-Input!$B$5,"")</f>
        <v>56</v>
      </c>
      <c r="C98" s="4">
        <f t="shared" si="5"/>
        <v>121</v>
      </c>
      <c r="D98" s="4">
        <f>IF(C98&lt;Input!$C$5,0,IF(AND(C98&gt;=Input!$C$5,C98&lt;Input!$C$5+Input!$C$6),1,2))</f>
        <v>2</v>
      </c>
      <c r="E98" s="5">
        <f>IF(OR(I97&lt;0,D98=2),0,I97*(1+Input!$B$56))</f>
        <v>0</v>
      </c>
      <c r="F98" s="5">
        <f>IF(D98=0,Input!$C$21+Input!$C$24+Input!$C$27,0)</f>
        <v>0</v>
      </c>
      <c r="G98" s="5">
        <f>'Spouse Details - Actual'!I98</f>
        <v>0</v>
      </c>
      <c r="H98" s="5">
        <f>IF(D98=1,'Spouse Details - Actual'!O98,0)</f>
        <v>0</v>
      </c>
      <c r="I98" s="5">
        <f t="shared" si="3"/>
        <v>2.7066562324762344E-9</v>
      </c>
    </row>
    <row r="99" spans="1:9" x14ac:dyDescent="0.25">
      <c r="A99" s="4">
        <f t="shared" si="4"/>
        <v>98</v>
      </c>
      <c r="B99" s="4">
        <f>IF(C99&gt;=Input!$B$5,C99-Input!$B$5,"")</f>
        <v>57</v>
      </c>
      <c r="C99" s="4">
        <f t="shared" si="5"/>
        <v>122</v>
      </c>
      <c r="D99" s="4">
        <f>IF(C99&lt;Input!$C$5,0,IF(AND(C99&gt;=Input!$C$5,C99&lt;Input!$C$5+Input!$C$6),1,2))</f>
        <v>2</v>
      </c>
      <c r="E99" s="5">
        <f>IF(OR(I98&lt;0,D99=2),0,I98*(1+Input!$B$56))</f>
        <v>0</v>
      </c>
      <c r="F99" s="5">
        <f>IF(D99=0,Input!$C$21+Input!$C$24+Input!$C$27,0)</f>
        <v>0</v>
      </c>
      <c r="G99" s="5">
        <f>'Spouse Details - Actual'!I99</f>
        <v>0</v>
      </c>
      <c r="H99" s="5">
        <f>IF(D99=1,'Spouse Details - Actual'!O99,0)</f>
        <v>0</v>
      </c>
      <c r="I99" s="5">
        <f t="shared" si="3"/>
        <v>2.7066562324762344E-9</v>
      </c>
    </row>
    <row r="100" spans="1:9" x14ac:dyDescent="0.25">
      <c r="A100" s="4">
        <f t="shared" si="4"/>
        <v>99</v>
      </c>
      <c r="B100" s="4">
        <f>IF(C100&gt;=Input!$B$5,C100-Input!$B$5,"")</f>
        <v>58</v>
      </c>
      <c r="C100" s="4">
        <f t="shared" si="5"/>
        <v>123</v>
      </c>
      <c r="D100" s="4">
        <f>IF(C100&lt;Input!$C$5,0,IF(AND(C100&gt;=Input!$C$5,C100&lt;Input!$C$5+Input!$C$6),1,2))</f>
        <v>2</v>
      </c>
      <c r="E100" s="5">
        <f>IF(OR(I99&lt;0,D100=2),0,I99*(1+Input!$B$56))</f>
        <v>0</v>
      </c>
      <c r="F100" s="5">
        <f>IF(D100=0,Input!$C$21+Input!$C$24+Input!$C$27,0)</f>
        <v>0</v>
      </c>
      <c r="G100" s="5">
        <f>'Spouse Details - Actual'!I100</f>
        <v>0</v>
      </c>
      <c r="H100" s="5">
        <f>IF(D100=1,'Spouse Details - Actual'!O100,0)</f>
        <v>0</v>
      </c>
      <c r="I100" s="5">
        <f t="shared" si="3"/>
        <v>2.7066562324762344E-9</v>
      </c>
    </row>
    <row r="101" spans="1:9" x14ac:dyDescent="0.25">
      <c r="A101" s="4">
        <f t="shared" si="4"/>
        <v>100</v>
      </c>
      <c r="B101" s="4">
        <f>IF(C101&gt;=Input!$B$5,C101-Input!$B$5,"")</f>
        <v>59</v>
      </c>
      <c r="C101" s="4">
        <f t="shared" si="5"/>
        <v>124</v>
      </c>
      <c r="D101" s="4">
        <f>IF(C101&lt;Input!$C$5,0,IF(AND(C101&gt;=Input!$C$5,C101&lt;Input!$C$5+Input!$C$6),1,2))</f>
        <v>2</v>
      </c>
      <c r="E101" s="5">
        <f>IF(OR(I100&lt;0,D101=2),0,I100*(1+Input!$B$56))</f>
        <v>0</v>
      </c>
      <c r="F101" s="5">
        <f>IF(D101=0,Input!$C$21+Input!$C$24+Input!$C$27,0)</f>
        <v>0</v>
      </c>
      <c r="G101" s="5">
        <f>'Spouse Details - Actual'!I101</f>
        <v>0</v>
      </c>
      <c r="H101" s="5">
        <f>IF(D101=1,'Spouse Details - Actual'!O101,0)</f>
        <v>0</v>
      </c>
      <c r="I101" s="5">
        <f t="shared" si="3"/>
        <v>2.7066562324762344E-9</v>
      </c>
    </row>
    <row r="102" spans="1:9" x14ac:dyDescent="0.25">
      <c r="A102" s="4">
        <f t="shared" si="4"/>
        <v>101</v>
      </c>
      <c r="B102" s="4">
        <f>IF(C102&gt;=Input!$B$5,C102-Input!$B$5,"")</f>
        <v>60</v>
      </c>
      <c r="C102" s="4">
        <f t="shared" si="5"/>
        <v>125</v>
      </c>
      <c r="D102" s="4">
        <f>IF(C102&lt;Input!$C$5,0,IF(AND(C102&gt;=Input!$C$5,C102&lt;Input!$C$5+Input!$C$6),1,2))</f>
        <v>2</v>
      </c>
      <c r="E102" s="5">
        <f>IF(OR(I101&lt;0,D102=2),0,I101*(1+Input!$B$56))</f>
        <v>0</v>
      </c>
      <c r="F102" s="5">
        <f>IF(D102=0,Input!$C$21+Input!$C$24+Input!$C$27,0)</f>
        <v>0</v>
      </c>
      <c r="G102" s="5">
        <f>'Spouse Details - Actual'!I102</f>
        <v>0</v>
      </c>
      <c r="H102" s="5">
        <f>IF(D102=1,'Spouse Details - Actual'!O102,0)</f>
        <v>0</v>
      </c>
      <c r="I102" s="5">
        <f t="shared" si="3"/>
        <v>2.7066562324762344E-9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2"/>
  <sheetViews>
    <sheetView workbookViewId="0">
      <selection activeCell="D6" sqref="D6"/>
    </sheetView>
  </sheetViews>
  <sheetFormatPr defaultRowHeight="15" x14ac:dyDescent="0.25"/>
  <cols>
    <col min="2" max="2" width="45.140625" bestFit="1" customWidth="1"/>
    <col min="3" max="3" width="19.42578125" bestFit="1" customWidth="1"/>
    <col min="4" max="4" width="98.140625" bestFit="1" customWidth="1"/>
  </cols>
  <sheetData>
    <row r="1" spans="1:4" x14ac:dyDescent="0.25">
      <c r="A1" t="s">
        <v>29</v>
      </c>
      <c r="B1" t="s">
        <v>30</v>
      </c>
      <c r="C1" t="s">
        <v>31</v>
      </c>
      <c r="D1" t="s">
        <v>32</v>
      </c>
    </row>
    <row r="2" spans="1:4" x14ac:dyDescent="0.25">
      <c r="A2">
        <v>1</v>
      </c>
      <c r="B2" t="s">
        <v>33</v>
      </c>
      <c r="C2" t="str">
        <f>TEXT("Input!C17&gt;Input!C19",)</f>
        <v>Input!C17&gt;Input!C19</v>
      </c>
      <c r="D2"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8"/>
  <sheetViews>
    <sheetView workbookViewId="0">
      <selection activeCell="A3" sqref="A3"/>
    </sheetView>
  </sheetViews>
  <sheetFormatPr defaultRowHeight="15" x14ac:dyDescent="0.25"/>
  <cols>
    <col min="1" max="1" width="127.28515625" bestFit="1" customWidth="1"/>
  </cols>
  <sheetData>
    <row r="1" spans="1:1" ht="90.75" x14ac:dyDescent="0.25">
      <c r="A1" s="9" t="s">
        <v>36</v>
      </c>
    </row>
    <row r="2" spans="1:1" ht="30.75" x14ac:dyDescent="0.25">
      <c r="A2" s="56" t="s">
        <v>72</v>
      </c>
    </row>
    <row r="3" spans="1:1" ht="150" x14ac:dyDescent="0.25">
      <c r="A3" s="56" t="s">
        <v>74</v>
      </c>
    </row>
    <row r="4" spans="1:1" ht="30" x14ac:dyDescent="0.25">
      <c r="A4" s="9" t="s">
        <v>45</v>
      </c>
    </row>
    <row r="5" spans="1:1" ht="45" x14ac:dyDescent="0.25">
      <c r="A5" s="9" t="s">
        <v>46</v>
      </c>
    </row>
    <row r="6" spans="1:1" ht="75" x14ac:dyDescent="0.25">
      <c r="A6" s="56" t="s">
        <v>85</v>
      </c>
    </row>
    <row r="7" spans="1:1" ht="60" x14ac:dyDescent="0.25">
      <c r="A7" s="19" t="s">
        <v>53</v>
      </c>
    </row>
    <row r="8" spans="1:1" ht="45" x14ac:dyDescent="0.25">
      <c r="A8" s="19" t="s">
        <v>73</v>
      </c>
    </row>
  </sheetData>
  <pageMargins left="0.7" right="0.7" top="0.75" bottom="0.75" header="0.3" footer="0.3"/>
  <pageSetup paperSize="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C2:L15"/>
  <sheetViews>
    <sheetView workbookViewId="0">
      <selection activeCell="C25" sqref="C25"/>
    </sheetView>
  </sheetViews>
  <sheetFormatPr defaultRowHeight="15" x14ac:dyDescent="0.25"/>
  <cols>
    <col min="3" max="3" width="9.42578125" customWidth="1"/>
    <col min="4" max="4" width="31.5703125" customWidth="1"/>
    <col min="5" max="5" width="24.85546875" customWidth="1"/>
    <col min="6" max="6" width="31.140625" customWidth="1"/>
    <col min="7" max="7" width="30.7109375" customWidth="1"/>
    <col min="8" max="8" width="21.42578125" customWidth="1"/>
    <col min="9" max="9" width="29.5703125" customWidth="1"/>
    <col min="10" max="10" width="28.28515625" customWidth="1"/>
  </cols>
  <sheetData>
    <row r="2" spans="3:12" x14ac:dyDescent="0.25">
      <c r="C2" s="93" t="s">
        <v>67</v>
      </c>
      <c r="D2" s="43"/>
      <c r="L2" s="29"/>
    </row>
    <row r="3" spans="3:12" ht="15" customHeight="1" x14ac:dyDescent="0.25">
      <c r="C3" s="94"/>
      <c r="D3" s="40" t="s">
        <v>75</v>
      </c>
      <c r="L3" s="30"/>
    </row>
    <row r="4" spans="3:12" x14ac:dyDescent="0.25">
      <c r="C4" s="41">
        <v>2005</v>
      </c>
      <c r="D4" s="42">
        <v>16500</v>
      </c>
      <c r="L4" s="30"/>
    </row>
    <row r="5" spans="3:12" x14ac:dyDescent="0.25">
      <c r="C5" s="41">
        <v>2006</v>
      </c>
      <c r="D5" s="42">
        <v>18000</v>
      </c>
      <c r="L5" s="30"/>
    </row>
    <row r="6" spans="3:12" x14ac:dyDescent="0.25">
      <c r="C6" s="41">
        <v>2007</v>
      </c>
      <c r="D6" s="42">
        <v>19000</v>
      </c>
      <c r="L6" s="30"/>
    </row>
    <row r="7" spans="3:12" x14ac:dyDescent="0.25">
      <c r="C7" s="41">
        <v>2008</v>
      </c>
      <c r="D7" s="42">
        <v>20000</v>
      </c>
      <c r="L7" s="30"/>
    </row>
    <row r="8" spans="3:12" x14ac:dyDescent="0.25">
      <c r="C8" s="41">
        <v>2009</v>
      </c>
      <c r="D8" s="42">
        <v>21000</v>
      </c>
      <c r="L8" s="30"/>
    </row>
    <row r="9" spans="3:12" x14ac:dyDescent="0.25">
      <c r="C9" s="41">
        <v>2010</v>
      </c>
      <c r="D9" s="42">
        <v>22000</v>
      </c>
      <c r="L9" s="30"/>
    </row>
    <row r="10" spans="3:12" x14ac:dyDescent="0.25">
      <c r="C10" s="41">
        <v>2011</v>
      </c>
      <c r="D10" s="42">
        <v>22450</v>
      </c>
      <c r="L10" s="30"/>
    </row>
    <row r="11" spans="3:12" x14ac:dyDescent="0.25">
      <c r="C11" s="41">
        <v>2012</v>
      </c>
      <c r="D11" s="42">
        <v>22970</v>
      </c>
      <c r="L11" s="30"/>
    </row>
    <row r="12" spans="3:12" x14ac:dyDescent="0.25">
      <c r="C12" s="41">
        <v>2013</v>
      </c>
      <c r="D12" s="42">
        <v>23820</v>
      </c>
      <c r="L12" s="30"/>
    </row>
    <row r="13" spans="3:12" x14ac:dyDescent="0.25">
      <c r="C13" s="41">
        <v>2014</v>
      </c>
      <c r="D13" s="42">
        <v>24270</v>
      </c>
      <c r="L13" s="30"/>
    </row>
    <row r="14" spans="3:12" x14ac:dyDescent="0.25">
      <c r="C14" s="41">
        <v>2015</v>
      </c>
      <c r="D14" s="42">
        <v>24270</v>
      </c>
      <c r="L14" s="30"/>
    </row>
    <row r="15" spans="3:12" x14ac:dyDescent="0.25">
      <c r="C15" s="41">
        <v>2016</v>
      </c>
      <c r="D15" s="42">
        <v>24270</v>
      </c>
    </row>
  </sheetData>
  <mergeCells count="1">
    <mergeCell ref="C2:C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topLeftCell="P3" workbookViewId="0">
      <selection activeCell="V29" sqref="V29"/>
    </sheetView>
  </sheetViews>
  <sheetFormatPr defaultRowHeight="15" x14ac:dyDescent="0.25"/>
  <cols>
    <col min="1" max="1" width="50" customWidth="1"/>
    <col min="2" max="2" width="42.5703125" customWidth="1"/>
    <col min="3" max="3" width="19.140625" customWidth="1"/>
    <col min="4" max="4" width="16" customWidth="1"/>
    <col min="5" max="5" width="14.42578125" customWidth="1"/>
    <col min="6" max="6" width="14.85546875" customWidth="1"/>
    <col min="7" max="7" width="16.28515625" customWidth="1"/>
    <col min="8" max="8" width="15.42578125" customWidth="1"/>
    <col min="9" max="9" width="14.42578125" customWidth="1"/>
    <col min="10" max="10" width="14.5703125" customWidth="1"/>
    <col min="11" max="11" width="16.42578125" customWidth="1"/>
    <col min="12" max="12" width="15.7109375" customWidth="1"/>
    <col min="13" max="13" width="16.42578125" customWidth="1"/>
    <col min="14" max="14" width="16" customWidth="1"/>
    <col min="15" max="15" width="14.140625" customWidth="1"/>
    <col min="16" max="16" width="16.5703125" customWidth="1"/>
    <col min="17" max="17" width="17.28515625" customWidth="1"/>
    <col min="18" max="18" width="14.42578125" customWidth="1"/>
    <col min="19" max="19" width="14.7109375" customWidth="1"/>
    <col min="20" max="20" width="13.28515625" customWidth="1"/>
    <col min="21" max="21" width="14.28515625" customWidth="1"/>
    <col min="22" max="22" width="17.140625" customWidth="1"/>
    <col min="23" max="23" width="14.42578125" customWidth="1"/>
    <col min="24" max="24" width="15.140625" customWidth="1"/>
    <col min="25" max="25" width="15.85546875" customWidth="1"/>
    <col min="26" max="26" width="14.85546875" customWidth="1"/>
    <col min="27" max="27" width="17.7109375" customWidth="1"/>
  </cols>
  <sheetData>
    <row r="1" spans="1:27" x14ac:dyDescent="0.25">
      <c r="A1" t="s">
        <v>78</v>
      </c>
      <c r="C1" t="s">
        <v>66</v>
      </c>
      <c r="D1">
        <v>1</v>
      </c>
      <c r="E1">
        <v>2</v>
      </c>
      <c r="F1">
        <v>3</v>
      </c>
      <c r="G1">
        <v>4</v>
      </c>
      <c r="H1">
        <v>5</v>
      </c>
      <c r="I1">
        <v>6</v>
      </c>
      <c r="J1">
        <v>7</v>
      </c>
      <c r="K1">
        <v>8</v>
      </c>
      <c r="L1">
        <v>8</v>
      </c>
      <c r="M1">
        <v>8</v>
      </c>
      <c r="N1">
        <v>2</v>
      </c>
      <c r="O1">
        <v>3</v>
      </c>
      <c r="P1">
        <v>2</v>
      </c>
      <c r="Q1">
        <v>7</v>
      </c>
      <c r="R1">
        <v>6</v>
      </c>
      <c r="S1">
        <v>8</v>
      </c>
      <c r="T1">
        <v>4</v>
      </c>
      <c r="U1">
        <v>5</v>
      </c>
      <c r="V1">
        <v>1</v>
      </c>
      <c r="W1">
        <v>2</v>
      </c>
      <c r="X1">
        <v>3</v>
      </c>
      <c r="Y1">
        <v>7</v>
      </c>
      <c r="Z1">
        <v>6</v>
      </c>
      <c r="AA1">
        <v>5</v>
      </c>
    </row>
    <row r="2" spans="1:27" x14ac:dyDescent="0.25">
      <c r="A2" s="67" t="s">
        <v>5</v>
      </c>
      <c r="B2" s="68"/>
      <c r="K2" t="s">
        <v>84</v>
      </c>
      <c r="L2" t="s">
        <v>84</v>
      </c>
      <c r="M2" t="s">
        <v>84</v>
      </c>
      <c r="P2" t="s">
        <v>83</v>
      </c>
      <c r="S2" t="s">
        <v>84</v>
      </c>
    </row>
    <row r="3" spans="1:27" x14ac:dyDescent="0.25">
      <c r="A3" s="69" t="s">
        <v>0</v>
      </c>
      <c r="B3" s="70">
        <f>Input!B4</f>
        <v>25</v>
      </c>
      <c r="D3" s="70">
        <v>30</v>
      </c>
      <c r="E3" s="70">
        <v>30</v>
      </c>
      <c r="F3" s="70">
        <v>30</v>
      </c>
      <c r="G3" s="70">
        <v>30</v>
      </c>
      <c r="H3" s="70">
        <v>30</v>
      </c>
      <c r="I3" s="70">
        <v>30</v>
      </c>
      <c r="J3" s="70">
        <v>30</v>
      </c>
      <c r="K3" s="70">
        <v>30</v>
      </c>
      <c r="L3" s="70">
        <v>30</v>
      </c>
      <c r="M3" s="70">
        <v>30</v>
      </c>
      <c r="N3" s="70">
        <v>30</v>
      </c>
      <c r="O3" s="70">
        <v>30</v>
      </c>
      <c r="P3" s="70">
        <v>30</v>
      </c>
      <c r="Q3" s="70">
        <v>30</v>
      </c>
      <c r="R3" s="70">
        <v>30</v>
      </c>
      <c r="S3" s="70">
        <v>30</v>
      </c>
      <c r="T3" s="70">
        <v>30</v>
      </c>
      <c r="U3" s="70">
        <v>30</v>
      </c>
      <c r="V3" s="70">
        <v>30</v>
      </c>
      <c r="W3" s="70">
        <v>30</v>
      </c>
      <c r="X3" s="70">
        <v>30</v>
      </c>
      <c r="Y3" s="70">
        <v>30</v>
      </c>
      <c r="Z3" s="70">
        <v>30</v>
      </c>
      <c r="AA3" s="70">
        <v>50</v>
      </c>
    </row>
    <row r="4" spans="1:27" x14ac:dyDescent="0.25">
      <c r="A4" s="69" t="s">
        <v>1</v>
      </c>
      <c r="B4" s="70">
        <f>Input!B5</f>
        <v>65</v>
      </c>
      <c r="D4" s="70">
        <v>65</v>
      </c>
      <c r="E4" s="70">
        <v>65</v>
      </c>
      <c r="F4" s="70">
        <v>65</v>
      </c>
      <c r="G4" s="70">
        <v>65</v>
      </c>
      <c r="H4" s="70">
        <v>65</v>
      </c>
      <c r="I4" s="70">
        <v>65</v>
      </c>
      <c r="J4" s="70">
        <v>65</v>
      </c>
      <c r="K4" s="70">
        <v>65</v>
      </c>
      <c r="L4" s="70">
        <v>65</v>
      </c>
      <c r="M4" s="70">
        <v>65</v>
      </c>
      <c r="N4" s="70">
        <v>65</v>
      </c>
      <c r="O4" s="70">
        <v>60</v>
      </c>
      <c r="P4" s="70">
        <v>65</v>
      </c>
      <c r="Q4" s="70">
        <v>65</v>
      </c>
      <c r="R4" s="70">
        <v>65</v>
      </c>
      <c r="S4" s="70">
        <v>65</v>
      </c>
      <c r="T4" s="70">
        <v>65</v>
      </c>
      <c r="U4" s="70">
        <v>65</v>
      </c>
      <c r="V4" s="70">
        <v>65</v>
      </c>
      <c r="W4" s="70">
        <v>65</v>
      </c>
      <c r="X4" s="70">
        <v>65</v>
      </c>
      <c r="Y4" s="70">
        <v>65</v>
      </c>
      <c r="Z4" s="70">
        <v>65</v>
      </c>
      <c r="AA4" s="70">
        <v>60</v>
      </c>
    </row>
    <row r="5" spans="1:27" x14ac:dyDescent="0.25">
      <c r="A5" s="69" t="s">
        <v>2</v>
      </c>
      <c r="B5" s="70">
        <f>Input!B6</f>
        <v>30</v>
      </c>
      <c r="D5" s="70">
        <v>25</v>
      </c>
      <c r="E5" s="70">
        <v>25</v>
      </c>
      <c r="F5" s="70">
        <v>25</v>
      </c>
      <c r="G5" s="70">
        <v>25</v>
      </c>
      <c r="H5" s="70">
        <v>25</v>
      </c>
      <c r="I5" s="70">
        <v>25</v>
      </c>
      <c r="J5" s="70">
        <v>25</v>
      </c>
      <c r="K5" s="70">
        <v>25</v>
      </c>
      <c r="L5" s="70">
        <v>25</v>
      </c>
      <c r="M5" s="70">
        <v>25</v>
      </c>
      <c r="N5" s="70">
        <v>25</v>
      </c>
      <c r="O5" s="70">
        <v>30</v>
      </c>
      <c r="P5" s="70">
        <v>25</v>
      </c>
      <c r="Q5" s="70">
        <v>25</v>
      </c>
      <c r="R5" s="70">
        <v>25</v>
      </c>
      <c r="S5" s="70">
        <v>25</v>
      </c>
      <c r="T5" s="70">
        <v>25</v>
      </c>
      <c r="U5" s="70">
        <v>25</v>
      </c>
      <c r="V5" s="70">
        <v>25</v>
      </c>
      <c r="W5" s="70">
        <v>25</v>
      </c>
      <c r="X5" s="70">
        <v>25</v>
      </c>
      <c r="Y5" s="70">
        <v>25</v>
      </c>
      <c r="Z5" s="70">
        <v>25</v>
      </c>
      <c r="AA5" s="70">
        <v>30</v>
      </c>
    </row>
    <row r="6" spans="1:27" x14ac:dyDescent="0.25">
      <c r="A6" s="69" t="s">
        <v>3</v>
      </c>
      <c r="B6" s="71">
        <f>Input!B7</f>
        <v>55000</v>
      </c>
      <c r="D6" s="71">
        <v>80000</v>
      </c>
      <c r="E6" s="71">
        <v>80000</v>
      </c>
      <c r="F6" s="71">
        <v>80000</v>
      </c>
      <c r="G6" s="71">
        <v>39999</v>
      </c>
      <c r="H6" s="71">
        <v>100000</v>
      </c>
      <c r="I6" s="71">
        <v>100000</v>
      </c>
      <c r="J6" s="71">
        <v>100000</v>
      </c>
      <c r="K6" s="71">
        <v>80000</v>
      </c>
      <c r="L6" s="71">
        <v>80000</v>
      </c>
      <c r="M6" s="71">
        <v>80000</v>
      </c>
      <c r="N6" s="71">
        <v>80000</v>
      </c>
      <c r="O6" s="71">
        <v>80000</v>
      </c>
      <c r="P6" s="71">
        <v>80000</v>
      </c>
      <c r="Q6" s="71">
        <v>80000</v>
      </c>
      <c r="R6" s="71">
        <v>80000</v>
      </c>
      <c r="S6" s="71">
        <v>25000</v>
      </c>
      <c r="T6" s="71">
        <v>25000</v>
      </c>
      <c r="U6" s="71">
        <v>150000</v>
      </c>
      <c r="V6" s="71">
        <v>150000</v>
      </c>
      <c r="W6" s="71">
        <v>150000</v>
      </c>
      <c r="X6" s="71">
        <v>150000</v>
      </c>
      <c r="Y6" s="71">
        <v>150000</v>
      </c>
      <c r="Z6" s="71">
        <v>150000</v>
      </c>
      <c r="AA6" s="71">
        <v>100000</v>
      </c>
    </row>
    <row r="7" spans="1:27" x14ac:dyDescent="0.25">
      <c r="A7" s="69" t="s">
        <v>4</v>
      </c>
      <c r="B7" s="71">
        <f>Input!B69</f>
        <v>35000</v>
      </c>
      <c r="D7" s="79">
        <v>0.7</v>
      </c>
      <c r="E7" s="79">
        <v>0.7</v>
      </c>
      <c r="F7" s="79">
        <v>0.7</v>
      </c>
      <c r="G7" s="79">
        <v>0.7</v>
      </c>
      <c r="H7" s="79">
        <v>0.8</v>
      </c>
      <c r="I7" s="79">
        <v>0.8</v>
      </c>
      <c r="J7" s="79">
        <v>0.8</v>
      </c>
      <c r="K7" s="79">
        <v>0.7</v>
      </c>
      <c r="L7" s="79">
        <v>0.7</v>
      </c>
      <c r="M7" s="79">
        <v>0.7</v>
      </c>
      <c r="N7" s="79">
        <v>0.7</v>
      </c>
      <c r="O7" s="79">
        <v>0.7</v>
      </c>
      <c r="P7" s="79">
        <v>0.7</v>
      </c>
      <c r="Q7" s="79">
        <v>1</v>
      </c>
      <c r="R7" s="79">
        <v>1</v>
      </c>
      <c r="S7" s="79">
        <v>0.4</v>
      </c>
      <c r="T7" s="79">
        <v>0.4</v>
      </c>
      <c r="U7" s="79">
        <v>0.67</v>
      </c>
      <c r="V7" s="79">
        <v>0.67</v>
      </c>
      <c r="W7" s="79">
        <v>0.67</v>
      </c>
      <c r="X7" s="79">
        <v>0.67</v>
      </c>
      <c r="Y7" s="79">
        <v>0.67</v>
      </c>
      <c r="Z7" s="79">
        <v>0.67</v>
      </c>
      <c r="AA7" s="79">
        <v>0.65</v>
      </c>
    </row>
    <row r="8" spans="1:27" x14ac:dyDescent="0.25">
      <c r="A8" s="67" t="s">
        <v>6</v>
      </c>
      <c r="B8" s="72"/>
      <c r="D8" s="72"/>
      <c r="E8" s="72"/>
      <c r="F8" s="72"/>
      <c r="G8" s="72"/>
      <c r="H8" s="72"/>
      <c r="I8" s="72"/>
      <c r="J8" s="72"/>
      <c r="K8" s="72"/>
      <c r="L8" s="72"/>
      <c r="M8" s="72"/>
      <c r="N8" s="72"/>
      <c r="O8" s="72"/>
      <c r="P8" s="72"/>
      <c r="Q8" s="72"/>
      <c r="R8" s="72"/>
      <c r="S8" s="72"/>
      <c r="T8" s="72"/>
      <c r="U8" s="72"/>
      <c r="V8" s="72"/>
      <c r="W8" s="72"/>
      <c r="X8" s="72"/>
      <c r="Y8" s="72"/>
      <c r="Z8" s="72"/>
      <c r="AA8" s="72"/>
    </row>
    <row r="9" spans="1:27" x14ac:dyDescent="0.25">
      <c r="A9" s="69" t="s">
        <v>7</v>
      </c>
      <c r="B9" s="71">
        <f>Input!B12</f>
        <v>6846.24</v>
      </c>
      <c r="D9" s="71">
        <v>6481.44</v>
      </c>
      <c r="E9" s="71">
        <v>6481.44</v>
      </c>
      <c r="F9" s="71">
        <v>6481.44</v>
      </c>
      <c r="G9" s="71">
        <v>6481.44</v>
      </c>
      <c r="H9" s="71">
        <v>6481.44</v>
      </c>
      <c r="I9" s="71">
        <v>6481.44</v>
      </c>
      <c r="J9" s="71">
        <v>6481.44</v>
      </c>
      <c r="K9" s="71">
        <v>6481.44</v>
      </c>
      <c r="L9" s="71">
        <v>6481.44</v>
      </c>
      <c r="M9" s="71">
        <v>6481.44</v>
      </c>
      <c r="N9" s="71">
        <v>6481.44</v>
      </c>
      <c r="O9" s="71">
        <v>6481.44</v>
      </c>
      <c r="P9" s="71">
        <v>6481.44</v>
      </c>
      <c r="Q9" s="71">
        <v>6481.44</v>
      </c>
      <c r="R9" s="71">
        <v>6481.44</v>
      </c>
      <c r="S9" s="71">
        <v>6481.44</v>
      </c>
      <c r="T9" s="71">
        <v>6481.44</v>
      </c>
      <c r="U9" s="71">
        <v>6481.44</v>
      </c>
      <c r="V9" s="71">
        <v>6481.44</v>
      </c>
      <c r="W9" s="71">
        <v>6481.44</v>
      </c>
      <c r="X9" s="71">
        <v>6481.44</v>
      </c>
      <c r="Y9" s="71">
        <v>6481.44</v>
      </c>
      <c r="Z9" s="71">
        <v>6481.44</v>
      </c>
      <c r="AA9" s="71">
        <v>6481.44</v>
      </c>
    </row>
    <row r="10" spans="1:27" x14ac:dyDescent="0.25">
      <c r="A10" s="69" t="s">
        <v>8</v>
      </c>
      <c r="B10" s="71">
        <f>Input!B13</f>
        <v>6000</v>
      </c>
      <c r="D10" s="71">
        <v>11840</v>
      </c>
      <c r="E10" s="71">
        <v>11840</v>
      </c>
      <c r="F10" s="71">
        <v>11840</v>
      </c>
      <c r="G10" s="71">
        <v>11840</v>
      </c>
      <c r="H10" s="71">
        <v>11840</v>
      </c>
      <c r="I10" s="71">
        <v>11840</v>
      </c>
      <c r="J10" s="71">
        <v>11840</v>
      </c>
      <c r="K10" s="71">
        <v>11840</v>
      </c>
      <c r="L10" s="71">
        <v>11840</v>
      </c>
      <c r="M10" s="71">
        <v>11840</v>
      </c>
      <c r="N10" s="71">
        <v>11840</v>
      </c>
      <c r="O10" s="71">
        <v>11840</v>
      </c>
      <c r="P10" s="71">
        <v>11840</v>
      </c>
      <c r="Q10" s="71">
        <v>11840</v>
      </c>
      <c r="R10" s="71">
        <v>11840</v>
      </c>
      <c r="S10" s="71">
        <v>11840</v>
      </c>
      <c r="T10" s="71">
        <v>0</v>
      </c>
      <c r="U10" s="71">
        <v>11481</v>
      </c>
      <c r="V10" s="71">
        <v>11481</v>
      </c>
      <c r="W10" s="71">
        <v>11481</v>
      </c>
      <c r="X10" s="71">
        <v>11481</v>
      </c>
      <c r="Y10" s="71">
        <v>11481</v>
      </c>
      <c r="Z10" s="71">
        <v>11481</v>
      </c>
      <c r="AA10" s="71">
        <v>11481</v>
      </c>
    </row>
    <row r="11" spans="1:27" x14ac:dyDescent="0.25">
      <c r="A11" s="69" t="s">
        <v>9</v>
      </c>
      <c r="B11" s="71">
        <f>Input!B14</f>
        <v>100</v>
      </c>
      <c r="D11" s="71">
        <v>0</v>
      </c>
      <c r="E11" s="71">
        <v>0</v>
      </c>
      <c r="F11" s="71">
        <v>0</v>
      </c>
      <c r="G11" s="71">
        <v>0</v>
      </c>
      <c r="H11" s="71">
        <v>0</v>
      </c>
      <c r="I11" s="71">
        <v>0</v>
      </c>
      <c r="J11" s="71">
        <v>0</v>
      </c>
      <c r="K11" s="71">
        <v>10000</v>
      </c>
      <c r="L11" s="71">
        <v>0</v>
      </c>
      <c r="M11" s="71">
        <v>0</v>
      </c>
      <c r="N11" s="71">
        <v>0</v>
      </c>
      <c r="O11" s="71">
        <v>0</v>
      </c>
      <c r="P11" s="71">
        <v>0</v>
      </c>
      <c r="Q11" s="71">
        <v>0</v>
      </c>
      <c r="R11" s="71">
        <v>0</v>
      </c>
      <c r="S11" s="71">
        <v>0</v>
      </c>
      <c r="T11" s="71">
        <v>0</v>
      </c>
      <c r="U11" s="71">
        <v>0</v>
      </c>
      <c r="V11" s="71">
        <v>0</v>
      </c>
      <c r="W11" s="71">
        <v>0</v>
      </c>
      <c r="X11" s="71">
        <v>0</v>
      </c>
      <c r="Y11" s="71">
        <v>0</v>
      </c>
      <c r="Z11" s="71">
        <v>0</v>
      </c>
      <c r="AA11" s="71">
        <v>10000</v>
      </c>
    </row>
    <row r="12" spans="1:27" x14ac:dyDescent="0.25">
      <c r="A12" s="69" t="s">
        <v>10</v>
      </c>
      <c r="B12" s="71">
        <f>Input!B15</f>
        <v>100</v>
      </c>
      <c r="D12" s="71">
        <v>0</v>
      </c>
      <c r="E12" s="71">
        <v>0</v>
      </c>
      <c r="F12" s="71">
        <v>0</v>
      </c>
      <c r="G12" s="71">
        <v>0</v>
      </c>
      <c r="H12" s="71">
        <v>0</v>
      </c>
      <c r="I12" s="71">
        <v>0</v>
      </c>
      <c r="J12" s="71">
        <v>0</v>
      </c>
      <c r="K12" s="71">
        <v>10000</v>
      </c>
      <c r="L12" s="71">
        <v>40000</v>
      </c>
      <c r="M12" s="71">
        <v>40000</v>
      </c>
      <c r="N12" s="71">
        <v>0</v>
      </c>
      <c r="O12" s="71">
        <v>0</v>
      </c>
      <c r="P12" s="71">
        <v>0</v>
      </c>
      <c r="Q12" s="71">
        <v>30000</v>
      </c>
      <c r="R12" s="71">
        <v>30000</v>
      </c>
      <c r="S12" s="71">
        <v>0</v>
      </c>
      <c r="T12" s="71">
        <v>0</v>
      </c>
      <c r="U12" s="71">
        <v>0</v>
      </c>
      <c r="V12" s="71">
        <v>0</v>
      </c>
      <c r="W12" s="71">
        <v>0</v>
      </c>
      <c r="X12" s="71">
        <v>0</v>
      </c>
      <c r="Y12" s="71">
        <v>0</v>
      </c>
      <c r="Z12" s="71">
        <v>0</v>
      </c>
      <c r="AA12" s="71">
        <v>0</v>
      </c>
    </row>
    <row r="13" spans="1:27" x14ac:dyDescent="0.25">
      <c r="A13" s="69" t="s">
        <v>11</v>
      </c>
      <c r="B13" s="71">
        <f>Input!B16</f>
        <v>100</v>
      </c>
      <c r="D13" s="71">
        <v>0</v>
      </c>
      <c r="E13" s="71">
        <v>0</v>
      </c>
      <c r="F13" s="71">
        <v>0</v>
      </c>
      <c r="G13" s="71">
        <v>0</v>
      </c>
      <c r="H13" s="71">
        <v>0</v>
      </c>
      <c r="I13" s="71">
        <v>0</v>
      </c>
      <c r="J13" s="71">
        <v>0</v>
      </c>
      <c r="K13" s="71">
        <v>17000</v>
      </c>
      <c r="L13" s="71">
        <v>17000</v>
      </c>
      <c r="M13" s="71">
        <v>100000</v>
      </c>
      <c r="N13" s="71">
        <v>0</v>
      </c>
      <c r="O13" s="71">
        <v>0</v>
      </c>
      <c r="P13" s="71">
        <v>0</v>
      </c>
      <c r="Q13" s="71">
        <v>10000</v>
      </c>
      <c r="R13" s="71">
        <v>10000</v>
      </c>
      <c r="S13" s="71">
        <v>0</v>
      </c>
      <c r="T13" s="71">
        <v>0</v>
      </c>
      <c r="U13" s="71">
        <v>0</v>
      </c>
      <c r="V13" s="71">
        <v>0</v>
      </c>
      <c r="W13" s="71">
        <v>0</v>
      </c>
      <c r="X13" s="71">
        <v>0</v>
      </c>
      <c r="Y13" s="71">
        <v>0</v>
      </c>
      <c r="Z13" s="71">
        <v>0</v>
      </c>
      <c r="AA13" s="71">
        <v>0</v>
      </c>
    </row>
    <row r="14" spans="1:27" x14ac:dyDescent="0.25">
      <c r="A14" s="67" t="s">
        <v>12</v>
      </c>
      <c r="B14" s="72"/>
      <c r="D14" s="72"/>
      <c r="E14" s="72"/>
      <c r="F14" s="72"/>
      <c r="G14" s="72"/>
      <c r="H14" s="72"/>
      <c r="I14" s="72"/>
      <c r="J14" s="72"/>
      <c r="K14" s="72"/>
      <c r="L14" s="72"/>
      <c r="M14" s="72"/>
      <c r="N14" s="72"/>
      <c r="O14" s="72"/>
      <c r="P14" s="72"/>
      <c r="Q14" s="72"/>
      <c r="R14" s="72"/>
      <c r="S14" s="72"/>
      <c r="T14" s="72"/>
      <c r="U14" s="72"/>
      <c r="V14" s="72"/>
      <c r="W14" s="72"/>
      <c r="X14" s="72"/>
      <c r="Y14" s="72"/>
      <c r="Z14" s="72"/>
      <c r="AA14" s="72"/>
    </row>
    <row r="15" spans="1:27" x14ac:dyDescent="0.25">
      <c r="A15" s="69" t="s">
        <v>13</v>
      </c>
      <c r="B15" s="71">
        <f>Input!B19</f>
        <v>50000</v>
      </c>
      <c r="D15" s="71">
        <v>15000</v>
      </c>
      <c r="E15" s="71">
        <v>15000</v>
      </c>
      <c r="F15" s="71">
        <v>15000</v>
      </c>
      <c r="G15" s="71">
        <v>1000</v>
      </c>
      <c r="H15" s="71">
        <v>1000</v>
      </c>
      <c r="I15" s="71">
        <v>1000</v>
      </c>
      <c r="J15" s="71">
        <v>1000</v>
      </c>
      <c r="K15" s="71">
        <v>15000</v>
      </c>
      <c r="L15" s="71">
        <v>15000</v>
      </c>
      <c r="M15" s="71">
        <v>15000</v>
      </c>
      <c r="N15" s="71">
        <v>100000</v>
      </c>
      <c r="O15" s="71">
        <v>100000</v>
      </c>
      <c r="P15" s="71">
        <v>150000</v>
      </c>
      <c r="Q15" s="71">
        <v>150000</v>
      </c>
      <c r="R15" s="71">
        <v>150000</v>
      </c>
      <c r="S15" s="71">
        <v>2000</v>
      </c>
      <c r="T15" s="71">
        <v>2000</v>
      </c>
      <c r="U15" s="71">
        <v>2000</v>
      </c>
      <c r="V15" s="71">
        <v>100000</v>
      </c>
      <c r="W15" s="71">
        <v>100000</v>
      </c>
      <c r="X15" s="71">
        <v>100000</v>
      </c>
      <c r="Y15" s="71">
        <v>100000</v>
      </c>
      <c r="Z15" s="71">
        <v>100000</v>
      </c>
      <c r="AA15" s="71">
        <v>250000</v>
      </c>
    </row>
    <row r="16" spans="1:27" x14ac:dyDescent="0.25">
      <c r="A16" s="69" t="s">
        <v>14</v>
      </c>
      <c r="B16" s="71">
        <f>Input!B20</f>
        <v>100</v>
      </c>
      <c r="D16" s="71">
        <v>0</v>
      </c>
      <c r="E16" s="71">
        <v>300</v>
      </c>
      <c r="F16" s="71">
        <v>500</v>
      </c>
      <c r="G16" s="71">
        <v>200</v>
      </c>
      <c r="H16" s="71">
        <v>1501</v>
      </c>
      <c r="I16" s="71">
        <v>2318</v>
      </c>
      <c r="J16" s="71">
        <v>2400</v>
      </c>
      <c r="K16" s="71">
        <v>0</v>
      </c>
      <c r="L16" s="71">
        <v>0</v>
      </c>
      <c r="M16" s="71">
        <v>0</v>
      </c>
      <c r="N16" s="71">
        <v>100</v>
      </c>
      <c r="O16" s="71">
        <v>600</v>
      </c>
      <c r="P16" s="71">
        <v>600</v>
      </c>
      <c r="Q16" s="71">
        <v>600</v>
      </c>
      <c r="R16" s="71">
        <v>451</v>
      </c>
      <c r="S16" s="71">
        <v>50</v>
      </c>
      <c r="T16" s="71">
        <v>100</v>
      </c>
      <c r="U16" s="71">
        <v>2000</v>
      </c>
      <c r="V16" s="71">
        <v>0</v>
      </c>
      <c r="W16" s="71">
        <v>400</v>
      </c>
      <c r="X16" s="71">
        <v>1200</v>
      </c>
      <c r="Y16" s="71">
        <v>1800</v>
      </c>
      <c r="Z16" s="71">
        <v>1650</v>
      </c>
      <c r="AA16" s="71">
        <v>1500</v>
      </c>
    </row>
    <row r="17" spans="1:27" x14ac:dyDescent="0.25">
      <c r="A17" s="69" t="s">
        <v>15</v>
      </c>
      <c r="B17" s="73">
        <f>Input!B30</f>
        <v>0.03</v>
      </c>
      <c r="D17" s="73">
        <v>0.05</v>
      </c>
      <c r="E17" s="73">
        <v>0.05</v>
      </c>
      <c r="F17" s="73">
        <v>0.05</v>
      </c>
      <c r="G17" s="73">
        <v>0.04</v>
      </c>
      <c r="H17" s="73">
        <v>0.04</v>
      </c>
      <c r="I17" s="73">
        <v>0.04</v>
      </c>
      <c r="J17" s="73">
        <v>0.04</v>
      </c>
      <c r="K17" s="73">
        <v>0.05</v>
      </c>
      <c r="L17" s="73">
        <v>0.05</v>
      </c>
      <c r="M17" s="73">
        <v>0.05</v>
      </c>
      <c r="N17" s="73">
        <v>0.05</v>
      </c>
      <c r="O17" s="73">
        <v>0.05</v>
      </c>
      <c r="P17" s="73">
        <v>0.04</v>
      </c>
      <c r="Q17" s="73">
        <v>0.09</v>
      </c>
      <c r="R17" s="73">
        <v>0.09</v>
      </c>
      <c r="S17" s="73">
        <v>0.09</v>
      </c>
      <c r="T17" s="73">
        <v>0.09</v>
      </c>
      <c r="U17" s="73">
        <v>0.06</v>
      </c>
      <c r="V17" s="73">
        <v>0.06</v>
      </c>
      <c r="W17" s="73">
        <v>0.06</v>
      </c>
      <c r="X17" s="73">
        <v>0.06</v>
      </c>
      <c r="Y17" s="73">
        <v>0.06</v>
      </c>
      <c r="Z17" s="73">
        <v>0.06</v>
      </c>
      <c r="AA17" s="73">
        <v>0.06</v>
      </c>
    </row>
    <row r="18" spans="1:27" x14ac:dyDescent="0.25">
      <c r="A18" s="69" t="s">
        <v>16</v>
      </c>
      <c r="B18" s="71">
        <f>Input!B31</f>
        <v>23820</v>
      </c>
      <c r="D18" s="71">
        <v>23820</v>
      </c>
      <c r="E18" s="71">
        <v>23820</v>
      </c>
      <c r="F18" s="71">
        <v>23820</v>
      </c>
      <c r="G18" s="71">
        <v>23820</v>
      </c>
      <c r="H18" s="71">
        <v>23820</v>
      </c>
      <c r="I18" s="71">
        <v>23820</v>
      </c>
      <c r="J18" s="71">
        <v>23820</v>
      </c>
      <c r="K18" s="71">
        <v>23820</v>
      </c>
      <c r="L18" s="71">
        <v>23820</v>
      </c>
      <c r="M18" s="71">
        <v>23820</v>
      </c>
      <c r="N18" s="71">
        <v>23820</v>
      </c>
      <c r="O18" s="71">
        <v>23820</v>
      </c>
      <c r="P18" s="71">
        <v>23820</v>
      </c>
      <c r="Q18" s="71">
        <v>23820</v>
      </c>
      <c r="R18" s="71">
        <v>23820</v>
      </c>
      <c r="S18" s="71">
        <v>23820</v>
      </c>
      <c r="T18" s="71">
        <v>23820</v>
      </c>
      <c r="U18" s="71">
        <v>23820</v>
      </c>
      <c r="V18" s="71">
        <v>23820</v>
      </c>
      <c r="W18" s="71">
        <v>23820</v>
      </c>
      <c r="X18" s="71">
        <v>23820</v>
      </c>
      <c r="Y18" s="71">
        <v>23820</v>
      </c>
      <c r="Z18" s="71">
        <v>23820</v>
      </c>
      <c r="AA18" s="71">
        <v>23820</v>
      </c>
    </row>
    <row r="19" spans="1:27" x14ac:dyDescent="0.25">
      <c r="A19" s="67" t="s">
        <v>17</v>
      </c>
      <c r="B19" s="72"/>
      <c r="D19" s="72"/>
      <c r="E19" s="72"/>
      <c r="F19" s="72"/>
      <c r="G19" s="72"/>
      <c r="H19" s="72"/>
      <c r="I19" s="72"/>
      <c r="J19" s="72"/>
      <c r="K19" s="72"/>
      <c r="L19" s="72"/>
      <c r="M19" s="72"/>
      <c r="N19" s="72"/>
      <c r="O19" s="72"/>
      <c r="P19" s="72"/>
      <c r="Q19" s="72"/>
      <c r="R19" s="72"/>
      <c r="S19" s="72"/>
      <c r="T19" s="72"/>
      <c r="U19" s="72"/>
      <c r="V19" s="72"/>
      <c r="W19" s="72"/>
      <c r="X19" s="72"/>
      <c r="Y19" s="72"/>
      <c r="Z19" s="72"/>
      <c r="AA19" s="72"/>
    </row>
    <row r="20" spans="1:27" x14ac:dyDescent="0.25">
      <c r="A20" s="69" t="s">
        <v>18</v>
      </c>
      <c r="B20" s="73">
        <f>Input!B34</f>
        <v>0.02</v>
      </c>
      <c r="D20" s="73">
        <v>2.5000000000000001E-2</v>
      </c>
      <c r="E20" s="73">
        <v>2.5000000000000001E-2</v>
      </c>
      <c r="F20" s="73">
        <v>2.5000000000000001E-2</v>
      </c>
      <c r="G20" s="73">
        <v>2.5000000000000001E-2</v>
      </c>
      <c r="H20" s="73">
        <v>2.5000000000000001E-2</v>
      </c>
      <c r="I20" s="73">
        <v>2.5000000000000001E-2</v>
      </c>
      <c r="J20" s="73">
        <v>2.5000000000000001E-2</v>
      </c>
      <c r="K20" s="73">
        <v>2.5000000000000001E-2</v>
      </c>
      <c r="L20" s="73">
        <v>2.5000000000000001E-2</v>
      </c>
      <c r="M20" s="73">
        <v>2.5000000000000001E-2</v>
      </c>
      <c r="N20" s="73">
        <v>2.5000000000000001E-2</v>
      </c>
      <c r="O20" s="73">
        <v>2.5000000000000001E-2</v>
      </c>
      <c r="P20" s="73">
        <v>7.0000000000000007E-2</v>
      </c>
      <c r="Q20" s="73">
        <v>7.0000000000000007E-2</v>
      </c>
      <c r="R20" s="73">
        <v>7.0000000000000007E-2</v>
      </c>
      <c r="S20" s="73">
        <v>7.0000000000000007E-2</v>
      </c>
      <c r="T20" s="73">
        <v>7.0000000000000007E-2</v>
      </c>
      <c r="U20" s="73">
        <v>0.03</v>
      </c>
      <c r="V20" s="73">
        <v>0.03</v>
      </c>
      <c r="W20" s="73">
        <v>0.03</v>
      </c>
      <c r="X20" s="73">
        <v>0.03</v>
      </c>
      <c r="Y20" s="73">
        <v>0.03</v>
      </c>
      <c r="Z20" s="73">
        <v>0.03</v>
      </c>
      <c r="AA20" s="73">
        <v>2.5000000000000001E-2</v>
      </c>
    </row>
    <row r="21" spans="1:27" x14ac:dyDescent="0.25">
      <c r="A21" s="69" t="s">
        <v>16</v>
      </c>
      <c r="B21" s="71">
        <f ca="1">Input!B32</f>
        <v>9900</v>
      </c>
      <c r="D21" s="71">
        <v>14400</v>
      </c>
      <c r="E21" s="71">
        <v>14400</v>
      </c>
      <c r="F21" s="71">
        <v>14400</v>
      </c>
      <c r="G21" s="71">
        <v>7199.82</v>
      </c>
      <c r="H21" s="71">
        <v>18000</v>
      </c>
      <c r="I21" s="71">
        <v>18000</v>
      </c>
      <c r="J21" s="71">
        <v>18000</v>
      </c>
      <c r="K21" s="71">
        <v>14400</v>
      </c>
      <c r="L21" s="71">
        <v>14400</v>
      </c>
      <c r="M21" s="71">
        <v>14400</v>
      </c>
      <c r="N21" s="71">
        <v>14400</v>
      </c>
      <c r="O21" s="71">
        <v>14400</v>
      </c>
      <c r="P21" s="71">
        <v>14400</v>
      </c>
      <c r="Q21" s="71">
        <v>14400</v>
      </c>
      <c r="R21" s="71">
        <v>14400</v>
      </c>
      <c r="S21" s="71">
        <v>4500</v>
      </c>
      <c r="T21" s="71">
        <v>4500</v>
      </c>
      <c r="U21" s="71">
        <v>23820</v>
      </c>
      <c r="V21" s="71">
        <v>23820</v>
      </c>
      <c r="W21" s="71">
        <v>23820</v>
      </c>
      <c r="X21" s="71">
        <v>23820</v>
      </c>
      <c r="Y21" s="71">
        <v>23820</v>
      </c>
      <c r="Z21" s="71">
        <v>23820</v>
      </c>
      <c r="AA21" s="71">
        <v>18000</v>
      </c>
    </row>
    <row r="22" spans="1:27" x14ac:dyDescent="0.25">
      <c r="A22" s="74" t="s">
        <v>79</v>
      </c>
      <c r="B22" s="75"/>
      <c r="D22" s="75"/>
      <c r="E22" s="75"/>
      <c r="F22" s="75"/>
      <c r="G22" s="75"/>
      <c r="H22" s="75"/>
      <c r="I22" s="75"/>
      <c r="J22" s="75"/>
      <c r="K22" s="75"/>
      <c r="L22" s="75"/>
      <c r="M22" s="75"/>
      <c r="N22" s="75"/>
      <c r="O22" s="75"/>
      <c r="P22" s="75"/>
      <c r="Q22" s="75"/>
      <c r="R22" s="75"/>
      <c r="S22" s="75"/>
      <c r="T22" s="75"/>
      <c r="U22" s="75"/>
      <c r="V22" s="75"/>
      <c r="W22" s="75"/>
      <c r="X22" s="75"/>
      <c r="Y22" s="75"/>
      <c r="Z22" s="75"/>
      <c r="AA22" s="75"/>
    </row>
    <row r="23" spans="1:27" x14ac:dyDescent="0.25">
      <c r="A23" s="44" t="s">
        <v>77</v>
      </c>
      <c r="B23" s="76">
        <f>Input!B42</f>
        <v>25574.847128232046</v>
      </c>
      <c r="D23" s="76">
        <v>20155.820427768162</v>
      </c>
      <c r="E23" s="76">
        <v>30691.01653183535</v>
      </c>
      <c r="F23" s="76">
        <v>37714.48060121348</v>
      </c>
      <c r="G23" s="76">
        <v>23623.03694298862</v>
      </c>
      <c r="H23" s="76">
        <v>57597.686927497954</v>
      </c>
      <c r="I23" s="76">
        <v>78933.035918538764</v>
      </c>
      <c r="J23" s="76">
        <v>81074.405095118156</v>
      </c>
      <c r="K23" s="76">
        <v>57155.820427768165</v>
      </c>
      <c r="L23" s="76">
        <v>77155.820427768165</v>
      </c>
      <c r="M23" s="76">
        <v>160155.82042776817</v>
      </c>
      <c r="N23" s="76">
        <v>34062.374886476813</v>
      </c>
      <c r="O23" s="76">
        <v>42688.726981123356</v>
      </c>
      <c r="P23" s="76">
        <v>24246.701807638143</v>
      </c>
      <c r="Q23" s="76">
        <v>90240.892756233952</v>
      </c>
      <c r="R23" s="76">
        <v>85840.60365296941</v>
      </c>
      <c r="S23" s="76">
        <v>19987.382651987667</v>
      </c>
      <c r="T23" s="76">
        <v>9623.9897336200665</v>
      </c>
      <c r="U23" s="76">
        <v>99404.565263846715</v>
      </c>
      <c r="V23" s="76">
        <v>33056.929127249721</v>
      </c>
      <c r="W23" s="76">
        <v>49284.976223510086</v>
      </c>
      <c r="X23" s="76">
        <v>81741.070416030765</v>
      </c>
      <c r="Y23" s="76">
        <v>106083.14106042129</v>
      </c>
      <c r="Z23" s="76">
        <v>99997.623399323682</v>
      </c>
      <c r="AA23" s="76">
        <v>57469.011184251693</v>
      </c>
    </row>
    <row r="24" spans="1:27" x14ac:dyDescent="0.25">
      <c r="A24" s="44" t="s">
        <v>76</v>
      </c>
      <c r="B24" s="76">
        <f>Input!B69</f>
        <v>35000</v>
      </c>
      <c r="D24" s="76">
        <v>56000</v>
      </c>
      <c r="E24" s="76">
        <v>56000</v>
      </c>
      <c r="F24" s="76">
        <v>56000</v>
      </c>
      <c r="G24" s="76">
        <v>28000</v>
      </c>
      <c r="H24" s="76">
        <v>80000</v>
      </c>
      <c r="I24" s="76">
        <v>80000</v>
      </c>
      <c r="J24" s="76">
        <v>80000</v>
      </c>
      <c r="K24" s="76">
        <v>56000</v>
      </c>
      <c r="L24" s="76">
        <v>56000</v>
      </c>
      <c r="M24" s="76">
        <v>56000</v>
      </c>
      <c r="N24" s="76">
        <v>56000</v>
      </c>
      <c r="O24" s="76">
        <v>56000</v>
      </c>
      <c r="P24" s="76">
        <v>56000</v>
      </c>
      <c r="Q24" s="76">
        <v>80000</v>
      </c>
      <c r="R24" s="76">
        <v>80000</v>
      </c>
      <c r="S24" s="76">
        <v>10000</v>
      </c>
      <c r="T24" s="76">
        <v>10000</v>
      </c>
      <c r="U24" s="76">
        <v>100000</v>
      </c>
      <c r="V24" s="76">
        <v>100000</v>
      </c>
      <c r="W24" s="76">
        <v>100000</v>
      </c>
      <c r="X24" s="76">
        <v>100000</v>
      </c>
      <c r="Y24" s="76">
        <v>100000</v>
      </c>
      <c r="Z24" s="76">
        <v>100000</v>
      </c>
      <c r="AA24" s="76">
        <v>65000</v>
      </c>
    </row>
    <row r="25" spans="1:27" x14ac:dyDescent="0.25">
      <c r="A25" s="44" t="s">
        <v>48</v>
      </c>
      <c r="B25" s="76">
        <f>Input!B50</f>
        <v>533.36901290997378</v>
      </c>
      <c r="D25" s="76">
        <v>992.33436122212618</v>
      </c>
      <c r="E25" s="76">
        <v>992.33436122212595</v>
      </c>
      <c r="F25" s="76">
        <v>992.33436122212561</v>
      </c>
      <c r="G25" s="76">
        <v>327.68895792369864</v>
      </c>
      <c r="H25" s="76">
        <v>2318.9383168088052</v>
      </c>
      <c r="I25" s="76">
        <v>2318.9383168088043</v>
      </c>
      <c r="J25" s="76">
        <v>2318.9383168088034</v>
      </c>
      <c r="K25" s="76">
        <v>0</v>
      </c>
      <c r="L25" s="76">
        <v>0</v>
      </c>
      <c r="M25" s="76">
        <v>0</v>
      </c>
      <c r="N25" s="76">
        <v>696.3316388805855</v>
      </c>
      <c r="O25" s="76">
        <v>1090.4014442154582</v>
      </c>
      <c r="P25" s="76">
        <v>5898.0785306943662</v>
      </c>
      <c r="Q25" s="76">
        <v>451.09484100268492</v>
      </c>
      <c r="R25" s="76">
        <v>451.09484100268492</v>
      </c>
      <c r="S25" s="76">
        <v>0</v>
      </c>
      <c r="T25" s="76">
        <v>182.72979960667215</v>
      </c>
      <c r="U25" s="76">
        <v>2014.6766824774757</v>
      </c>
      <c r="V25" s="76">
        <v>1650.0585800783638</v>
      </c>
      <c r="W25" s="76">
        <v>1650.0585800783631</v>
      </c>
      <c r="X25" s="76">
        <v>1650.0585800783624</v>
      </c>
      <c r="Y25" s="76">
        <v>1650.0585800783617</v>
      </c>
      <c r="Z25" s="76">
        <v>1650.0585800783615</v>
      </c>
      <c r="AA25" s="76">
        <v>2352.7751131356908</v>
      </c>
    </row>
    <row r="26" spans="1:27" x14ac:dyDescent="0.25">
      <c r="A26" s="44" t="s">
        <v>80</v>
      </c>
      <c r="B26" s="76">
        <f>Input!B47</f>
        <v>324828.23566775996</v>
      </c>
      <c r="D26" s="76">
        <v>34864.339164466226</v>
      </c>
      <c r="E26" s="76">
        <v>235096.87794228562</v>
      </c>
      <c r="F26" s="76">
        <v>368585.23712749861</v>
      </c>
      <c r="G26" s="76">
        <v>111947.31758952043</v>
      </c>
      <c r="H26" s="76">
        <v>829348.31444172934</v>
      </c>
      <c r="I26" s="76">
        <v>1279860.7006279358</v>
      </c>
      <c r="J26" s="76">
        <v>1325077.3660713495</v>
      </c>
      <c r="K26" s="76">
        <v>0</v>
      </c>
      <c r="L26" s="76">
        <v>0</v>
      </c>
      <c r="M26" s="76">
        <v>0</v>
      </c>
      <c r="N26" s="76">
        <v>299173.10735571466</v>
      </c>
      <c r="O26" s="76">
        <v>526726.85584220244</v>
      </c>
      <c r="P26" s="76">
        <v>212787.61165361293</v>
      </c>
      <c r="Q26" s="76">
        <v>644686.28224852332</v>
      </c>
      <c r="R26" s="76">
        <v>555812.38943880796</v>
      </c>
      <c r="S26" s="76">
        <v>0</v>
      </c>
      <c r="T26" s="76">
        <v>63470.972388551745</v>
      </c>
      <c r="U26" s="76">
        <v>1473781.4940868046</v>
      </c>
      <c r="V26" s="76">
        <v>273150.76401021221</v>
      </c>
      <c r="W26" s="76">
        <v>566814.45977153233</v>
      </c>
      <c r="X26" s="76">
        <v>1154141.8512941722</v>
      </c>
      <c r="Y26" s="76">
        <v>1594637.3949361523</v>
      </c>
      <c r="Z26" s="76">
        <v>1484513.5090256573</v>
      </c>
      <c r="AA26" s="76">
        <v>567267.85087859666</v>
      </c>
    </row>
    <row r="27" spans="1:27" x14ac:dyDescent="0.25">
      <c r="A27" s="44" t="s">
        <v>81</v>
      </c>
      <c r="B27" s="76">
        <f>Input!B43</f>
        <v>521515.69437724643</v>
      </c>
      <c r="D27" s="76">
        <v>697189.76737770636</v>
      </c>
      <c r="E27" s="76">
        <v>697189.76737770636</v>
      </c>
      <c r="F27" s="76">
        <v>697189.76737770636</v>
      </c>
      <c r="G27" s="76">
        <v>182357.91382432554</v>
      </c>
      <c r="H27" s="76">
        <v>1280378.1098623727</v>
      </c>
      <c r="I27" s="76">
        <v>1280378.1098623727</v>
      </c>
      <c r="J27" s="76">
        <v>1280378.1098623727</v>
      </c>
      <c r="K27" s="76">
        <v>0</v>
      </c>
      <c r="L27" s="76">
        <v>0</v>
      </c>
      <c r="M27" s="76">
        <v>0</v>
      </c>
      <c r="N27" s="76">
        <v>697189.76737770636</v>
      </c>
      <c r="O27" s="76">
        <v>788831.23720609699</v>
      </c>
      <c r="P27" s="76">
        <v>1602184.5802777309</v>
      </c>
      <c r="Q27" s="76">
        <v>555868.95916435553</v>
      </c>
      <c r="R27" s="76">
        <v>555868.95916435553</v>
      </c>
      <c r="S27" s="76">
        <v>0</v>
      </c>
      <c r="T27" s="76">
        <v>112816.73978729412</v>
      </c>
      <c r="U27" s="76">
        <v>1484556.5161314332</v>
      </c>
      <c r="V27" s="76">
        <v>1484556.5161314332</v>
      </c>
      <c r="W27" s="76">
        <v>1484556.5161314332</v>
      </c>
      <c r="X27" s="76">
        <v>1484556.5161314332</v>
      </c>
      <c r="Y27" s="76">
        <v>1484556.5161314332</v>
      </c>
      <c r="Z27" s="76">
        <v>1484556.5161314332</v>
      </c>
      <c r="AA27" s="76">
        <v>690929.34498119866</v>
      </c>
    </row>
    <row r="28" spans="1:27" x14ac:dyDescent="0.25">
      <c r="A28" s="44" t="s">
        <v>82</v>
      </c>
      <c r="B28" s="77">
        <f>Input!B48</f>
        <v>-196687.45870948525</v>
      </c>
      <c r="D28" s="77">
        <v>-662325.42821324011</v>
      </c>
      <c r="E28" s="77">
        <v>-462092.88943542051</v>
      </c>
      <c r="F28" s="77">
        <v>-328604.5302502074</v>
      </c>
      <c r="G28" s="77">
        <v>-70410.596234804892</v>
      </c>
      <c r="H28" s="77">
        <v>-451029.79542064166</v>
      </c>
      <c r="I28" s="77">
        <v>-517.40923443459906</v>
      </c>
      <c r="J28" s="77">
        <v>44699.256208979525</v>
      </c>
      <c r="K28" s="77">
        <v>1155.8204277681652</v>
      </c>
      <c r="L28" s="77">
        <v>21155.820427768165</v>
      </c>
      <c r="M28" s="77">
        <v>104155.82042776817</v>
      </c>
      <c r="N28" s="77">
        <v>-398016.66002199141</v>
      </c>
      <c r="O28" s="77">
        <v>-262104.38136389409</v>
      </c>
      <c r="P28" s="77">
        <v>-1389396.968624118</v>
      </c>
      <c r="Q28" s="77">
        <v>88817.323084167787</v>
      </c>
      <c r="R28" s="77">
        <v>-56.569725547567941</v>
      </c>
      <c r="S28" s="77">
        <v>9987.3826519876675</v>
      </c>
      <c r="T28" s="77">
        <v>-49345.76739874234</v>
      </c>
      <c r="U28" s="77">
        <v>-10775.022044627229</v>
      </c>
      <c r="V28" s="77">
        <v>-1211405.7521212208</v>
      </c>
      <c r="W28" s="77">
        <v>-917742.05635990028</v>
      </c>
      <c r="X28" s="77">
        <v>-330414.6648372598</v>
      </c>
      <c r="Y28" s="77">
        <v>110080.87880472071</v>
      </c>
      <c r="Z28" s="77">
        <v>-43.007105774013326</v>
      </c>
      <c r="AA28" s="77">
        <v>-123661.49410260189</v>
      </c>
    </row>
    <row r="29" spans="1:27" x14ac:dyDescent="0.25">
      <c r="K29" s="23"/>
    </row>
    <row r="30" spans="1:27" x14ac:dyDescent="0.25">
      <c r="L30" s="23"/>
      <c r="S3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Input</vt:lpstr>
      <vt:lpstr>Primary Details - Actual</vt:lpstr>
      <vt:lpstr>Primary Details - Hypothetical</vt:lpstr>
      <vt:lpstr>Spouse Details - Actual</vt:lpstr>
      <vt:lpstr>Spouse Details - Hypothetical</vt:lpstr>
      <vt:lpstr>Error messages</vt:lpstr>
      <vt:lpstr>Assumptions</vt:lpstr>
      <vt:lpstr>MISC</vt:lpstr>
      <vt:lpstr>Sheet1</vt:lpstr>
      <vt:lpstr>Sheet2</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Tiana</dc:creator>
  <cp:lastModifiedBy>Clau</cp:lastModifiedBy>
  <dcterms:created xsi:type="dcterms:W3CDTF">2012-11-01T14:28:16Z</dcterms:created>
  <dcterms:modified xsi:type="dcterms:W3CDTF">2016-05-06T13:57:28Z</dcterms:modified>
</cp:coreProperties>
</file>