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custom.xml" ContentType="application/vnd.openxmlformats-officedocument.custom-properties+xml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autoCompressPictures="0"/>
  <bookViews>
    <workbookView xWindow="10380" yWindow="-420" windowWidth="32440" windowHeight="19660" tabRatio="803"/>
  </bookViews>
  <sheets>
    <sheet name="Cox NSF 7-12" sheetId="12" r:id="rId1"/>
  </sheets>
  <calcPr calcId="13000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E17" i="12"/>
  <c r="N49"/>
  <c r="N17"/>
  <c r="E49"/>
  <c r="Q53"/>
  <c r="Q61"/>
  <c r="Q62"/>
  <c r="Q63"/>
  <c r="Q64"/>
  <c r="O79"/>
  <c r="H53"/>
  <c r="H61"/>
  <c r="H62"/>
  <c r="H63"/>
  <c r="H64"/>
  <c r="M79"/>
  <c r="H20"/>
  <c r="H21"/>
  <c r="H29"/>
  <c r="H30"/>
  <c r="H31"/>
  <c r="H32"/>
  <c r="L79"/>
  <c r="Q21"/>
  <c r="Q29"/>
  <c r="Q30"/>
  <c r="Q31"/>
  <c r="Q32"/>
  <c r="N79"/>
  <c r="P79"/>
  <c r="O78"/>
  <c r="M78"/>
  <c r="L78"/>
  <c r="N78"/>
  <c r="P78"/>
  <c r="O77"/>
  <c r="M77"/>
  <c r="L77"/>
  <c r="N77"/>
  <c r="P77"/>
  <c r="O76"/>
  <c r="M76"/>
  <c r="L76"/>
  <c r="N76"/>
  <c r="P76"/>
  <c r="P74"/>
  <c r="O74"/>
  <c r="N74"/>
  <c r="M74"/>
  <c r="L74"/>
  <c r="P73"/>
  <c r="O73"/>
  <c r="N73"/>
  <c r="M73"/>
  <c r="L73"/>
  <c r="O72"/>
  <c r="M72"/>
  <c r="L72"/>
  <c r="N72"/>
  <c r="P72"/>
  <c r="L71"/>
  <c r="P71"/>
  <c r="O71"/>
  <c r="N71"/>
  <c r="M71"/>
  <c r="P69"/>
  <c r="O69"/>
  <c r="N69"/>
  <c r="M69"/>
  <c r="L69"/>
  <c r="Q59"/>
  <c r="M59"/>
  <c r="H59"/>
  <c r="D59"/>
  <c r="Q57"/>
  <c r="H57"/>
  <c r="Q56"/>
  <c r="H56"/>
  <c r="Q52"/>
  <c r="H52"/>
  <c r="Q50"/>
  <c r="P50"/>
  <c r="O50"/>
  <c r="H50"/>
  <c r="G50"/>
  <c r="F50"/>
  <c r="Q48"/>
  <c r="P48"/>
  <c r="O48"/>
  <c r="N48"/>
  <c r="H48"/>
  <c r="G48"/>
  <c r="F48"/>
  <c r="E48"/>
  <c r="Q47"/>
  <c r="O47"/>
  <c r="N47"/>
  <c r="H47"/>
  <c r="F47"/>
  <c r="E47"/>
  <c r="Q46"/>
  <c r="P46"/>
  <c r="O46"/>
  <c r="N46"/>
  <c r="H46"/>
  <c r="G46"/>
  <c r="F46"/>
  <c r="E46"/>
  <c r="Q45"/>
  <c r="O45"/>
  <c r="N45"/>
  <c r="H45"/>
  <c r="F45"/>
  <c r="E45"/>
  <c r="Q44"/>
  <c r="O44"/>
  <c r="N44"/>
  <c r="H44"/>
  <c r="F44"/>
  <c r="E44"/>
  <c r="Q43"/>
  <c r="P43"/>
  <c r="O43"/>
  <c r="N43"/>
  <c r="H43"/>
  <c r="G43"/>
  <c r="F43"/>
  <c r="E43"/>
  <c r="Q42"/>
  <c r="P42"/>
  <c r="O42"/>
  <c r="H42"/>
  <c r="G42"/>
  <c r="F42"/>
  <c r="Q41"/>
  <c r="P41"/>
  <c r="O41"/>
  <c r="N41"/>
  <c r="H41"/>
  <c r="G41"/>
  <c r="F41"/>
  <c r="E41"/>
  <c r="Q27"/>
  <c r="M27"/>
  <c r="H27"/>
  <c r="D27"/>
  <c r="Q25"/>
  <c r="H25"/>
  <c r="Q24"/>
  <c r="H24"/>
  <c r="Q20"/>
  <c r="Q18"/>
  <c r="P18"/>
  <c r="O18"/>
  <c r="H18"/>
  <c r="G18"/>
  <c r="F18"/>
  <c r="Q16"/>
  <c r="P16"/>
  <c r="O16"/>
  <c r="N16"/>
  <c r="H16"/>
  <c r="G16"/>
  <c r="F16"/>
  <c r="Q15"/>
  <c r="O15"/>
  <c r="N15"/>
  <c r="H15"/>
  <c r="F15"/>
  <c r="Q14"/>
  <c r="P14"/>
  <c r="O14"/>
  <c r="N14"/>
  <c r="H14"/>
  <c r="G14"/>
  <c r="F14"/>
  <c r="Q13"/>
  <c r="O13"/>
  <c r="N13"/>
  <c r="H13"/>
  <c r="F13"/>
  <c r="Q12"/>
  <c r="O12"/>
  <c r="N12"/>
  <c r="H12"/>
  <c r="F12"/>
  <c r="E12"/>
  <c r="Q11"/>
  <c r="P11"/>
  <c r="O11"/>
  <c r="N11"/>
  <c r="H11"/>
  <c r="G11"/>
  <c r="F11"/>
  <c r="Q10"/>
  <c r="P10"/>
  <c r="O10"/>
  <c r="H10"/>
  <c r="G10"/>
  <c r="Q9"/>
  <c r="P9"/>
  <c r="O9"/>
  <c r="N9"/>
  <c r="H9"/>
  <c r="G9"/>
  <c r="F9"/>
  <c r="E9"/>
</calcChain>
</file>

<file path=xl/sharedStrings.xml><?xml version="1.0" encoding="utf-8"?>
<sst xmlns="http://schemas.openxmlformats.org/spreadsheetml/2006/main" count="214" uniqueCount="54">
  <si>
    <t xml:space="preserve"> </t>
  </si>
  <si>
    <t>Requested</t>
  </si>
  <si>
    <t>Fringe</t>
  </si>
  <si>
    <t xml:space="preserve">Salary </t>
  </si>
  <si>
    <t>Benefit</t>
  </si>
  <si>
    <t>Total</t>
  </si>
  <si>
    <t>PERSONNEL</t>
  </si>
  <si>
    <t>Name</t>
  </si>
  <si>
    <t>Role</t>
  </si>
  <si>
    <t>Salary Base</t>
  </si>
  <si>
    <t>TOTAL</t>
  </si>
  <si>
    <t>Year 1</t>
  </si>
  <si>
    <t>Effort PM</t>
  </si>
  <si>
    <t>Cal</t>
  </si>
  <si>
    <t>Total Direct Costs</t>
  </si>
  <si>
    <t>PI</t>
  </si>
  <si>
    <t>Year 2</t>
  </si>
  <si>
    <t>Personnel</t>
  </si>
  <si>
    <t>F&amp;A</t>
  </si>
  <si>
    <t>Supplies</t>
  </si>
  <si>
    <t>Title</t>
  </si>
  <si>
    <t>Postdoc</t>
  </si>
  <si>
    <t>Travel</t>
  </si>
  <si>
    <t>TBN</t>
  </si>
  <si>
    <t>YEAR 1</t>
  </si>
  <si>
    <t>Year 3</t>
  </si>
  <si>
    <t>David Cox</t>
  </si>
  <si>
    <t>7/1/13-6/30/17</t>
  </si>
  <si>
    <t>Medium:RUI: Title</t>
  </si>
  <si>
    <t>Co-PI</t>
  </si>
  <si>
    <t>Sam Anthony</t>
  </si>
  <si>
    <t>Grad Student</t>
  </si>
  <si>
    <t>Modified Total Direct Costs</t>
  </si>
  <si>
    <t xml:space="preserve">Tution </t>
  </si>
  <si>
    <t>UG Programmer</t>
  </si>
  <si>
    <t>Server Fee</t>
  </si>
  <si>
    <t>Domain Reg</t>
  </si>
  <si>
    <t>Other Expenses</t>
  </si>
  <si>
    <t>An.Mtg/2 PI</t>
  </si>
  <si>
    <t>Res. Asst.</t>
  </si>
  <si>
    <t>TBN (Under Grad)</t>
  </si>
  <si>
    <t>Walter Scheirer</t>
    <phoneticPr fontId="12" type="noConversion"/>
  </si>
  <si>
    <t>YEAR 2</t>
  </si>
  <si>
    <t>7/1/13-6/30/14</t>
  </si>
  <si>
    <t>7/1/14-6/30/15</t>
  </si>
  <si>
    <t>YEAR 3</t>
  </si>
  <si>
    <t>7/1/15-6/30/16</t>
  </si>
  <si>
    <t>YEAR 4</t>
  </si>
  <si>
    <t>7/1/16-6/30/17</t>
  </si>
  <si>
    <t>Year 4</t>
  </si>
  <si>
    <t>Other Expense</t>
  </si>
  <si>
    <t>Tuition</t>
  </si>
  <si>
    <t>MTDC</t>
  </si>
  <si>
    <t>Ken Nakayama</t>
  </si>
</sst>
</file>

<file path=xl/styles.xml><?xml version="1.0" encoding="utf-8"?>
<styleSheet xmlns="http://schemas.openxmlformats.org/spreadsheetml/2006/main">
  <numFmts count="3">
    <numFmt numFmtId="44" formatCode="_(&quot;$&quot;* #,##0.00_);_(&quot;$&quot;* \(#,##0.00\);_(&quot;$&quot;* &quot;-&quot;??_);_(@_)"/>
    <numFmt numFmtId="164" formatCode="&quot;$&quot;#,##0"/>
    <numFmt numFmtId="165" formatCode="0.0"/>
  </numFmts>
  <fonts count="22">
    <font>
      <sz val="9"/>
      <name val="Times New Roman"/>
      <family val="1"/>
    </font>
    <font>
      <sz val="10"/>
      <name val="Arial"/>
      <family val="2"/>
    </font>
    <font>
      <b/>
      <i/>
      <sz val="11"/>
      <name val="Arial"/>
      <family val="2"/>
    </font>
    <font>
      <b/>
      <sz val="11"/>
      <name val="Tahoma"/>
      <family val="2"/>
    </font>
    <font>
      <sz val="11"/>
      <name val="Tahoma"/>
      <family val="2"/>
    </font>
    <font>
      <b/>
      <i/>
      <sz val="11"/>
      <name val="Tahoma"/>
      <family val="2"/>
    </font>
    <font>
      <sz val="11"/>
      <color indexed="10"/>
      <name val="Tahoma"/>
      <family val="2"/>
    </font>
    <font>
      <i/>
      <sz val="11"/>
      <color indexed="12"/>
      <name val="Tahoma"/>
      <family val="2"/>
    </font>
    <font>
      <b/>
      <u/>
      <sz val="11"/>
      <name val="Tahoma"/>
      <family val="2"/>
    </font>
    <font>
      <i/>
      <sz val="11"/>
      <color theme="8" tint="-0.249977111117893"/>
      <name val="Tahoma"/>
      <family val="2"/>
    </font>
    <font>
      <b/>
      <sz val="9"/>
      <name val="Tahoma"/>
      <family val="2"/>
    </font>
    <font>
      <sz val="9"/>
      <name val="Tahoma"/>
      <family val="2"/>
    </font>
    <font>
      <sz val="8"/>
      <name val="Verdana"/>
    </font>
    <font>
      <b/>
      <i/>
      <sz val="9"/>
      <color indexed="10"/>
      <name val="Tahoma"/>
      <family val="2"/>
    </font>
    <font>
      <b/>
      <sz val="9"/>
      <color indexed="10"/>
      <name val="Times New Roman"/>
      <family val="1"/>
    </font>
    <font>
      <sz val="11"/>
      <color indexed="10"/>
      <name val="Tahoma"/>
      <family val="2"/>
    </font>
    <font>
      <b/>
      <sz val="9"/>
      <color indexed="10"/>
      <name val="Tahoma"/>
      <family val="2"/>
    </font>
    <font>
      <b/>
      <sz val="11"/>
      <color indexed="10"/>
      <name val="Tahoma"/>
      <family val="2"/>
    </font>
    <font>
      <sz val="9"/>
      <color indexed="10"/>
      <name val="Times New Roman"/>
      <family val="1"/>
    </font>
    <font>
      <sz val="11"/>
      <color indexed="10"/>
      <name val="Tahoma"/>
      <family val="2"/>
    </font>
    <font>
      <b/>
      <i/>
      <sz val="11"/>
      <color indexed="10"/>
      <name val="Tahoma"/>
      <family val="2"/>
    </font>
    <font>
      <b/>
      <i/>
      <sz val="11"/>
      <color theme="8" tint="-0.249977111117893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21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1">
    <xf numFmtId="0" fontId="0" fillId="0" borderId="0" xfId="0"/>
    <xf numFmtId="0" fontId="2" fillId="2" borderId="0" xfId="0" applyFont="1" applyFill="1" applyBorder="1"/>
    <xf numFmtId="0" fontId="3" fillId="0" borderId="0" xfId="0" applyFont="1"/>
    <xf numFmtId="0" fontId="4" fillId="0" borderId="0" xfId="0" applyFont="1"/>
    <xf numFmtId="164" fontId="4" fillId="0" borderId="0" xfId="0" applyNumberFormat="1" applyFont="1"/>
    <xf numFmtId="164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Border="1"/>
    <xf numFmtId="164" fontId="4" fillId="0" borderId="0" xfId="1" applyNumberFormat="1" applyFont="1" applyBorder="1" applyAlignment="1">
      <alignment horizontal="center"/>
    </xf>
    <xf numFmtId="0" fontId="7" fillId="0" borderId="0" xfId="0" applyFont="1"/>
    <xf numFmtId="164" fontId="5" fillId="0" borderId="0" xfId="1" applyNumberFormat="1" applyFont="1" applyBorder="1"/>
    <xf numFmtId="164" fontId="4" fillId="0" borderId="0" xfId="1" applyNumberFormat="1" applyFont="1" applyAlignment="1">
      <alignment horizontal="center"/>
    </xf>
    <xf numFmtId="0" fontId="4" fillId="0" borderId="0" xfId="0" applyFont="1" applyFill="1" applyBorder="1" applyProtection="1"/>
    <xf numFmtId="0" fontId="4" fillId="0" borderId="0" xfId="0" applyFont="1" applyFill="1" applyBorder="1" applyAlignment="1" applyProtection="1">
      <alignment horizontal="center"/>
    </xf>
    <xf numFmtId="164" fontId="4" fillId="0" borderId="0" xfId="0" applyNumberFormat="1" applyFont="1" applyFill="1" applyBorder="1" applyProtection="1"/>
    <xf numFmtId="164" fontId="8" fillId="0" borderId="0" xfId="0" applyNumberFormat="1" applyFont="1"/>
    <xf numFmtId="164" fontId="8" fillId="0" borderId="0" xfId="1" applyNumberFormat="1" applyFont="1" applyBorder="1" applyAlignment="1">
      <alignment horizontal="center"/>
    </xf>
    <xf numFmtId="164" fontId="8" fillId="0" borderId="0" xfId="1" applyNumberFormat="1" applyFont="1" applyBorder="1" applyAlignment="1">
      <alignment horizontal="right"/>
    </xf>
    <xf numFmtId="0" fontId="0" fillId="4" borderId="0" xfId="0" applyFill="1"/>
    <xf numFmtId="14" fontId="4" fillId="0" borderId="0" xfId="0" applyNumberFormat="1" applyFont="1"/>
    <xf numFmtId="0" fontId="0" fillId="0" borderId="0" xfId="0" applyFill="1" applyBorder="1"/>
    <xf numFmtId="164" fontId="4" fillId="0" borderId="0" xfId="0" applyNumberFormat="1" applyFont="1" applyAlignment="1">
      <alignment horizontal="right"/>
    </xf>
    <xf numFmtId="0" fontId="0" fillId="0" borderId="0" xfId="0" applyFont="1"/>
    <xf numFmtId="164" fontId="11" fillId="0" borderId="0" xfId="0" applyNumberFormat="1" applyFont="1"/>
    <xf numFmtId="9" fontId="9" fillId="0" borderId="4" xfId="0" applyNumberFormat="1" applyFont="1" applyBorder="1"/>
    <xf numFmtId="164" fontId="3" fillId="0" borderId="2" xfId="0" applyNumberFormat="1" applyFont="1" applyBorder="1"/>
    <xf numFmtId="165" fontId="4" fillId="0" borderId="0" xfId="0" applyNumberFormat="1" applyFont="1" applyAlignment="1">
      <alignment horizontal="center"/>
    </xf>
    <xf numFmtId="164" fontId="3" fillId="3" borderId="2" xfId="1" applyNumberFormat="1" applyFont="1" applyFill="1" applyBorder="1"/>
    <xf numFmtId="164" fontId="3" fillId="3" borderId="1" xfId="1" applyNumberFormat="1" applyFont="1" applyFill="1" applyBorder="1" applyAlignment="1">
      <alignment horizontal="center"/>
    </xf>
    <xf numFmtId="164" fontId="3" fillId="3" borderId="3" xfId="0" applyNumberFormat="1" applyFont="1" applyFill="1" applyBorder="1" applyAlignment="1">
      <alignment horizontal="right"/>
    </xf>
    <xf numFmtId="165" fontId="4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right"/>
    </xf>
    <xf numFmtId="164" fontId="9" fillId="0" borderId="6" xfId="0" applyNumberFormat="1" applyFont="1" applyBorder="1" applyAlignment="1">
      <alignment horizontal="right"/>
    </xf>
    <xf numFmtId="164" fontId="3" fillId="0" borderId="1" xfId="0" applyNumberFormat="1" applyFont="1" applyBorder="1"/>
    <xf numFmtId="164" fontId="3" fillId="0" borderId="3" xfId="1" applyNumberFormat="1" applyFont="1" applyBorder="1" applyAlignment="1">
      <alignment horizontal="right"/>
    </xf>
    <xf numFmtId="0" fontId="4" fillId="0" borderId="0" xfId="0" applyFont="1" applyFill="1" applyBorder="1"/>
    <xf numFmtId="0" fontId="2" fillId="0" borderId="0" xfId="0" applyFont="1" applyFill="1" applyBorder="1"/>
    <xf numFmtId="164" fontId="4" fillId="0" borderId="0" xfId="1" applyNumberFormat="1" applyFont="1" applyFill="1" applyBorder="1" applyAlignment="1">
      <alignment horizontal="center"/>
    </xf>
    <xf numFmtId="164" fontId="8" fillId="0" borderId="0" xfId="1" applyNumberFormat="1" applyFont="1" applyFill="1" applyBorder="1" applyAlignment="1">
      <alignment horizontal="center"/>
    </xf>
    <xf numFmtId="164" fontId="8" fillId="0" borderId="0" xfId="1" applyNumberFormat="1" applyFont="1" applyFill="1" applyBorder="1" applyAlignment="1">
      <alignment horizontal="right"/>
    </xf>
    <xf numFmtId="164" fontId="3" fillId="0" borderId="0" xfId="1" applyNumberFormat="1" applyFont="1" applyFill="1" applyBorder="1" applyAlignment="1">
      <alignment horizontal="right"/>
    </xf>
    <xf numFmtId="164" fontId="5" fillId="0" borderId="0" xfId="1" applyNumberFormat="1" applyFont="1" applyFill="1" applyBorder="1"/>
    <xf numFmtId="164" fontId="4" fillId="0" borderId="0" xfId="0" applyNumberFormat="1" applyFont="1" applyFill="1" applyBorder="1"/>
    <xf numFmtId="0" fontId="3" fillId="0" borderId="0" xfId="0" applyFont="1" applyFill="1" applyBorder="1"/>
    <xf numFmtId="164" fontId="4" fillId="0" borderId="0" xfId="0" applyNumberFormat="1" applyFont="1" applyFill="1" applyBorder="1" applyAlignment="1">
      <alignment horizontal="center"/>
    </xf>
    <xf numFmtId="164" fontId="8" fillId="0" borderId="0" xfId="0" applyNumberFormat="1" applyFont="1" applyFill="1" applyBorder="1"/>
    <xf numFmtId="164" fontId="3" fillId="0" borderId="0" xfId="1" applyNumberFormat="1" applyFont="1" applyFill="1" applyBorder="1"/>
    <xf numFmtId="164" fontId="3" fillId="0" borderId="0" xfId="1" applyNumberFormat="1" applyFont="1" applyFill="1" applyBorder="1" applyAlignment="1">
      <alignment horizontal="center"/>
    </xf>
    <xf numFmtId="164" fontId="3" fillId="0" borderId="0" xfId="0" applyNumberFormat="1" applyFont="1" applyFill="1" applyBorder="1" applyAlignment="1">
      <alignment horizontal="right"/>
    </xf>
    <xf numFmtId="3" fontId="4" fillId="0" borderId="0" xfId="0" applyNumberFormat="1" applyFont="1" applyFill="1" applyBorder="1" applyAlignment="1">
      <alignment horizontal="center"/>
    </xf>
    <xf numFmtId="0" fontId="9" fillId="0" borderId="0" xfId="0" applyFont="1" applyFill="1" applyBorder="1"/>
    <xf numFmtId="9" fontId="9" fillId="0" borderId="0" xfId="0" applyNumberFormat="1" applyFont="1" applyFill="1" applyBorder="1"/>
    <xf numFmtId="164" fontId="9" fillId="0" borderId="0" xfId="0" applyNumberFormat="1" applyFont="1" applyFill="1" applyBorder="1" applyAlignment="1">
      <alignment horizontal="right"/>
    </xf>
    <xf numFmtId="0" fontId="7" fillId="0" borderId="0" xfId="0" applyFont="1" applyFill="1" applyBorder="1"/>
    <xf numFmtId="164" fontId="3" fillId="0" borderId="0" xfId="0" applyNumberFormat="1" applyFont="1" applyFill="1" applyBorder="1"/>
    <xf numFmtId="164" fontId="13" fillId="0" borderId="0" xfId="1" applyNumberFormat="1" applyFont="1" applyFill="1" applyBorder="1"/>
    <xf numFmtId="0" fontId="0" fillId="0" borderId="0" xfId="0" applyBorder="1"/>
    <xf numFmtId="164" fontId="4" fillId="3" borderId="1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14" fillId="0" borderId="0" xfId="0" applyFont="1"/>
    <xf numFmtId="164" fontId="0" fillId="0" borderId="0" xfId="0" applyNumberFormat="1"/>
    <xf numFmtId="164" fontId="9" fillId="0" borderId="5" xfId="0" applyNumberFormat="1" applyFont="1" applyBorder="1"/>
    <xf numFmtId="0" fontId="11" fillId="0" borderId="0" xfId="0" applyFont="1"/>
    <xf numFmtId="0" fontId="0" fillId="0" borderId="0" xfId="0" applyFont="1" applyFill="1" applyBorder="1"/>
    <xf numFmtId="0" fontId="4" fillId="0" borderId="0" xfId="0" applyFont="1" applyFill="1" applyBorder="1" applyAlignment="1">
      <alignment horizontal="center"/>
    </xf>
    <xf numFmtId="1" fontId="4" fillId="0" borderId="0" xfId="0" applyNumberFormat="1" applyFont="1" applyAlignment="1">
      <alignment horizontal="center"/>
    </xf>
    <xf numFmtId="164" fontId="3" fillId="0" borderId="4" xfId="1" applyNumberFormat="1" applyFont="1" applyFill="1" applyBorder="1" applyAlignment="1">
      <alignment horizontal="center"/>
    </xf>
    <xf numFmtId="164" fontId="3" fillId="0" borderId="6" xfId="0" applyNumberFormat="1" applyFont="1" applyFill="1" applyBorder="1" applyAlignment="1">
      <alignment horizontal="right"/>
    </xf>
    <xf numFmtId="164" fontId="16" fillId="0" borderId="5" xfId="1" applyNumberFormat="1" applyFont="1" applyFill="1" applyBorder="1"/>
    <xf numFmtId="0" fontId="18" fillId="0" borderId="0" xfId="0" applyFont="1"/>
    <xf numFmtId="164" fontId="15" fillId="0" borderId="0" xfId="1" applyNumberFormat="1" applyFont="1" applyBorder="1" applyAlignment="1">
      <alignment horizontal="center"/>
    </xf>
    <xf numFmtId="164" fontId="17" fillId="0" borderId="0" xfId="1" applyNumberFormat="1" applyFont="1" applyBorder="1" applyAlignment="1">
      <alignment horizontal="right"/>
    </xf>
    <xf numFmtId="164" fontId="15" fillId="0" borderId="0" xfId="0" applyNumberFormat="1" applyFont="1" applyAlignment="1">
      <alignment horizontal="center"/>
    </xf>
    <xf numFmtId="164" fontId="11" fillId="0" borderId="0" xfId="0" applyNumberFormat="1" applyFont="1" applyAlignment="1">
      <alignment horizontal="center"/>
    </xf>
    <xf numFmtId="0" fontId="15" fillId="0" borderId="0" xfId="0" applyFont="1"/>
    <xf numFmtId="0" fontId="4" fillId="0" borderId="4" xfId="0" applyFont="1" applyBorder="1"/>
    <xf numFmtId="164" fontId="4" fillId="0" borderId="0" xfId="1" applyNumberFormat="1" applyFont="1" applyBorder="1" applyAlignment="1">
      <alignment horizontal="right"/>
    </xf>
    <xf numFmtId="164" fontId="6" fillId="0" borderId="0" xfId="0" applyNumberFormat="1" applyFont="1" applyAlignment="1">
      <alignment horizontal="center"/>
    </xf>
    <xf numFmtId="0" fontId="0" fillId="0" borderId="0" xfId="0" applyFill="1" applyBorder="1" applyAlignment="1">
      <alignment horizontal="center"/>
    </xf>
    <xf numFmtId="164" fontId="19" fillId="0" borderId="4" xfId="0" applyNumberFormat="1" applyFont="1" applyFill="1" applyBorder="1" applyAlignment="1">
      <alignment horizontal="center"/>
    </xf>
    <xf numFmtId="164" fontId="19" fillId="0" borderId="4" xfId="1" applyNumberFormat="1" applyFont="1" applyFill="1" applyBorder="1" applyAlignment="1">
      <alignment horizontal="center"/>
    </xf>
    <xf numFmtId="0" fontId="0" fillId="0" borderId="7" xfId="0" applyFill="1" applyBorder="1"/>
    <xf numFmtId="0" fontId="0" fillId="0" borderId="8" xfId="0" applyFill="1" applyBorder="1"/>
    <xf numFmtId="1" fontId="0" fillId="0" borderId="8" xfId="0" applyNumberFormat="1" applyFill="1" applyBorder="1"/>
    <xf numFmtId="0" fontId="0" fillId="0" borderId="9" xfId="0" applyFill="1" applyBorder="1"/>
    <xf numFmtId="0" fontId="4" fillId="0" borderId="10" xfId="0" applyFont="1" applyFill="1" applyBorder="1"/>
    <xf numFmtId="0" fontId="19" fillId="0" borderId="11" xfId="0" applyFont="1" applyFill="1" applyBorder="1"/>
    <xf numFmtId="0" fontId="0" fillId="0" borderId="10" xfId="0" applyFill="1" applyBorder="1"/>
    <xf numFmtId="0" fontId="0" fillId="0" borderId="12" xfId="0" applyFill="1" applyBorder="1"/>
    <xf numFmtId="0" fontId="0" fillId="0" borderId="13" xfId="0" applyFill="1" applyBorder="1"/>
    <xf numFmtId="0" fontId="0" fillId="0" borderId="14" xfId="0" applyBorder="1"/>
    <xf numFmtId="164" fontId="4" fillId="0" borderId="15" xfId="1" applyNumberFormat="1" applyFont="1" applyFill="1" applyBorder="1" applyAlignment="1">
      <alignment horizontal="right"/>
    </xf>
    <xf numFmtId="0" fontId="0" fillId="0" borderId="15" xfId="0" applyFill="1" applyBorder="1" applyAlignment="1">
      <alignment horizontal="right"/>
    </xf>
    <xf numFmtId="0" fontId="0" fillId="0" borderId="16" xfId="0" applyFill="1" applyBorder="1"/>
    <xf numFmtId="164" fontId="19" fillId="0" borderId="17" xfId="1" applyNumberFormat="1" applyFont="1" applyFill="1" applyBorder="1" applyAlignment="1">
      <alignment horizontal="right"/>
    </xf>
    <xf numFmtId="164" fontId="19" fillId="0" borderId="1" xfId="1" applyNumberFormat="1" applyFont="1" applyFill="1" applyBorder="1" applyAlignment="1">
      <alignment horizontal="center"/>
    </xf>
    <xf numFmtId="164" fontId="19" fillId="0" borderId="1" xfId="0" applyNumberFormat="1" applyFont="1" applyFill="1" applyBorder="1" applyAlignment="1">
      <alignment horizontal="center"/>
    </xf>
    <xf numFmtId="164" fontId="9" fillId="0" borderId="1" xfId="0" applyNumberFormat="1" applyFont="1" applyFill="1" applyBorder="1" applyAlignment="1">
      <alignment horizontal="center"/>
    </xf>
    <xf numFmtId="164" fontId="3" fillId="0" borderId="1" xfId="0" applyNumberFormat="1" applyFont="1" applyFill="1" applyBorder="1" applyAlignment="1">
      <alignment horizontal="center"/>
    </xf>
    <xf numFmtId="164" fontId="4" fillId="3" borderId="1" xfId="1" applyNumberFormat="1" applyFont="1" applyFill="1" applyBorder="1" applyAlignment="1">
      <alignment horizontal="center"/>
    </xf>
    <xf numFmtId="0" fontId="3" fillId="0" borderId="18" xfId="0" applyFont="1" applyFill="1" applyBorder="1"/>
    <xf numFmtId="0" fontId="4" fillId="0" borderId="19" xfId="0" applyFont="1" applyFill="1" applyBorder="1" applyAlignment="1">
      <alignment horizontal="center"/>
    </xf>
    <xf numFmtId="164" fontId="10" fillId="3" borderId="18" xfId="1" applyNumberFormat="1" applyFont="1" applyFill="1" applyBorder="1"/>
    <xf numFmtId="164" fontId="5" fillId="3" borderId="20" xfId="1" applyNumberFormat="1" applyFont="1" applyFill="1" applyBorder="1" applyAlignment="1">
      <alignment horizontal="right"/>
    </xf>
    <xf numFmtId="164" fontId="16" fillId="0" borderId="18" xfId="1" applyNumberFormat="1" applyFont="1" applyFill="1" applyBorder="1"/>
    <xf numFmtId="164" fontId="20" fillId="0" borderId="20" xfId="1" applyNumberFormat="1" applyFont="1" applyFill="1" applyBorder="1" applyAlignment="1">
      <alignment horizontal="right"/>
    </xf>
    <xf numFmtId="164" fontId="9" fillId="0" borderId="18" xfId="0" applyNumberFormat="1" applyFont="1" applyBorder="1"/>
    <xf numFmtId="164" fontId="21" fillId="0" borderId="20" xfId="1" applyNumberFormat="1" applyFont="1" applyFill="1" applyBorder="1" applyAlignment="1">
      <alignment horizontal="right"/>
    </xf>
    <xf numFmtId="164" fontId="3" fillId="0" borderId="18" xfId="0" applyNumberFormat="1" applyFont="1" applyBorder="1"/>
    <xf numFmtId="164" fontId="5" fillId="0" borderId="20" xfId="1" applyNumberFormat="1" applyFont="1" applyFill="1" applyBorder="1" applyAlignment="1">
      <alignment horizontal="right"/>
    </xf>
  </cellXfs>
  <cellStyles count="2">
    <cellStyle name="Currency" xfId="1" builtinId="4"/>
    <cellStyle name="Normal" xfId="0" builtinId="0"/>
  </cellStyles>
  <dxfs count="0"/>
  <tableStyles count="0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V101"/>
  <sheetViews>
    <sheetView tabSelected="1" zoomScale="80" zoomScaleNormal="80" zoomScalePageLayoutView="80" workbookViewId="0">
      <selection activeCell="E18" sqref="E18"/>
    </sheetView>
  </sheetViews>
  <sheetFormatPr baseColWidth="10" defaultColWidth="9" defaultRowHeight="11"/>
  <cols>
    <col min="1" max="1" width="4.19921875" customWidth="1"/>
    <col min="2" max="2" width="26.19921875" customWidth="1"/>
    <col min="3" max="3" width="21.796875" customWidth="1"/>
    <col min="4" max="4" width="15.3984375" customWidth="1"/>
    <col min="5" max="5" width="16" customWidth="1"/>
    <col min="6" max="6" width="14.796875" customWidth="1"/>
    <col min="7" max="7" width="18.59765625" customWidth="1"/>
    <col min="8" max="8" width="18.19921875" customWidth="1"/>
    <col min="9" max="9" width="2" customWidth="1"/>
    <col min="10" max="10" width="18.796875" hidden="1" customWidth="1"/>
    <col min="11" max="11" width="20.59765625" customWidth="1"/>
    <col min="12" max="12" width="20.19921875" customWidth="1"/>
    <col min="13" max="13" width="17" customWidth="1"/>
    <col min="14" max="14" width="15.59765625" customWidth="1"/>
    <col min="15" max="15" width="18.19921875" customWidth="1"/>
    <col min="16" max="16" width="18.3984375" customWidth="1"/>
    <col min="17" max="17" width="16.59765625" customWidth="1"/>
    <col min="18" max="18" width="2.59765625" customWidth="1"/>
  </cols>
  <sheetData>
    <row r="1" spans="1:18">
      <c r="A1" s="18"/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</row>
    <row r="2" spans="1:18" ht="14">
      <c r="A2" s="1"/>
      <c r="B2" s="7" t="s">
        <v>26</v>
      </c>
      <c r="C2" s="3" t="s">
        <v>27</v>
      </c>
      <c r="D2" s="4"/>
      <c r="E2" s="36" t="s">
        <v>24</v>
      </c>
      <c r="F2" s="12"/>
      <c r="G2" s="13"/>
      <c r="H2" s="14"/>
      <c r="I2" s="1"/>
      <c r="J2" s="1"/>
      <c r="K2" s="7" t="s">
        <v>26</v>
      </c>
      <c r="L2" s="3" t="s">
        <v>27</v>
      </c>
      <c r="M2" s="4"/>
      <c r="N2" s="36" t="s">
        <v>45</v>
      </c>
      <c r="O2" s="12"/>
      <c r="P2" s="13"/>
      <c r="Q2" s="14"/>
      <c r="R2" s="1"/>
    </row>
    <row r="3" spans="1:18" ht="14">
      <c r="A3" s="1"/>
      <c r="B3" s="7" t="s">
        <v>20</v>
      </c>
      <c r="C3" s="60" t="s">
        <v>28</v>
      </c>
      <c r="D3" s="22"/>
      <c r="E3" s="22"/>
      <c r="F3" s="23"/>
      <c r="G3" s="23"/>
      <c r="H3" s="22"/>
      <c r="I3" s="1"/>
      <c r="J3" s="1"/>
      <c r="K3" s="7" t="s">
        <v>20</v>
      </c>
      <c r="L3" s="60" t="s">
        <v>28</v>
      </c>
      <c r="M3" s="22"/>
      <c r="N3" s="22"/>
      <c r="O3" s="23"/>
      <c r="P3" s="23"/>
      <c r="Q3" s="22"/>
      <c r="R3" s="1"/>
    </row>
    <row r="4" spans="1:18" ht="14">
      <c r="A4" s="1"/>
      <c r="E4" s="19" t="s">
        <v>43</v>
      </c>
      <c r="F4" s="4"/>
      <c r="G4" s="4"/>
      <c r="H4" s="21"/>
      <c r="I4" s="1"/>
      <c r="J4" s="1"/>
      <c r="N4" s="19" t="s">
        <v>46</v>
      </c>
      <c r="O4" s="4"/>
      <c r="P4" s="4"/>
      <c r="Q4" s="32"/>
      <c r="R4" s="1"/>
    </row>
    <row r="5" spans="1:18" ht="14">
      <c r="A5" s="1"/>
      <c r="B5" s="2" t="s">
        <v>6</v>
      </c>
      <c r="C5" s="3"/>
      <c r="D5" s="3"/>
      <c r="E5" s="4"/>
      <c r="F5" s="4"/>
      <c r="G5" s="4"/>
      <c r="H5" s="21"/>
      <c r="I5" s="1"/>
      <c r="J5" s="1"/>
      <c r="K5" s="2" t="s">
        <v>6</v>
      </c>
      <c r="L5" s="3"/>
      <c r="M5" s="3"/>
      <c r="N5" s="4"/>
      <c r="O5" s="4"/>
      <c r="P5" s="4"/>
      <c r="Q5" s="32"/>
      <c r="R5" s="1"/>
    </row>
    <row r="6" spans="1:18" ht="14">
      <c r="A6" s="1"/>
      <c r="B6" s="3"/>
      <c r="C6" s="3"/>
      <c r="D6" s="3"/>
      <c r="E6" s="4"/>
      <c r="F6" s="5" t="s">
        <v>1</v>
      </c>
      <c r="G6" s="5" t="s">
        <v>2</v>
      </c>
      <c r="H6" s="21"/>
      <c r="I6" s="1"/>
      <c r="J6" s="1"/>
      <c r="K6" s="3"/>
      <c r="L6" s="3"/>
      <c r="M6" s="3"/>
      <c r="N6" s="4"/>
      <c r="O6" s="31" t="s">
        <v>1</v>
      </c>
      <c r="P6" s="31" t="s">
        <v>2</v>
      </c>
      <c r="Q6" s="32"/>
      <c r="R6" s="1"/>
    </row>
    <row r="7" spans="1:18" ht="14">
      <c r="A7" s="1"/>
      <c r="B7" s="3" t="s">
        <v>7</v>
      </c>
      <c r="C7" s="3" t="s">
        <v>8</v>
      </c>
      <c r="D7" s="6" t="s">
        <v>12</v>
      </c>
      <c r="E7" s="5" t="s">
        <v>9</v>
      </c>
      <c r="F7" s="5" t="s">
        <v>3</v>
      </c>
      <c r="G7" s="5" t="s">
        <v>4</v>
      </c>
      <c r="H7" s="21" t="s">
        <v>5</v>
      </c>
      <c r="I7" s="1"/>
      <c r="J7" s="1"/>
      <c r="K7" s="3" t="s">
        <v>7</v>
      </c>
      <c r="L7" s="3" t="s">
        <v>8</v>
      </c>
      <c r="M7" s="6" t="s">
        <v>12</v>
      </c>
      <c r="N7" s="31" t="s">
        <v>9</v>
      </c>
      <c r="O7" s="31" t="s">
        <v>3</v>
      </c>
      <c r="P7" s="31" t="s">
        <v>4</v>
      </c>
      <c r="Q7" s="32" t="s">
        <v>5</v>
      </c>
      <c r="R7" s="1"/>
    </row>
    <row r="8" spans="1:18" ht="14">
      <c r="A8" s="1"/>
      <c r="B8" s="3"/>
      <c r="C8" s="3"/>
      <c r="D8" s="6" t="s">
        <v>13</v>
      </c>
      <c r="E8" s="5"/>
      <c r="I8" s="1"/>
      <c r="J8" s="1"/>
      <c r="K8" s="3"/>
      <c r="L8" s="3"/>
      <c r="M8" s="6" t="s">
        <v>13</v>
      </c>
      <c r="N8" s="31"/>
      <c r="R8" s="1"/>
    </row>
    <row r="9" spans="1:18" ht="14">
      <c r="A9" s="1"/>
      <c r="B9" s="3" t="s">
        <v>26</v>
      </c>
      <c r="C9" s="3" t="s">
        <v>15</v>
      </c>
      <c r="D9" s="66">
        <v>1</v>
      </c>
      <c r="E9" s="31">
        <f>85000*1.02</f>
        <v>86700</v>
      </c>
      <c r="F9" s="31">
        <f>E9/9*1</f>
        <v>9633.3333333333339</v>
      </c>
      <c r="G9" s="31">
        <f>F9*0.277</f>
        <v>2668.4333333333338</v>
      </c>
      <c r="H9" s="32">
        <f>G9+F9</f>
        <v>12301.766666666668</v>
      </c>
      <c r="I9" s="1"/>
      <c r="J9" s="1"/>
      <c r="K9" s="3" t="s">
        <v>26</v>
      </c>
      <c r="L9" s="3" t="s">
        <v>15</v>
      </c>
      <c r="M9" s="66">
        <v>1</v>
      </c>
      <c r="N9" s="31">
        <f>88434*1.02</f>
        <v>90202.680000000008</v>
      </c>
      <c r="O9" s="31">
        <f>N9/9*1</f>
        <v>10022.52</v>
      </c>
      <c r="P9" s="31">
        <f>O9*0.281</f>
        <v>2816.3281200000006</v>
      </c>
      <c r="Q9" s="32">
        <f>P9+O9</f>
        <v>12838.848120000001</v>
      </c>
      <c r="R9" s="1"/>
    </row>
    <row r="10" spans="1:18" ht="14">
      <c r="A10" s="1"/>
      <c r="B10" s="3" t="s">
        <v>53</v>
      </c>
      <c r="C10" s="3" t="s">
        <v>29</v>
      </c>
      <c r="D10" s="66">
        <v>1</v>
      </c>
      <c r="E10" s="31">
        <v>0</v>
      </c>
      <c r="F10" s="31">
        <v>20486</v>
      </c>
      <c r="G10" s="31">
        <f>F10*0.277</f>
        <v>5674.6220000000003</v>
      </c>
      <c r="H10" s="32">
        <f>G10+F10</f>
        <v>26160.621999999999</v>
      </c>
      <c r="I10" s="1"/>
      <c r="J10" s="1"/>
      <c r="K10" s="3" t="s">
        <v>53</v>
      </c>
      <c r="L10" s="3" t="s">
        <v>29</v>
      </c>
      <c r="M10" s="66">
        <v>1</v>
      </c>
      <c r="N10" s="31">
        <v>0</v>
      </c>
      <c r="O10" s="31">
        <f>20896*1.02</f>
        <v>21313.920000000002</v>
      </c>
      <c r="P10" s="31">
        <f>O10*0.281</f>
        <v>5989.2115200000007</v>
      </c>
      <c r="Q10" s="32">
        <f>P10+O10</f>
        <v>27303.131520000003</v>
      </c>
      <c r="R10" s="1"/>
    </row>
    <row r="11" spans="1:18" ht="14">
      <c r="A11" s="1"/>
      <c r="B11" s="3" t="s">
        <v>41</v>
      </c>
      <c r="C11" s="3" t="s">
        <v>21</v>
      </c>
      <c r="D11" s="26">
        <v>6</v>
      </c>
      <c r="E11" s="11">
        <v>65000</v>
      </c>
      <c r="F11" s="31">
        <f>E11/12*D11</f>
        <v>32500</v>
      </c>
      <c r="G11" s="31">
        <f>F11*0.252</f>
        <v>8190</v>
      </c>
      <c r="H11" s="32">
        <f>G11+F11</f>
        <v>40690</v>
      </c>
      <c r="I11" s="1"/>
      <c r="J11" s="1"/>
      <c r="K11" s="3" t="s">
        <v>41</v>
      </c>
      <c r="L11" s="3" t="s">
        <v>21</v>
      </c>
      <c r="M11" s="30">
        <v>6</v>
      </c>
      <c r="N11" s="11">
        <f>66300*1.02</f>
        <v>67626</v>
      </c>
      <c r="O11" s="31">
        <f>N11/12*M11</f>
        <v>33813</v>
      </c>
      <c r="P11" s="31">
        <f>O11*0.26</f>
        <v>8791.380000000001</v>
      </c>
      <c r="Q11" s="32">
        <f>P11+O11</f>
        <v>42604.380000000005</v>
      </c>
      <c r="R11" s="1"/>
    </row>
    <row r="12" spans="1:18" ht="14">
      <c r="A12" s="1"/>
      <c r="B12" s="3" t="s">
        <v>30</v>
      </c>
      <c r="C12" s="3" t="s">
        <v>31</v>
      </c>
      <c r="D12" s="26">
        <v>12</v>
      </c>
      <c r="E12" s="8">
        <f>29240*1.03</f>
        <v>30117.200000000001</v>
      </c>
      <c r="F12" s="8">
        <f>E12</f>
        <v>30117.200000000001</v>
      </c>
      <c r="G12" s="31">
        <v>0</v>
      </c>
      <c r="H12" s="32">
        <f>G12+F12</f>
        <v>30117.200000000001</v>
      </c>
      <c r="I12" s="1"/>
      <c r="J12" s="1"/>
      <c r="K12" s="3" t="s">
        <v>30</v>
      </c>
      <c r="L12" s="3" t="s">
        <v>31</v>
      </c>
      <c r="M12" s="30">
        <v>12</v>
      </c>
      <c r="N12" s="8">
        <f>29868*1.03</f>
        <v>30764.04</v>
      </c>
      <c r="O12" s="8">
        <f>N12</f>
        <v>30764.04</v>
      </c>
      <c r="P12" s="31">
        <v>0</v>
      </c>
      <c r="Q12" s="32">
        <f>P12+O12</f>
        <v>30764.04</v>
      </c>
      <c r="R12" s="1"/>
    </row>
    <row r="13" spans="1:18" ht="14">
      <c r="A13" s="1"/>
      <c r="B13" s="3" t="s">
        <v>23</v>
      </c>
      <c r="C13" s="3" t="s">
        <v>34</v>
      </c>
      <c r="D13" s="30">
        <v>9</v>
      </c>
      <c r="E13" s="8">
        <v>15200</v>
      </c>
      <c r="F13" s="8">
        <f>E13</f>
        <v>15200</v>
      </c>
      <c r="G13" s="31">
        <v>0</v>
      </c>
      <c r="H13" s="32">
        <f>F13+G13</f>
        <v>15200</v>
      </c>
      <c r="I13" s="1"/>
      <c r="J13" s="1"/>
      <c r="K13" s="3" t="s">
        <v>23</v>
      </c>
      <c r="L13" s="3" t="s">
        <v>34</v>
      </c>
      <c r="M13" s="30">
        <v>9</v>
      </c>
      <c r="N13" s="8">
        <f>15504*1.02</f>
        <v>15814.08</v>
      </c>
      <c r="O13" s="8">
        <f>N13</f>
        <v>15814.08</v>
      </c>
      <c r="P13" s="31">
        <v>0</v>
      </c>
      <c r="Q13" s="32">
        <f>O13+P13</f>
        <v>15814.08</v>
      </c>
      <c r="R13" s="1"/>
    </row>
    <row r="14" spans="1:18" ht="14">
      <c r="A14" s="1"/>
      <c r="B14" s="3" t="s">
        <v>23</v>
      </c>
      <c r="C14" s="3" t="s">
        <v>34</v>
      </c>
      <c r="D14" s="30">
        <v>3</v>
      </c>
      <c r="E14" s="8">
        <v>21227</v>
      </c>
      <c r="F14" s="8">
        <f>E14</f>
        <v>21227</v>
      </c>
      <c r="G14" s="31">
        <f>F14*0.084</f>
        <v>1783.0680000000002</v>
      </c>
      <c r="H14" s="32">
        <f>F14+G14</f>
        <v>23010.067999999999</v>
      </c>
      <c r="I14" s="1"/>
      <c r="J14" s="1"/>
      <c r="K14" s="3" t="s">
        <v>23</v>
      </c>
      <c r="L14" s="3" t="s">
        <v>34</v>
      </c>
      <c r="M14" s="30">
        <v>3</v>
      </c>
      <c r="N14" s="8">
        <f>21652*1.02</f>
        <v>22085.040000000001</v>
      </c>
      <c r="O14" s="8">
        <f>N14</f>
        <v>22085.040000000001</v>
      </c>
      <c r="P14" s="31">
        <f>O14*0.084</f>
        <v>1855.1433600000003</v>
      </c>
      <c r="Q14" s="32">
        <f>O14+P14</f>
        <v>23940.183360000003</v>
      </c>
      <c r="R14" s="1"/>
    </row>
    <row r="15" spans="1:18" ht="14">
      <c r="A15" s="1"/>
      <c r="B15" s="3" t="s">
        <v>40</v>
      </c>
      <c r="C15" s="3" t="s">
        <v>39</v>
      </c>
      <c r="D15" s="30">
        <v>9</v>
      </c>
      <c r="E15" s="8">
        <v>4560</v>
      </c>
      <c r="F15" s="8">
        <f>E15</f>
        <v>4560</v>
      </c>
      <c r="G15" s="31">
        <v>0</v>
      </c>
      <c r="H15" s="32">
        <f t="shared" ref="H15:H16" si="0">F15+G15</f>
        <v>4560</v>
      </c>
      <c r="I15" s="1"/>
      <c r="J15" s="1"/>
      <c r="K15" s="3" t="s">
        <v>40</v>
      </c>
      <c r="L15" s="3" t="s">
        <v>39</v>
      </c>
      <c r="M15" s="30">
        <v>9</v>
      </c>
      <c r="N15" s="8">
        <f>4651*1.02</f>
        <v>4744.0200000000004</v>
      </c>
      <c r="O15" s="8">
        <f>N15</f>
        <v>4744.0200000000004</v>
      </c>
      <c r="P15" s="31">
        <v>0</v>
      </c>
      <c r="Q15" s="32">
        <f t="shared" ref="Q15:Q16" si="1">O15+P15</f>
        <v>4744.0200000000004</v>
      </c>
      <c r="R15" s="1"/>
    </row>
    <row r="16" spans="1:18" ht="14">
      <c r="A16" s="1"/>
      <c r="B16" s="3" t="s">
        <v>40</v>
      </c>
      <c r="C16" s="3" t="s">
        <v>39</v>
      </c>
      <c r="D16" s="30">
        <v>3</v>
      </c>
      <c r="E16" s="8">
        <v>6720</v>
      </c>
      <c r="F16" s="8">
        <f>E16</f>
        <v>6720</v>
      </c>
      <c r="G16" s="31">
        <f>F16*0.084</f>
        <v>564.48</v>
      </c>
      <c r="H16" s="32">
        <f t="shared" si="0"/>
        <v>7284.48</v>
      </c>
      <c r="I16" s="1"/>
      <c r="J16" s="1"/>
      <c r="K16" s="3" t="s">
        <v>40</v>
      </c>
      <c r="L16" s="3" t="s">
        <v>39</v>
      </c>
      <c r="M16" s="30">
        <v>3</v>
      </c>
      <c r="N16" s="8">
        <f>6854*1.02</f>
        <v>6991.08</v>
      </c>
      <c r="O16" s="8">
        <f>N16</f>
        <v>6991.08</v>
      </c>
      <c r="P16" s="31">
        <f>O16*0.084</f>
        <v>587.25072</v>
      </c>
      <c r="Q16" s="32">
        <f t="shared" si="1"/>
        <v>7578.3307199999999</v>
      </c>
      <c r="R16" s="1"/>
    </row>
    <row r="17" spans="1:18" ht="14">
      <c r="A17" s="1"/>
      <c r="B17" s="3"/>
      <c r="C17" s="3"/>
      <c r="D17" s="30"/>
      <c r="E17" s="8">
        <f>E13+E14+E15+E16</f>
        <v>47707</v>
      </c>
      <c r="F17" s="8"/>
      <c r="G17" s="31"/>
      <c r="H17" s="32"/>
      <c r="I17" s="1"/>
      <c r="J17" s="1"/>
      <c r="K17" s="3"/>
      <c r="L17" s="3"/>
      <c r="M17" s="30"/>
      <c r="N17" s="8">
        <f>N13+N14+N15+N16</f>
        <v>49634.22</v>
      </c>
      <c r="O17" s="8"/>
      <c r="P17" s="31"/>
      <c r="Q17" s="32"/>
      <c r="R17" s="1"/>
    </row>
    <row r="18" spans="1:18" ht="14">
      <c r="A18" s="1"/>
      <c r="E18" s="61"/>
      <c r="F18" s="15">
        <f>SUM(F9:F17)</f>
        <v>140443.53333333333</v>
      </c>
      <c r="G18" s="16">
        <f>SUM(G9:G17)</f>
        <v>18880.603333333333</v>
      </c>
      <c r="H18" s="17">
        <f>SUM(F18:G18)</f>
        <v>159324.13666666666</v>
      </c>
      <c r="I18" s="1"/>
      <c r="J18" s="1"/>
      <c r="N18" s="61"/>
      <c r="O18" s="15">
        <f>SUM(O9:O17)</f>
        <v>145547.69999999998</v>
      </c>
      <c r="P18" s="16">
        <f>SUM(P9:P17)</f>
        <v>20039.313720000002</v>
      </c>
      <c r="Q18" s="17">
        <f>SUM(O18:P18)</f>
        <v>165587.01371999999</v>
      </c>
      <c r="R18" s="1"/>
    </row>
    <row r="19" spans="1:18" ht="14">
      <c r="A19" s="1"/>
      <c r="E19" s="61"/>
      <c r="F19" s="15"/>
      <c r="G19" s="16"/>
      <c r="H19" s="17"/>
      <c r="I19" s="1"/>
      <c r="J19" s="1"/>
      <c r="N19" s="61"/>
      <c r="O19" s="15"/>
      <c r="P19" s="16"/>
      <c r="Q19" s="17"/>
      <c r="R19" s="1"/>
    </row>
    <row r="20" spans="1:18" ht="14">
      <c r="A20" s="1"/>
      <c r="B20" s="3" t="s">
        <v>19</v>
      </c>
      <c r="D20" s="31">
        <v>500</v>
      </c>
      <c r="E20" s="61"/>
      <c r="F20" s="15"/>
      <c r="G20" s="16"/>
      <c r="H20" s="77">
        <f>D20</f>
        <v>500</v>
      </c>
      <c r="I20" s="1"/>
      <c r="J20" s="1"/>
      <c r="K20" s="3" t="s">
        <v>19</v>
      </c>
      <c r="M20" s="31">
        <v>500</v>
      </c>
      <c r="N20" s="61"/>
      <c r="O20" s="15"/>
      <c r="P20" s="16"/>
      <c r="Q20" s="77">
        <f>M20</f>
        <v>500</v>
      </c>
      <c r="R20" s="1"/>
    </row>
    <row r="21" spans="1:18" ht="14">
      <c r="A21" s="1"/>
      <c r="B21" s="3" t="s">
        <v>22</v>
      </c>
      <c r="C21" s="3" t="s">
        <v>38</v>
      </c>
      <c r="D21" s="31">
        <v>5500</v>
      </c>
      <c r="E21" s="61"/>
      <c r="F21" s="15"/>
      <c r="G21" s="16"/>
      <c r="H21" s="77">
        <f>D21</f>
        <v>5500</v>
      </c>
      <c r="I21" s="1"/>
      <c r="J21" s="1"/>
      <c r="K21" s="3" t="s">
        <v>22</v>
      </c>
      <c r="L21" s="3" t="s">
        <v>38</v>
      </c>
      <c r="M21" s="31">
        <v>6000</v>
      </c>
      <c r="N21" s="61"/>
      <c r="O21" s="15"/>
      <c r="P21" s="16"/>
      <c r="Q21" s="77">
        <f>M21</f>
        <v>6000</v>
      </c>
      <c r="R21" s="1"/>
    </row>
    <row r="22" spans="1:18" ht="14">
      <c r="A22" s="1"/>
      <c r="B22" s="3"/>
      <c r="C22" s="3"/>
      <c r="D22" s="3"/>
      <c r="E22" s="61"/>
      <c r="F22" s="15"/>
      <c r="G22" s="16"/>
      <c r="H22" s="17"/>
      <c r="I22" s="1"/>
      <c r="J22" s="1"/>
      <c r="K22" s="3"/>
      <c r="L22" s="3"/>
      <c r="M22" s="3"/>
      <c r="N22" s="61"/>
      <c r="O22" s="15"/>
      <c r="P22" s="16"/>
      <c r="Q22" s="17"/>
      <c r="R22" s="1"/>
    </row>
    <row r="23" spans="1:18" ht="14">
      <c r="A23" s="1"/>
      <c r="B23" s="76" t="s">
        <v>37</v>
      </c>
      <c r="C23" s="3"/>
      <c r="D23" s="26"/>
      <c r="E23" s="8"/>
      <c r="F23" s="8"/>
      <c r="G23" s="31"/>
      <c r="H23" s="32"/>
      <c r="I23" s="1"/>
      <c r="J23" s="1"/>
      <c r="K23" s="76" t="s">
        <v>37</v>
      </c>
      <c r="L23" s="3"/>
      <c r="M23" s="30"/>
      <c r="N23" s="8"/>
      <c r="O23" s="8"/>
      <c r="P23" s="31"/>
      <c r="Q23" s="32"/>
      <c r="R23" s="1"/>
    </row>
    <row r="24" spans="1:18" ht="14">
      <c r="A24" s="1"/>
      <c r="B24" s="3" t="s">
        <v>35</v>
      </c>
      <c r="C24" s="3"/>
      <c r="D24" s="31">
        <v>738</v>
      </c>
      <c r="E24" s="8"/>
      <c r="F24" s="8"/>
      <c r="G24" s="8"/>
      <c r="H24" s="77">
        <f>D24</f>
        <v>738</v>
      </c>
      <c r="I24" s="1"/>
      <c r="J24" s="1"/>
      <c r="K24" s="3" t="s">
        <v>35</v>
      </c>
      <c r="L24" s="3"/>
      <c r="M24" s="31">
        <v>738</v>
      </c>
      <c r="N24" s="8"/>
      <c r="O24" s="8"/>
      <c r="P24" s="8"/>
      <c r="Q24" s="77">
        <f>M24</f>
        <v>738</v>
      </c>
      <c r="R24" s="1"/>
    </row>
    <row r="25" spans="1:18" ht="14">
      <c r="A25" s="1"/>
      <c r="B25" s="3" t="s">
        <v>36</v>
      </c>
      <c r="C25" s="6" t="s">
        <v>0</v>
      </c>
      <c r="D25" s="31">
        <v>50</v>
      </c>
      <c r="E25" s="23"/>
      <c r="F25" s="23"/>
      <c r="G25" s="23"/>
      <c r="H25" s="77">
        <f>D25</f>
        <v>50</v>
      </c>
      <c r="I25" s="1"/>
      <c r="J25" s="1"/>
      <c r="K25" s="3" t="s">
        <v>36</v>
      </c>
      <c r="L25" s="6" t="s">
        <v>0</v>
      </c>
      <c r="M25" s="31">
        <v>50</v>
      </c>
      <c r="N25" s="23"/>
      <c r="O25" s="23"/>
      <c r="P25" s="23"/>
      <c r="Q25" s="77">
        <f>M25</f>
        <v>50</v>
      </c>
      <c r="R25" s="1"/>
    </row>
    <row r="26" spans="1:18" ht="14">
      <c r="A26" s="1"/>
      <c r="B26" s="75" t="s">
        <v>0</v>
      </c>
      <c r="C26" s="70"/>
      <c r="D26" s="73" t="s">
        <v>0</v>
      </c>
      <c r="E26" s="71" t="s">
        <v>0</v>
      </c>
      <c r="F26" s="71"/>
      <c r="G26" s="71"/>
      <c r="H26" s="72" t="s">
        <v>0</v>
      </c>
      <c r="I26" s="1"/>
      <c r="J26" s="1"/>
      <c r="K26" s="75" t="s">
        <v>0</v>
      </c>
      <c r="L26" s="70"/>
      <c r="M26" s="73" t="s">
        <v>0</v>
      </c>
      <c r="N26" s="71" t="s">
        <v>0</v>
      </c>
      <c r="O26" s="71"/>
      <c r="P26" s="71"/>
      <c r="Q26" s="72" t="s">
        <v>0</v>
      </c>
      <c r="R26" s="1"/>
    </row>
    <row r="27" spans="1:18" ht="14">
      <c r="A27" s="1"/>
      <c r="B27" s="75" t="s">
        <v>33</v>
      </c>
      <c r="C27" s="70"/>
      <c r="D27" s="73">
        <f>12868*1.02</f>
        <v>13125.36</v>
      </c>
      <c r="E27" s="71" t="s">
        <v>0</v>
      </c>
      <c r="F27" s="71"/>
      <c r="G27" s="71"/>
      <c r="H27" s="72">
        <f>D27</f>
        <v>13125.36</v>
      </c>
      <c r="I27" s="1"/>
      <c r="J27" s="1"/>
      <c r="K27" s="75" t="s">
        <v>33</v>
      </c>
      <c r="L27" s="70"/>
      <c r="M27" s="78">
        <f>5919*1.03</f>
        <v>6096.57</v>
      </c>
      <c r="N27" s="71" t="s">
        <v>0</v>
      </c>
      <c r="O27" s="71"/>
      <c r="P27" s="71"/>
      <c r="Q27" s="72">
        <f>M27</f>
        <v>6096.57</v>
      </c>
      <c r="R27" s="1"/>
    </row>
    <row r="28" spans="1:18" ht="14">
      <c r="A28" s="1"/>
      <c r="B28" s="75"/>
      <c r="C28" s="70"/>
      <c r="D28" s="73"/>
      <c r="E28" s="71"/>
      <c r="F28" s="71"/>
      <c r="G28" s="71"/>
      <c r="H28" s="72"/>
      <c r="I28" s="1"/>
      <c r="J28" s="1"/>
      <c r="K28" s="75"/>
      <c r="L28" s="70"/>
      <c r="M28" s="73"/>
      <c r="N28" s="71"/>
      <c r="O28" s="71"/>
      <c r="P28" s="71"/>
      <c r="Q28" s="72"/>
      <c r="R28" s="1"/>
    </row>
    <row r="29" spans="1:18" ht="14">
      <c r="A29" s="1"/>
      <c r="B29" s="63"/>
      <c r="C29" s="3"/>
      <c r="D29" s="74"/>
      <c r="E29" s="8"/>
      <c r="F29" s="27" t="s">
        <v>14</v>
      </c>
      <c r="G29" s="28"/>
      <c r="H29" s="29">
        <f>H27+H25+H24+H21+H20+H18</f>
        <v>179237.49666666664</v>
      </c>
      <c r="I29" s="1"/>
      <c r="J29" s="1"/>
      <c r="K29" s="63"/>
      <c r="L29" s="3"/>
      <c r="M29" s="74"/>
      <c r="N29" s="8"/>
      <c r="O29" s="27" t="s">
        <v>14</v>
      </c>
      <c r="P29" s="28"/>
      <c r="Q29" s="29">
        <f>Q27+Q25+Q24+Q21+Q20+Q18</f>
        <v>178971.58372</v>
      </c>
      <c r="R29" s="1"/>
    </row>
    <row r="30" spans="1:18" ht="14">
      <c r="A30" s="1"/>
      <c r="B30" s="63"/>
      <c r="C30" s="3"/>
      <c r="D30" s="74"/>
      <c r="E30" s="8"/>
      <c r="F30" s="69" t="s">
        <v>32</v>
      </c>
      <c r="G30" s="67"/>
      <c r="H30" s="68">
        <f>H29-H27</f>
        <v>166112.13666666666</v>
      </c>
      <c r="I30" s="1"/>
      <c r="J30" s="1"/>
      <c r="K30" s="63"/>
      <c r="L30" s="3"/>
      <c r="M30" s="74"/>
      <c r="N30" s="8"/>
      <c r="O30" s="69" t="s">
        <v>32</v>
      </c>
      <c r="P30" s="67"/>
      <c r="Q30" s="68">
        <f>Q29-Q27</f>
        <v>172875.01371999999</v>
      </c>
      <c r="R30" s="1"/>
    </row>
    <row r="31" spans="1:18" ht="14">
      <c r="A31" s="1"/>
      <c r="B31" s="63"/>
      <c r="C31" s="3"/>
      <c r="D31" s="31"/>
      <c r="E31" s="4"/>
      <c r="F31" s="62" t="s">
        <v>18</v>
      </c>
      <c r="G31" s="24">
        <v>0.69</v>
      </c>
      <c r="H31" s="33">
        <f>H30*G31</f>
        <v>114617.37429999998</v>
      </c>
      <c r="I31" s="1"/>
      <c r="J31" s="1"/>
      <c r="K31" s="63"/>
      <c r="L31" s="3"/>
      <c r="M31" s="31"/>
      <c r="N31" s="4"/>
      <c r="O31" s="62" t="s">
        <v>18</v>
      </c>
      <c r="P31" s="24">
        <v>0.69</v>
      </c>
      <c r="Q31" s="33">
        <f>Q30*P31</f>
        <v>119283.75946679998</v>
      </c>
      <c r="R31" s="1"/>
    </row>
    <row r="32" spans="1:18" ht="14">
      <c r="A32" s="1"/>
      <c r="B32" s="3"/>
      <c r="C32" s="9"/>
      <c r="D32" s="74"/>
      <c r="E32" s="10"/>
      <c r="F32" s="25" t="s">
        <v>10</v>
      </c>
      <c r="G32" s="34"/>
      <c r="H32" s="35">
        <f>H31+H29</f>
        <v>293854.87096666661</v>
      </c>
      <c r="I32" s="1"/>
      <c r="J32" s="1"/>
      <c r="K32" s="3"/>
      <c r="L32" s="9"/>
      <c r="M32" s="74"/>
      <c r="N32" s="10"/>
      <c r="O32" s="25" t="s">
        <v>10</v>
      </c>
      <c r="P32" s="34"/>
      <c r="Q32" s="35">
        <f>Q31+Q29</f>
        <v>298255.34318679996</v>
      </c>
      <c r="R32" s="1"/>
    </row>
    <row r="33" spans="1:18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</row>
    <row r="34" spans="1:18" ht="14">
      <c r="A34" s="1"/>
      <c r="B34" s="7" t="s">
        <v>26</v>
      </c>
      <c r="C34" s="3" t="s">
        <v>27</v>
      </c>
      <c r="D34" s="4"/>
      <c r="E34" s="36" t="s">
        <v>42</v>
      </c>
      <c r="F34" s="12"/>
      <c r="G34" s="13"/>
      <c r="H34" s="14"/>
      <c r="I34" s="1"/>
      <c r="J34" s="1"/>
      <c r="K34" s="7" t="s">
        <v>26</v>
      </c>
      <c r="L34" s="3" t="s">
        <v>27</v>
      </c>
      <c r="M34" s="4"/>
      <c r="N34" s="36" t="s">
        <v>47</v>
      </c>
      <c r="O34" s="12"/>
      <c r="P34" s="13"/>
      <c r="Q34" s="14"/>
      <c r="R34" s="1"/>
    </row>
    <row r="35" spans="1:18" ht="14">
      <c r="A35" s="1"/>
      <c r="B35" s="7" t="s">
        <v>20</v>
      </c>
      <c r="C35" s="60" t="s">
        <v>28</v>
      </c>
      <c r="D35" s="22"/>
      <c r="E35" s="22"/>
      <c r="F35" s="23"/>
      <c r="G35" s="23"/>
      <c r="H35" s="22"/>
      <c r="I35" s="1"/>
      <c r="J35" s="1"/>
      <c r="K35" s="7" t="s">
        <v>20</v>
      </c>
      <c r="L35" s="60" t="s">
        <v>28</v>
      </c>
      <c r="M35" s="22"/>
      <c r="N35" s="22"/>
      <c r="O35" s="23"/>
      <c r="P35" s="23"/>
      <c r="Q35" s="22"/>
      <c r="R35" s="1"/>
    </row>
    <row r="36" spans="1:18" ht="14">
      <c r="A36" s="1"/>
      <c r="E36" s="19" t="s">
        <v>44</v>
      </c>
      <c r="F36" s="4"/>
      <c r="G36" s="4"/>
      <c r="H36" s="32"/>
      <c r="I36" s="1"/>
      <c r="J36" s="1"/>
      <c r="N36" s="19" t="s">
        <v>48</v>
      </c>
      <c r="O36" s="4"/>
      <c r="P36" s="4"/>
      <c r="Q36" s="32"/>
      <c r="R36" s="1"/>
    </row>
    <row r="37" spans="1:18" ht="14">
      <c r="A37" s="1"/>
      <c r="B37" s="2" t="s">
        <v>6</v>
      </c>
      <c r="C37" s="3"/>
      <c r="D37" s="3"/>
      <c r="E37" s="4"/>
      <c r="F37" s="4"/>
      <c r="G37" s="4"/>
      <c r="H37" s="32"/>
      <c r="I37" s="1"/>
      <c r="J37" s="1"/>
      <c r="K37" s="2" t="s">
        <v>6</v>
      </c>
      <c r="L37" s="3"/>
      <c r="M37" s="3"/>
      <c r="N37" s="4"/>
      <c r="O37" s="4"/>
      <c r="P37" s="4"/>
      <c r="Q37" s="32"/>
      <c r="R37" s="1"/>
    </row>
    <row r="38" spans="1:18" ht="14">
      <c r="A38" s="1"/>
      <c r="B38" s="3"/>
      <c r="C38" s="3"/>
      <c r="D38" s="3"/>
      <c r="E38" s="4"/>
      <c r="F38" s="31" t="s">
        <v>1</v>
      </c>
      <c r="G38" s="31" t="s">
        <v>2</v>
      </c>
      <c r="H38" s="32"/>
      <c r="I38" s="1"/>
      <c r="J38" s="1"/>
      <c r="K38" s="3"/>
      <c r="L38" s="3"/>
      <c r="M38" s="3"/>
      <c r="N38" s="4"/>
      <c r="O38" s="31" t="s">
        <v>1</v>
      </c>
      <c r="P38" s="31" t="s">
        <v>2</v>
      </c>
      <c r="Q38" s="32"/>
      <c r="R38" s="1"/>
    </row>
    <row r="39" spans="1:18" ht="14">
      <c r="A39" s="1"/>
      <c r="B39" s="3" t="s">
        <v>7</v>
      </c>
      <c r="C39" s="3" t="s">
        <v>8</v>
      </c>
      <c r="D39" s="6" t="s">
        <v>12</v>
      </c>
      <c r="E39" s="31" t="s">
        <v>9</v>
      </c>
      <c r="F39" s="31" t="s">
        <v>3</v>
      </c>
      <c r="G39" s="31" t="s">
        <v>4</v>
      </c>
      <c r="H39" s="32" t="s">
        <v>5</v>
      </c>
      <c r="I39" s="1"/>
      <c r="J39" s="1"/>
      <c r="K39" s="3" t="s">
        <v>7</v>
      </c>
      <c r="L39" s="3" t="s">
        <v>8</v>
      </c>
      <c r="M39" s="6" t="s">
        <v>12</v>
      </c>
      <c r="N39" s="31" t="s">
        <v>9</v>
      </c>
      <c r="O39" s="31" t="s">
        <v>3</v>
      </c>
      <c r="P39" s="31" t="s">
        <v>4</v>
      </c>
      <c r="Q39" s="32" t="s">
        <v>5</v>
      </c>
      <c r="R39" s="1"/>
    </row>
    <row r="40" spans="1:18" ht="14">
      <c r="A40" s="1"/>
      <c r="B40" s="3"/>
      <c r="C40" s="3"/>
      <c r="D40" s="6" t="s">
        <v>13</v>
      </c>
      <c r="E40" s="31"/>
      <c r="I40" s="1"/>
      <c r="J40" s="1"/>
      <c r="K40" s="3"/>
      <c r="L40" s="3"/>
      <c r="M40" s="6" t="s">
        <v>13</v>
      </c>
      <c r="N40" s="31"/>
      <c r="R40" s="1"/>
    </row>
    <row r="41" spans="1:18" ht="14">
      <c r="A41" s="1"/>
      <c r="B41" s="3" t="s">
        <v>26</v>
      </c>
      <c r="C41" s="3" t="s">
        <v>15</v>
      </c>
      <c r="D41" s="66">
        <v>1</v>
      </c>
      <c r="E41" s="31">
        <f>86700*1.02</f>
        <v>88434</v>
      </c>
      <c r="F41" s="31">
        <f>E41/9*1</f>
        <v>9826</v>
      </c>
      <c r="G41" s="31">
        <f>F41*0.281</f>
        <v>2761.1060000000002</v>
      </c>
      <c r="H41" s="32">
        <f>G41+F41</f>
        <v>12587.106</v>
      </c>
      <c r="I41" s="1"/>
      <c r="J41" s="1"/>
      <c r="K41" s="3" t="s">
        <v>26</v>
      </c>
      <c r="L41" s="3" t="s">
        <v>15</v>
      </c>
      <c r="M41" s="66">
        <v>1</v>
      </c>
      <c r="N41" s="31">
        <f>90203*1.02</f>
        <v>92007.06</v>
      </c>
      <c r="O41" s="31">
        <f>N41/9*1</f>
        <v>10223.006666666666</v>
      </c>
      <c r="P41" s="31">
        <f>O41*0.281</f>
        <v>2872.6648733333336</v>
      </c>
      <c r="Q41" s="32">
        <f>P41+O41</f>
        <v>13095.671539999999</v>
      </c>
      <c r="R41" s="1"/>
    </row>
    <row r="42" spans="1:18" ht="14">
      <c r="A42" s="1"/>
      <c r="B42" s="3" t="s">
        <v>53</v>
      </c>
      <c r="C42" s="3" t="s">
        <v>29</v>
      </c>
      <c r="D42" s="66">
        <v>1</v>
      </c>
      <c r="E42" s="31">
        <v>0</v>
      </c>
      <c r="F42" s="31">
        <f>20486*1.02</f>
        <v>20895.72</v>
      </c>
      <c r="G42" s="31">
        <f>F42*0.281</f>
        <v>5871.6973200000011</v>
      </c>
      <c r="H42" s="32">
        <f>G42+F42</f>
        <v>26767.41732</v>
      </c>
      <c r="I42" s="1"/>
      <c r="J42" s="1"/>
      <c r="K42" s="3" t="s">
        <v>53</v>
      </c>
      <c r="L42" s="3" t="s">
        <v>29</v>
      </c>
      <c r="M42" s="66">
        <v>1</v>
      </c>
      <c r="N42" s="31">
        <v>0</v>
      </c>
      <c r="O42" s="31">
        <f>21314*1.02</f>
        <v>21740.28</v>
      </c>
      <c r="P42" s="31">
        <f>O42*0.281</f>
        <v>6109.0186800000001</v>
      </c>
      <c r="Q42" s="32">
        <f>P42+O42</f>
        <v>27849.29868</v>
      </c>
      <c r="R42" s="1"/>
    </row>
    <row r="43" spans="1:18" ht="14">
      <c r="A43" s="1"/>
      <c r="B43" s="3" t="s">
        <v>41</v>
      </c>
      <c r="C43" s="3" t="s">
        <v>21</v>
      </c>
      <c r="D43" s="30">
        <v>6</v>
      </c>
      <c r="E43" s="11">
        <f>65000*1.02</f>
        <v>66300</v>
      </c>
      <c r="F43" s="31">
        <f>E43/12*D43</f>
        <v>33150</v>
      </c>
      <c r="G43" s="31">
        <f>F43*0.26</f>
        <v>8619</v>
      </c>
      <c r="H43" s="32">
        <f>G43+F43</f>
        <v>41769</v>
      </c>
      <c r="I43" s="1"/>
      <c r="J43" s="1"/>
      <c r="K43" s="3" t="s">
        <v>41</v>
      </c>
      <c r="L43" s="3" t="s">
        <v>21</v>
      </c>
      <c r="M43" s="30">
        <v>6</v>
      </c>
      <c r="N43" s="11">
        <f>67626*1.02</f>
        <v>68978.52</v>
      </c>
      <c r="O43" s="31">
        <f>N43/12*M43</f>
        <v>34489.26</v>
      </c>
      <c r="P43" s="31">
        <f>O43*0.26</f>
        <v>8967.2076000000015</v>
      </c>
      <c r="Q43" s="32">
        <f>P43+O43</f>
        <v>43456.467600000004</v>
      </c>
      <c r="R43" s="1"/>
    </row>
    <row r="44" spans="1:18" ht="14">
      <c r="A44" s="1"/>
      <c r="B44" s="3" t="s">
        <v>30</v>
      </c>
      <c r="C44" s="3" t="s">
        <v>31</v>
      </c>
      <c r="D44" s="30">
        <v>12</v>
      </c>
      <c r="E44" s="8">
        <f>29282*1.03</f>
        <v>30160.46</v>
      </c>
      <c r="F44" s="8">
        <f>E44</f>
        <v>30160.46</v>
      </c>
      <c r="G44" s="31">
        <v>0</v>
      </c>
      <c r="H44" s="32">
        <f>G44+F44</f>
        <v>30160.46</v>
      </c>
      <c r="I44" s="1"/>
      <c r="J44" s="1"/>
      <c r="K44" s="3" t="s">
        <v>30</v>
      </c>
      <c r="L44" s="3" t="s">
        <v>31</v>
      </c>
      <c r="M44" s="30">
        <v>12</v>
      </c>
      <c r="N44" s="8">
        <f>30465*1.03</f>
        <v>31378.95</v>
      </c>
      <c r="O44" s="8">
        <f>N44</f>
        <v>31378.95</v>
      </c>
      <c r="P44" s="31">
        <v>0</v>
      </c>
      <c r="Q44" s="32">
        <f>P44+O44</f>
        <v>31378.95</v>
      </c>
      <c r="R44" s="1"/>
    </row>
    <row r="45" spans="1:18" ht="14">
      <c r="A45" s="1"/>
      <c r="B45" s="3" t="s">
        <v>23</v>
      </c>
      <c r="C45" s="3" t="s">
        <v>34</v>
      </c>
      <c r="D45" s="30">
        <v>9</v>
      </c>
      <c r="E45" s="8">
        <f>15200*1.02</f>
        <v>15504</v>
      </c>
      <c r="F45" s="8">
        <f>E45</f>
        <v>15504</v>
      </c>
      <c r="G45" s="31">
        <v>0</v>
      </c>
      <c r="H45" s="32">
        <f>F45+G45</f>
        <v>15504</v>
      </c>
      <c r="I45" s="1"/>
      <c r="J45" s="1"/>
      <c r="K45" s="3" t="s">
        <v>23</v>
      </c>
      <c r="L45" s="3" t="s">
        <v>34</v>
      </c>
      <c r="M45" s="30">
        <v>9</v>
      </c>
      <c r="N45" s="8">
        <f>15814*1.02</f>
        <v>16130.28</v>
      </c>
      <c r="O45" s="8">
        <f>N45</f>
        <v>16130.28</v>
      </c>
      <c r="P45" s="31">
        <v>0</v>
      </c>
      <c r="Q45" s="32">
        <f>O45+P45</f>
        <v>16130.28</v>
      </c>
      <c r="R45" s="1"/>
    </row>
    <row r="46" spans="1:18" ht="14">
      <c r="A46" s="1"/>
      <c r="B46" s="3" t="s">
        <v>23</v>
      </c>
      <c r="C46" s="3" t="s">
        <v>34</v>
      </c>
      <c r="D46" s="30">
        <v>3</v>
      </c>
      <c r="E46" s="8">
        <f>21227*1.02</f>
        <v>21651.54</v>
      </c>
      <c r="F46" s="8">
        <f>E46</f>
        <v>21651.54</v>
      </c>
      <c r="G46" s="31">
        <f>F46*0.084</f>
        <v>1818.7293600000003</v>
      </c>
      <c r="H46" s="32">
        <f>F46+G46</f>
        <v>23470.269360000002</v>
      </c>
      <c r="I46" s="1"/>
      <c r="J46" s="1"/>
      <c r="K46" s="3" t="s">
        <v>23</v>
      </c>
      <c r="L46" s="3" t="s">
        <v>34</v>
      </c>
      <c r="M46" s="30">
        <v>3</v>
      </c>
      <c r="N46" s="8">
        <f>22085*1.02</f>
        <v>22526.7</v>
      </c>
      <c r="O46" s="8">
        <f>N46</f>
        <v>22526.7</v>
      </c>
      <c r="P46" s="31">
        <f>O46*0.084</f>
        <v>1892.2428000000002</v>
      </c>
      <c r="Q46" s="32">
        <f>O46+P46</f>
        <v>24418.942800000001</v>
      </c>
      <c r="R46" s="1"/>
    </row>
    <row r="47" spans="1:18" ht="14">
      <c r="A47" s="1"/>
      <c r="B47" s="3" t="s">
        <v>40</v>
      </c>
      <c r="C47" s="3" t="s">
        <v>39</v>
      </c>
      <c r="D47" s="30">
        <v>9</v>
      </c>
      <c r="E47" s="8">
        <f>4560*1.02</f>
        <v>4651.2</v>
      </c>
      <c r="F47" s="8">
        <f>E47</f>
        <v>4651.2</v>
      </c>
      <c r="G47" s="31">
        <v>0</v>
      </c>
      <c r="H47" s="32">
        <f t="shared" ref="H47:H48" si="2">F47+G47</f>
        <v>4651.2</v>
      </c>
      <c r="I47" s="1"/>
      <c r="J47" s="1"/>
      <c r="K47" s="3" t="s">
        <v>40</v>
      </c>
      <c r="L47" s="3" t="s">
        <v>39</v>
      </c>
      <c r="M47" s="30">
        <v>9</v>
      </c>
      <c r="N47" s="8">
        <f>4744*1.02</f>
        <v>4838.88</v>
      </c>
      <c r="O47" s="8">
        <f>N47</f>
        <v>4838.88</v>
      </c>
      <c r="P47" s="31">
        <v>0</v>
      </c>
      <c r="Q47" s="32">
        <f t="shared" ref="Q47:Q48" si="3">O47+P47</f>
        <v>4838.88</v>
      </c>
      <c r="R47" s="1"/>
    </row>
    <row r="48" spans="1:18" ht="14">
      <c r="A48" s="1"/>
      <c r="B48" s="3" t="s">
        <v>40</v>
      </c>
      <c r="C48" s="3" t="s">
        <v>39</v>
      </c>
      <c r="D48" s="30">
        <v>3</v>
      </c>
      <c r="E48" s="8">
        <f>6720*1.02</f>
        <v>6854.4000000000005</v>
      </c>
      <c r="F48" s="8">
        <f>E48</f>
        <v>6854.4000000000005</v>
      </c>
      <c r="G48" s="31">
        <f>F48*0.084</f>
        <v>575.76960000000008</v>
      </c>
      <c r="H48" s="32">
        <f t="shared" si="2"/>
        <v>7430.1696000000011</v>
      </c>
      <c r="I48" s="1"/>
      <c r="J48" s="1"/>
      <c r="K48" s="3" t="s">
        <v>40</v>
      </c>
      <c r="L48" s="3" t="s">
        <v>39</v>
      </c>
      <c r="M48" s="30">
        <v>3</v>
      </c>
      <c r="N48" s="8">
        <f>6991*1.02</f>
        <v>7130.82</v>
      </c>
      <c r="O48" s="8">
        <f>N48</f>
        <v>7130.82</v>
      </c>
      <c r="P48" s="31">
        <f>O48*0.084</f>
        <v>598.98887999999999</v>
      </c>
      <c r="Q48" s="32">
        <f t="shared" si="3"/>
        <v>7729.8088799999996</v>
      </c>
      <c r="R48" s="1"/>
    </row>
    <row r="49" spans="1:22" ht="14">
      <c r="A49" s="1"/>
      <c r="B49" s="3"/>
      <c r="C49" s="3"/>
      <c r="D49" s="30"/>
      <c r="E49" s="8">
        <f>E45+E48+E46+E47</f>
        <v>48661.14</v>
      </c>
      <c r="F49" s="8"/>
      <c r="G49" s="31"/>
      <c r="H49" s="32"/>
      <c r="I49" s="1"/>
      <c r="J49" s="1"/>
      <c r="K49" s="3"/>
      <c r="L49" s="3"/>
      <c r="M49" s="30"/>
      <c r="N49" s="8">
        <f>N45+N46+N47+N48</f>
        <v>50626.68</v>
      </c>
      <c r="O49" s="8"/>
      <c r="P49" s="31"/>
      <c r="Q49" s="32"/>
      <c r="R49" s="1"/>
    </row>
    <row r="50" spans="1:22" ht="14">
      <c r="A50" s="1"/>
      <c r="E50" s="61"/>
      <c r="F50" s="15">
        <f>SUM(F41:F49)</f>
        <v>142693.32</v>
      </c>
      <c r="G50" s="16">
        <f>SUM(G41:G49)</f>
        <v>19646.30228</v>
      </c>
      <c r="H50" s="17">
        <f>SUM(F50:G50)</f>
        <v>162339.62228000001</v>
      </c>
      <c r="I50" s="1"/>
      <c r="J50" s="1"/>
      <c r="N50" s="61"/>
      <c r="O50" s="15">
        <f>SUM(O41:O49)</f>
        <v>148458.17666666667</v>
      </c>
      <c r="P50" s="16">
        <f>SUM(P41:P49)</f>
        <v>20440.122833333338</v>
      </c>
      <c r="Q50" s="17">
        <f>SUM(O50:P50)</f>
        <v>168898.29949999999</v>
      </c>
      <c r="R50" s="1"/>
    </row>
    <row r="51" spans="1:22" ht="14">
      <c r="A51" s="1"/>
      <c r="E51" s="61"/>
      <c r="F51" s="15"/>
      <c r="G51" s="16"/>
      <c r="H51" s="17"/>
      <c r="I51" s="1"/>
      <c r="J51" s="1"/>
      <c r="N51" s="61"/>
      <c r="O51" s="15"/>
      <c r="P51" s="16"/>
      <c r="Q51" s="17"/>
      <c r="R51" s="1"/>
    </row>
    <row r="52" spans="1:22" ht="14">
      <c r="A52" s="18"/>
      <c r="B52" s="3" t="s">
        <v>19</v>
      </c>
      <c r="D52" s="31">
        <v>500</v>
      </c>
      <c r="E52" s="61"/>
      <c r="F52" s="15"/>
      <c r="G52" s="16"/>
      <c r="H52" s="77">
        <f>D52</f>
        <v>500</v>
      </c>
      <c r="I52" s="1"/>
      <c r="K52" s="3" t="s">
        <v>19</v>
      </c>
      <c r="M52" s="31">
        <v>500</v>
      </c>
      <c r="N52" s="61"/>
      <c r="O52" s="15"/>
      <c r="P52" s="16"/>
      <c r="Q52" s="77">
        <f>M52</f>
        <v>500</v>
      </c>
      <c r="R52" s="1"/>
    </row>
    <row r="53" spans="1:22" ht="14">
      <c r="A53" s="18"/>
      <c r="B53" s="3" t="s">
        <v>22</v>
      </c>
      <c r="C53" s="3" t="s">
        <v>38</v>
      </c>
      <c r="D53" s="31">
        <v>6000</v>
      </c>
      <c r="E53" s="61"/>
      <c r="F53" s="15"/>
      <c r="G53" s="16"/>
      <c r="H53" s="77">
        <f>D53</f>
        <v>6000</v>
      </c>
      <c r="I53" s="1"/>
      <c r="J53" s="37"/>
      <c r="K53" s="3" t="s">
        <v>22</v>
      </c>
      <c r="L53" s="3" t="s">
        <v>38</v>
      </c>
      <c r="M53" s="31">
        <v>6000</v>
      </c>
      <c r="N53" s="61"/>
      <c r="O53" s="15"/>
      <c r="P53" s="16"/>
      <c r="Q53" s="77">
        <f>M53</f>
        <v>6000</v>
      </c>
      <c r="R53" s="1"/>
      <c r="S53" s="20"/>
      <c r="T53" s="20"/>
      <c r="U53" s="20"/>
      <c r="V53" s="20"/>
    </row>
    <row r="54" spans="1:22" ht="14">
      <c r="A54" s="18"/>
      <c r="B54" s="3"/>
      <c r="C54" s="3"/>
      <c r="D54" s="3"/>
      <c r="E54" s="61"/>
      <c r="F54" s="15"/>
      <c r="G54" s="16"/>
      <c r="H54" s="17"/>
      <c r="I54" s="1"/>
      <c r="J54" s="37"/>
      <c r="K54" s="3"/>
      <c r="L54" s="3"/>
      <c r="M54" s="3"/>
      <c r="N54" s="61"/>
      <c r="O54" s="15"/>
      <c r="P54" s="16"/>
      <c r="Q54" s="17"/>
      <c r="R54" s="1"/>
      <c r="S54" s="20"/>
      <c r="T54" s="20"/>
      <c r="U54" s="20"/>
      <c r="V54" s="20"/>
    </row>
    <row r="55" spans="1:22" ht="14">
      <c r="A55" s="18"/>
      <c r="B55" s="76" t="s">
        <v>37</v>
      </c>
      <c r="C55" s="3"/>
      <c r="D55" s="30"/>
      <c r="E55" s="8"/>
      <c r="F55" s="8"/>
      <c r="G55" s="31"/>
      <c r="H55" s="32"/>
      <c r="I55" s="1"/>
      <c r="J55" s="37"/>
      <c r="K55" s="76" t="s">
        <v>37</v>
      </c>
      <c r="L55" s="3"/>
      <c r="M55" s="30"/>
      <c r="N55" s="8"/>
      <c r="O55" s="8"/>
      <c r="P55" s="31"/>
      <c r="Q55" s="32"/>
      <c r="R55" s="1"/>
      <c r="S55" s="20"/>
      <c r="T55" s="20"/>
      <c r="U55" s="20"/>
      <c r="V55" s="20"/>
    </row>
    <row r="56" spans="1:22" ht="14">
      <c r="A56" s="18"/>
      <c r="B56" s="3" t="s">
        <v>35</v>
      </c>
      <c r="C56" s="3"/>
      <c r="D56" s="31">
        <v>738</v>
      </c>
      <c r="E56" s="8"/>
      <c r="F56" s="8"/>
      <c r="G56" s="8"/>
      <c r="H56" s="77">
        <f>D56</f>
        <v>738</v>
      </c>
      <c r="I56" s="1"/>
      <c r="J56" s="37"/>
      <c r="K56" s="3" t="s">
        <v>35</v>
      </c>
      <c r="L56" s="3"/>
      <c r="M56" s="31">
        <v>738</v>
      </c>
      <c r="N56" s="8"/>
      <c r="O56" s="8"/>
      <c r="P56" s="8"/>
      <c r="Q56" s="77">
        <f>M56</f>
        <v>738</v>
      </c>
      <c r="R56" s="1"/>
      <c r="S56" s="20"/>
      <c r="T56" s="20"/>
      <c r="U56" s="20"/>
      <c r="V56" s="20"/>
    </row>
    <row r="57" spans="1:22" ht="14">
      <c r="A57" s="18"/>
      <c r="B57" s="3" t="s">
        <v>36</v>
      </c>
      <c r="C57" s="6" t="s">
        <v>0</v>
      </c>
      <c r="D57" s="31">
        <v>50</v>
      </c>
      <c r="E57" s="23"/>
      <c r="F57" s="23"/>
      <c r="G57" s="23"/>
      <c r="H57" s="77">
        <f>D57</f>
        <v>50</v>
      </c>
      <c r="I57" s="1"/>
      <c r="J57" s="37"/>
      <c r="K57" s="3" t="s">
        <v>36</v>
      </c>
      <c r="L57" s="6" t="s">
        <v>0</v>
      </c>
      <c r="M57" s="31">
        <v>50</v>
      </c>
      <c r="N57" s="23"/>
      <c r="O57" s="23"/>
      <c r="P57" s="23"/>
      <c r="Q57" s="77">
        <f>M57</f>
        <v>50</v>
      </c>
      <c r="R57" s="1"/>
      <c r="S57" s="20"/>
      <c r="T57" s="20"/>
      <c r="U57" s="20"/>
      <c r="V57" s="20"/>
    </row>
    <row r="58" spans="1:22" ht="14">
      <c r="A58" s="18"/>
      <c r="B58" s="75" t="s">
        <v>0</v>
      </c>
      <c r="C58" s="70"/>
      <c r="D58" s="73" t="s">
        <v>0</v>
      </c>
      <c r="E58" s="71" t="s">
        <v>0</v>
      </c>
      <c r="F58" s="71"/>
      <c r="G58" s="71"/>
      <c r="H58" s="72" t="s">
        <v>0</v>
      </c>
      <c r="I58" s="1"/>
      <c r="J58" s="37"/>
      <c r="K58" s="75" t="s">
        <v>0</v>
      </c>
      <c r="L58" s="70"/>
      <c r="M58" s="73" t="s">
        <v>0</v>
      </c>
      <c r="N58" s="71" t="s">
        <v>0</v>
      </c>
      <c r="O58" s="71"/>
      <c r="P58" s="71"/>
      <c r="Q58" s="72" t="s">
        <v>0</v>
      </c>
      <c r="R58" s="1"/>
      <c r="S58" s="20"/>
      <c r="T58" s="20"/>
      <c r="U58" s="20"/>
      <c r="V58" s="20"/>
    </row>
    <row r="59" spans="1:22" ht="14">
      <c r="A59" s="18"/>
      <c r="B59" s="75" t="s">
        <v>33</v>
      </c>
      <c r="C59" s="70"/>
      <c r="D59" s="78">
        <f>5584*1.06</f>
        <v>5919.04</v>
      </c>
      <c r="E59" s="71" t="s">
        <v>0</v>
      </c>
      <c r="F59" s="71"/>
      <c r="G59" s="71"/>
      <c r="H59" s="72">
        <f>D59</f>
        <v>5919.04</v>
      </c>
      <c r="I59" s="1"/>
      <c r="J59" s="37"/>
      <c r="K59" s="75" t="s">
        <v>33</v>
      </c>
      <c r="L59" s="70"/>
      <c r="M59" s="78">
        <f>6097*1.03</f>
        <v>6279.91</v>
      </c>
      <c r="N59" s="71" t="s">
        <v>0</v>
      </c>
      <c r="O59" s="71"/>
      <c r="P59" s="71"/>
      <c r="Q59" s="72">
        <f>M59</f>
        <v>6279.91</v>
      </c>
      <c r="R59" s="1"/>
      <c r="S59" s="20"/>
      <c r="T59" s="20"/>
      <c r="U59" s="20"/>
      <c r="V59" s="20"/>
    </row>
    <row r="60" spans="1:22" ht="14">
      <c r="A60" s="18"/>
      <c r="B60" s="75"/>
      <c r="C60" s="70"/>
      <c r="D60" s="73"/>
      <c r="E60" s="71"/>
      <c r="F60" s="71"/>
      <c r="G60" s="71"/>
      <c r="H60" s="72"/>
      <c r="I60" s="1"/>
      <c r="J60" s="37"/>
      <c r="K60" s="75"/>
      <c r="L60" s="70"/>
      <c r="M60" s="73"/>
      <c r="N60" s="71"/>
      <c r="O60" s="71"/>
      <c r="P60" s="71"/>
      <c r="Q60" s="72"/>
      <c r="R60" s="1"/>
      <c r="S60" s="20"/>
      <c r="T60" s="20"/>
      <c r="U60" s="20"/>
      <c r="V60" s="20"/>
    </row>
    <row r="61" spans="1:22" ht="14">
      <c r="A61" s="18"/>
      <c r="B61" s="63"/>
      <c r="C61" s="3"/>
      <c r="D61" s="74"/>
      <c r="E61" s="8"/>
      <c r="F61" s="27" t="s">
        <v>14</v>
      </c>
      <c r="G61" s="28"/>
      <c r="H61" s="29">
        <f>H59+H57+H56+H53+H52+H50</f>
        <v>175546.66228000002</v>
      </c>
      <c r="I61" s="1"/>
      <c r="J61" s="37"/>
      <c r="K61" s="63"/>
      <c r="L61" s="3"/>
      <c r="M61" s="74"/>
      <c r="N61" s="8"/>
      <c r="O61" s="27" t="s">
        <v>14</v>
      </c>
      <c r="P61" s="28"/>
      <c r="Q61" s="29">
        <f>Q59+Q57+Q56+Q53+Q52+Q50</f>
        <v>182466.2095</v>
      </c>
      <c r="R61" s="1"/>
      <c r="S61" s="20"/>
      <c r="T61" s="20"/>
      <c r="U61" s="20"/>
      <c r="V61" s="20"/>
    </row>
    <row r="62" spans="1:22" ht="14">
      <c r="A62" s="18"/>
      <c r="B62" s="63"/>
      <c r="C62" s="3"/>
      <c r="D62" s="74"/>
      <c r="E62" s="8"/>
      <c r="F62" s="69" t="s">
        <v>32</v>
      </c>
      <c r="G62" s="67"/>
      <c r="H62" s="68">
        <f>H61-H59</f>
        <v>169627.62228000001</v>
      </c>
      <c r="I62" s="1"/>
      <c r="J62" s="37"/>
      <c r="K62" s="63"/>
      <c r="L62" s="3"/>
      <c r="M62" s="74"/>
      <c r="N62" s="8"/>
      <c r="O62" s="69" t="s">
        <v>32</v>
      </c>
      <c r="P62" s="67"/>
      <c r="Q62" s="68">
        <f>Q61-Q59</f>
        <v>176186.29949999999</v>
      </c>
      <c r="R62" s="1"/>
      <c r="S62" s="20"/>
      <c r="T62" s="20"/>
      <c r="U62" s="20"/>
      <c r="V62" s="20"/>
    </row>
    <row r="63" spans="1:22" ht="14">
      <c r="A63" s="18"/>
      <c r="B63" s="63"/>
      <c r="C63" s="3"/>
      <c r="D63" s="31"/>
      <c r="E63" s="4"/>
      <c r="F63" s="62" t="s">
        <v>18</v>
      </c>
      <c r="G63" s="24">
        <v>0.69</v>
      </c>
      <c r="H63" s="33">
        <f>H62*G63</f>
        <v>117043.0593732</v>
      </c>
      <c r="I63" s="1"/>
      <c r="J63" s="37"/>
      <c r="K63" s="63"/>
      <c r="L63" s="3"/>
      <c r="M63" s="31"/>
      <c r="N63" s="4"/>
      <c r="O63" s="62" t="s">
        <v>18</v>
      </c>
      <c r="P63" s="24">
        <v>0.69</v>
      </c>
      <c r="Q63" s="33">
        <f>Q62*P63</f>
        <v>121568.54665499998</v>
      </c>
      <c r="R63" s="1"/>
      <c r="S63" s="20"/>
      <c r="T63" s="20"/>
      <c r="U63" s="20"/>
      <c r="V63" s="20"/>
    </row>
    <row r="64" spans="1:22" ht="14">
      <c r="A64" s="18"/>
      <c r="B64" s="3"/>
      <c r="C64" s="9"/>
      <c r="D64" s="74"/>
      <c r="E64" s="10"/>
      <c r="F64" s="25" t="s">
        <v>10</v>
      </c>
      <c r="G64" s="34"/>
      <c r="H64" s="35">
        <f>H63+H61</f>
        <v>292589.72165319999</v>
      </c>
      <c r="I64" s="1"/>
      <c r="J64" s="37"/>
      <c r="K64" s="3"/>
      <c r="L64" s="9"/>
      <c r="M64" s="74"/>
      <c r="N64" s="10"/>
      <c r="O64" s="25" t="s">
        <v>10</v>
      </c>
      <c r="P64" s="34"/>
      <c r="Q64" s="35">
        <f>Q63+Q61</f>
        <v>304034.75615499995</v>
      </c>
      <c r="R64" s="1"/>
      <c r="S64" s="20"/>
      <c r="T64" s="20"/>
      <c r="U64" s="20"/>
      <c r="V64" s="20"/>
    </row>
    <row r="65" spans="1:22" ht="14" thickBot="1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"/>
      <c r="S65" s="20"/>
      <c r="T65" s="20"/>
      <c r="U65" s="20"/>
      <c r="V65" s="20"/>
    </row>
    <row r="66" spans="1:22" ht="14">
      <c r="A66" s="37"/>
      <c r="B66" s="20"/>
      <c r="H66" s="38"/>
      <c r="I66" s="37"/>
      <c r="J66" s="37"/>
      <c r="K66" s="82"/>
      <c r="L66" s="83"/>
      <c r="M66" s="84"/>
      <c r="N66" s="83"/>
      <c r="O66" s="83"/>
      <c r="P66" s="85"/>
      <c r="Q66" s="20"/>
      <c r="R66" s="37"/>
      <c r="S66" s="20"/>
      <c r="T66" s="20"/>
      <c r="U66" s="20"/>
      <c r="V66" s="20"/>
    </row>
    <row r="67" spans="1:22" ht="14">
      <c r="A67" s="37"/>
      <c r="B67" s="44"/>
      <c r="C67" s="20"/>
      <c r="D67" s="20"/>
      <c r="E67" s="64"/>
      <c r="F67" s="46"/>
      <c r="G67" s="39"/>
      <c r="H67" s="40"/>
      <c r="I67" s="37"/>
      <c r="J67" s="37"/>
      <c r="K67" s="101"/>
      <c r="L67" s="59" t="s">
        <v>11</v>
      </c>
      <c r="M67" s="59" t="s">
        <v>16</v>
      </c>
      <c r="N67" s="59" t="s">
        <v>25</v>
      </c>
      <c r="O67" s="59" t="s">
        <v>49</v>
      </c>
      <c r="P67" s="102" t="s">
        <v>10</v>
      </c>
      <c r="Q67" s="38"/>
      <c r="R67" s="37"/>
      <c r="S67" s="20"/>
      <c r="T67" s="20"/>
      <c r="U67" s="20"/>
      <c r="V67" s="20"/>
    </row>
    <row r="68" spans="1:22" ht="14">
      <c r="A68" s="37"/>
      <c r="B68" s="20"/>
      <c r="C68" s="20"/>
      <c r="D68" s="20"/>
      <c r="I68" s="37"/>
      <c r="J68" s="37"/>
      <c r="K68" s="86"/>
      <c r="L68" s="57"/>
      <c r="M68" s="57"/>
      <c r="N68" s="57"/>
      <c r="O68" s="57"/>
      <c r="P68" s="91"/>
      <c r="Q68" s="20"/>
      <c r="R68" s="37"/>
      <c r="S68" s="20"/>
      <c r="T68" s="20"/>
      <c r="U68" s="20"/>
      <c r="V68" s="20"/>
    </row>
    <row r="69" spans="1:22" ht="14">
      <c r="A69" s="37"/>
      <c r="B69" s="20"/>
      <c r="C69" s="20"/>
      <c r="D69" s="20"/>
      <c r="E69" s="20"/>
      <c r="F69" s="38"/>
      <c r="G69" s="38"/>
      <c r="H69" s="41"/>
      <c r="I69" s="37"/>
      <c r="J69" s="37"/>
      <c r="K69" s="86" t="s">
        <v>17</v>
      </c>
      <c r="L69" s="45">
        <f>H18</f>
        <v>159324.13666666666</v>
      </c>
      <c r="M69" s="45">
        <f>H50</f>
        <v>162339.62228000001</v>
      </c>
      <c r="N69" s="38">
        <f>Q18</f>
        <v>165587.01371999999</v>
      </c>
      <c r="O69" s="45">
        <f>Q50</f>
        <v>168898.29949999999</v>
      </c>
      <c r="P69" s="92">
        <f>O69+N69+M69+L69</f>
        <v>656149.07216666662</v>
      </c>
      <c r="Q69" s="38"/>
      <c r="R69" s="37"/>
      <c r="S69" s="20"/>
      <c r="T69" s="20"/>
      <c r="U69" s="20"/>
      <c r="V69" s="20"/>
    </row>
    <row r="70" spans="1:22" ht="14">
      <c r="A70" s="37"/>
      <c r="B70" s="20"/>
      <c r="F70" s="20"/>
      <c r="G70" s="20"/>
      <c r="H70" s="41"/>
      <c r="I70" s="37"/>
      <c r="J70" s="37"/>
      <c r="K70" s="86"/>
      <c r="L70" s="65"/>
      <c r="M70" s="65"/>
      <c r="N70" s="38"/>
      <c r="O70" s="45"/>
      <c r="P70" s="92"/>
      <c r="Q70" s="38"/>
      <c r="R70" s="37"/>
      <c r="S70" s="20"/>
      <c r="T70" s="20"/>
      <c r="U70" s="20"/>
      <c r="V70" s="20"/>
    </row>
    <row r="71" spans="1:22" ht="14">
      <c r="A71" s="37"/>
      <c r="C71" s="36"/>
      <c r="D71" s="45"/>
      <c r="E71" s="45"/>
      <c r="F71" s="38"/>
      <c r="G71" s="38"/>
      <c r="H71" s="41"/>
      <c r="I71" s="37"/>
      <c r="J71" s="37"/>
      <c r="K71" s="86" t="s">
        <v>19</v>
      </c>
      <c r="L71" s="45">
        <f>H20</f>
        <v>500</v>
      </c>
      <c r="M71" s="45">
        <f>H52</f>
        <v>500</v>
      </c>
      <c r="N71" s="38">
        <f>Q20</f>
        <v>500</v>
      </c>
      <c r="O71" s="45">
        <f>Q52</f>
        <v>500</v>
      </c>
      <c r="P71" s="92">
        <f t="shared" ref="P71:P74" si="4">O71+N71+M71+L71</f>
        <v>2000</v>
      </c>
      <c r="Q71" s="38"/>
      <c r="R71" s="37"/>
      <c r="S71" s="20"/>
      <c r="T71" s="20"/>
      <c r="U71" s="20"/>
      <c r="V71" s="20"/>
    </row>
    <row r="72" spans="1:22" ht="14">
      <c r="A72" s="37"/>
      <c r="B72" s="36"/>
      <c r="C72" s="36"/>
      <c r="D72" s="45"/>
      <c r="E72" s="45"/>
      <c r="F72" s="38"/>
      <c r="G72" s="38"/>
      <c r="H72" s="41"/>
      <c r="I72" s="37"/>
      <c r="J72" s="37"/>
      <c r="K72" s="86" t="s">
        <v>22</v>
      </c>
      <c r="L72" s="45">
        <f>H21</f>
        <v>5500</v>
      </c>
      <c r="M72" s="45">
        <f>H53</f>
        <v>6000</v>
      </c>
      <c r="N72" s="38">
        <f>Q21</f>
        <v>6000</v>
      </c>
      <c r="O72" s="38">
        <f>Q53</f>
        <v>6000</v>
      </c>
      <c r="P72" s="92">
        <f t="shared" si="4"/>
        <v>23500</v>
      </c>
      <c r="Q72" s="48"/>
      <c r="R72" s="37"/>
      <c r="S72" s="20"/>
      <c r="T72" s="20"/>
      <c r="U72" s="20"/>
      <c r="V72" s="20"/>
    </row>
    <row r="73" spans="1:22" ht="14">
      <c r="A73" s="37"/>
      <c r="B73" s="36"/>
      <c r="C73" s="36"/>
      <c r="D73" s="20"/>
      <c r="E73" s="38"/>
      <c r="F73" s="38"/>
      <c r="G73" s="38"/>
      <c r="H73" s="41"/>
      <c r="I73" s="37"/>
      <c r="J73" s="37"/>
      <c r="K73" s="86" t="s">
        <v>50</v>
      </c>
      <c r="L73" s="45">
        <f>H24+H25</f>
        <v>788</v>
      </c>
      <c r="M73" s="50">
        <f>H56+H57</f>
        <v>788</v>
      </c>
      <c r="N73" s="45">
        <f>Q24+Q25</f>
        <v>788</v>
      </c>
      <c r="O73" s="45">
        <f>Q56+Q57</f>
        <v>788</v>
      </c>
      <c r="P73" s="92">
        <f t="shared" si="4"/>
        <v>3152</v>
      </c>
      <c r="Q73" s="52"/>
      <c r="R73" s="37"/>
      <c r="S73" s="20"/>
      <c r="T73" s="20"/>
      <c r="U73" s="20"/>
      <c r="V73" s="20"/>
    </row>
    <row r="74" spans="1:22" ht="14">
      <c r="A74" s="37"/>
      <c r="B74" s="44"/>
      <c r="C74" s="36"/>
      <c r="D74" s="20"/>
      <c r="E74" s="38"/>
      <c r="F74" s="38"/>
      <c r="G74" s="38"/>
      <c r="H74" s="41"/>
      <c r="I74" s="37"/>
      <c r="J74" s="20"/>
      <c r="K74" s="87" t="s">
        <v>51</v>
      </c>
      <c r="L74" s="80">
        <f>H27</f>
        <v>13125.36</v>
      </c>
      <c r="M74" s="80">
        <f>H59</f>
        <v>5919.04</v>
      </c>
      <c r="N74" s="81">
        <f>Q27</f>
        <v>6096.57</v>
      </c>
      <c r="O74" s="81">
        <f>Q59</f>
        <v>6279.91</v>
      </c>
      <c r="P74" s="95">
        <f t="shared" si="4"/>
        <v>31420.880000000001</v>
      </c>
      <c r="Q74" s="55"/>
      <c r="R74" s="37"/>
      <c r="S74" s="20"/>
      <c r="T74" s="20"/>
      <c r="U74" s="20"/>
      <c r="V74" s="20"/>
    </row>
    <row r="75" spans="1:22" ht="14">
      <c r="A75" s="37"/>
      <c r="B75" s="44"/>
      <c r="C75" s="36"/>
      <c r="D75" s="20"/>
      <c r="E75" s="38"/>
      <c r="F75" s="47"/>
      <c r="G75" s="48"/>
      <c r="H75" s="49"/>
      <c r="I75" s="37"/>
      <c r="J75" s="20"/>
      <c r="K75" s="88"/>
      <c r="L75" s="79"/>
      <c r="M75" s="79"/>
      <c r="N75" s="79"/>
      <c r="O75" s="79"/>
      <c r="P75" s="93"/>
      <c r="Q75" s="20"/>
      <c r="R75" s="37"/>
      <c r="S75" s="20"/>
      <c r="T75" s="20"/>
      <c r="U75" s="20"/>
      <c r="V75" s="20"/>
    </row>
    <row r="76" spans="1:22" ht="14">
      <c r="A76" s="37"/>
      <c r="B76" s="20"/>
      <c r="C76" s="36"/>
      <c r="D76" s="20"/>
      <c r="E76" s="38"/>
      <c r="F76" s="56"/>
      <c r="G76" s="48"/>
      <c r="H76" s="49"/>
      <c r="I76" s="37"/>
      <c r="J76" s="20"/>
      <c r="K76" s="103" t="s">
        <v>14</v>
      </c>
      <c r="L76" s="100">
        <f>H29</f>
        <v>179237.49666666664</v>
      </c>
      <c r="M76" s="58">
        <f>H61</f>
        <v>175546.66228000002</v>
      </c>
      <c r="N76" s="58">
        <f>Q29</f>
        <v>178971.58372</v>
      </c>
      <c r="O76" s="58">
        <f>Q61</f>
        <v>182466.2095</v>
      </c>
      <c r="P76" s="104">
        <f t="shared" ref="P76:P79" si="5">O76+N76+M76+L76</f>
        <v>716221.95216666674</v>
      </c>
      <c r="Q76" s="20"/>
      <c r="R76" s="20"/>
      <c r="S76" s="20"/>
      <c r="T76" s="20"/>
      <c r="U76" s="20"/>
      <c r="V76" s="20"/>
    </row>
    <row r="77" spans="1:22" ht="14">
      <c r="A77" s="37"/>
      <c r="B77" s="20"/>
      <c r="C77" s="36"/>
      <c r="D77" s="50"/>
      <c r="E77" s="36"/>
      <c r="F77" s="51"/>
      <c r="G77" s="52"/>
      <c r="H77" s="53"/>
      <c r="I77" s="37"/>
      <c r="J77" s="20"/>
      <c r="K77" s="105" t="s">
        <v>52</v>
      </c>
      <c r="L77" s="96">
        <f>H30</f>
        <v>166112.13666666666</v>
      </c>
      <c r="M77" s="97">
        <f>H62</f>
        <v>169627.62228000001</v>
      </c>
      <c r="N77" s="97">
        <f>Q30</f>
        <v>172875.01371999999</v>
      </c>
      <c r="O77" s="97">
        <f>Q62</f>
        <v>176186.29949999999</v>
      </c>
      <c r="P77" s="106">
        <f t="shared" si="5"/>
        <v>684801.07216666662</v>
      </c>
      <c r="Q77" s="20"/>
      <c r="R77" s="20"/>
      <c r="S77" s="20"/>
      <c r="T77" s="20"/>
      <c r="U77" s="20"/>
      <c r="V77" s="20"/>
    </row>
    <row r="78" spans="1:22" ht="14">
      <c r="A78" s="37"/>
      <c r="B78" s="36"/>
      <c r="C78" s="54"/>
      <c r="D78" s="20"/>
      <c r="E78" s="42"/>
      <c r="F78" s="55"/>
      <c r="G78" s="55"/>
      <c r="H78" s="41"/>
      <c r="I78" s="37"/>
      <c r="J78" s="20"/>
      <c r="K78" s="107" t="s">
        <v>18</v>
      </c>
      <c r="L78" s="98">
        <f>H31</f>
        <v>114617.37429999998</v>
      </c>
      <c r="M78" s="98">
        <f>H63</f>
        <v>117043.0593732</v>
      </c>
      <c r="N78" s="98">
        <f>Q31</f>
        <v>119283.75946679998</v>
      </c>
      <c r="O78" s="98">
        <f>Q63</f>
        <v>121568.54665499998</v>
      </c>
      <c r="P78" s="108">
        <f t="shared" si="5"/>
        <v>472512.73979499994</v>
      </c>
      <c r="Q78" s="20"/>
      <c r="R78" s="20"/>
      <c r="S78" s="20"/>
      <c r="T78" s="20"/>
      <c r="U78" s="20"/>
      <c r="V78" s="20"/>
    </row>
    <row r="79" spans="1:22" ht="14">
      <c r="A79" s="20"/>
      <c r="B79" s="54"/>
      <c r="C79" s="20"/>
      <c r="D79" s="20"/>
      <c r="E79" s="20"/>
      <c r="F79" s="20"/>
      <c r="G79" s="20"/>
      <c r="H79" s="20"/>
      <c r="I79" s="37"/>
      <c r="J79" s="20"/>
      <c r="K79" s="109" t="s">
        <v>10</v>
      </c>
      <c r="L79" s="99">
        <f>H32</f>
        <v>293854.87096666661</v>
      </c>
      <c r="M79" s="99">
        <f>H64</f>
        <v>292589.72165319999</v>
      </c>
      <c r="N79" s="99">
        <f>Q32</f>
        <v>298255.34318679996</v>
      </c>
      <c r="O79" s="99">
        <f>Q64</f>
        <v>304034.75615499995</v>
      </c>
      <c r="P79" s="110">
        <f t="shared" si="5"/>
        <v>1188734.6919616666</v>
      </c>
      <c r="Q79" s="20"/>
      <c r="R79" s="20"/>
      <c r="S79" s="20"/>
      <c r="T79" s="20"/>
      <c r="U79" s="20"/>
      <c r="V79" s="20"/>
    </row>
    <row r="80" spans="1:22" ht="12" thickBot="1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89"/>
      <c r="L80" s="90"/>
      <c r="M80" s="90"/>
      <c r="N80" s="90"/>
      <c r="O80" s="90"/>
      <c r="P80" s="94"/>
      <c r="Q80" s="20"/>
      <c r="R80" s="20"/>
      <c r="S80" s="20"/>
      <c r="T80" s="20"/>
      <c r="U80" s="20"/>
      <c r="V80" s="20"/>
    </row>
    <row r="81" spans="2:22">
      <c r="B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</row>
    <row r="89" spans="2:22" ht="14">
      <c r="Q89" s="43"/>
    </row>
    <row r="90" spans="2:22" ht="14">
      <c r="Q90" s="45"/>
    </row>
    <row r="91" spans="2:22" ht="14">
      <c r="Q91" s="45"/>
    </row>
    <row r="92" spans="2:22" ht="14">
      <c r="Q92" s="45"/>
    </row>
    <row r="93" spans="2:22" ht="14">
      <c r="Q93" s="38"/>
    </row>
    <row r="94" spans="2:22" ht="14">
      <c r="Q94" s="38"/>
    </row>
    <row r="95" spans="2:22" ht="14">
      <c r="Q95" s="38"/>
    </row>
    <row r="96" spans="2:22" ht="14">
      <c r="Q96" s="38"/>
    </row>
    <row r="97" spans="13:17" ht="14">
      <c r="Q97" s="38"/>
    </row>
    <row r="98" spans="13:17" ht="14">
      <c r="Q98" s="38"/>
    </row>
    <row r="99" spans="13:17" ht="14">
      <c r="Q99" s="38"/>
    </row>
    <row r="100" spans="13:17">
      <c r="M100" s="20"/>
      <c r="N100" s="20"/>
      <c r="O100" s="20"/>
      <c r="P100" s="20"/>
      <c r="Q100" s="20"/>
    </row>
    <row r="101" spans="13:17" ht="14">
      <c r="M101" s="36"/>
      <c r="N101" s="36"/>
      <c r="O101" s="43"/>
      <c r="P101" s="45"/>
      <c r="Q101" s="45"/>
    </row>
  </sheetData>
  <sheetCalcPr fullCalcOnLoad="1"/>
  <phoneticPr fontId="12" type="noConversion"/>
  <pageMargins left="0.2" right="0.2" top="0.25" bottom="0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Cox NSF 7-12</vt:lpstr>
    </vt:vector>
  </TitlesOfParts>
  <Company>CHD Policy Research Institute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Paula A. Goldman</dc:creator>
  <cp:lastModifiedBy>David Cox</cp:lastModifiedBy>
  <cp:lastPrinted>2012-07-03T17:19:15Z</cp:lastPrinted>
  <dcterms:created xsi:type="dcterms:W3CDTF">1998-02-21T03:21:42Z</dcterms:created>
  <dcterms:modified xsi:type="dcterms:W3CDTF">2012-10-02T19:13:14Z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_AdHocReviewCycleID">
    <vt:i4>1213417174</vt:i4>
  </property>
  <property fmtid="{D5CDD505-2E9C-101B-9397-08002B2CF9AE}" pid="4" name="_EmailSubject">
    <vt:lpwstr>Budget</vt:lpwstr>
  </property>
  <property fmtid="{D5CDD505-2E9C-101B-9397-08002B2CF9AE}" pid="5" name="_AuthorEmail">
    <vt:lpwstr>NHegarty@mcb.harvard.edu</vt:lpwstr>
  </property>
  <property fmtid="{D5CDD505-2E9C-101B-9397-08002B2CF9AE}" pid="6" name="_AuthorEmailDisplayName">
    <vt:lpwstr>Hegarty, Nancy</vt:lpwstr>
  </property>
  <property fmtid="{D5CDD505-2E9C-101B-9397-08002B2CF9AE}" pid="7" name="_PreviousAdHocReviewCycleID">
    <vt:i4>-1814928004</vt:i4>
  </property>
</Properties>
</file>