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4d18e97e83872b/Documents/1_Reference/UP/_project_DefaultPrediction/Notebooks_IPYNB/"/>
    </mc:Choice>
  </mc:AlternateContent>
  <xr:revisionPtr revIDLastSave="278" documentId="8_{6AE6F1BC-C7A4-4089-8D7C-D5BE3667E8E7}" xr6:coauthVersionLast="47" xr6:coauthVersionMax="47" xr10:uidLastSave="{8B1433DB-992A-495A-85D5-12B4488404A3}"/>
  <bookViews>
    <workbookView xWindow="-108" yWindow="-108" windowWidth="23256" windowHeight="12456" xr2:uid="{00000000-000D-0000-FFFF-FFFF00000000}"/>
  </bookViews>
  <sheets>
    <sheet name="MANUAL_TESTING" sheetId="1" r:id="rId1"/>
    <sheet name="am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" i="1" l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F4" i="1"/>
  <c r="AT5" i="1"/>
  <c r="AT6" i="1" s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4" i="1"/>
  <c r="G5" i="2"/>
  <c r="F6" i="2"/>
  <c r="F7" i="2"/>
  <c r="F8" i="2"/>
  <c r="F9" i="2"/>
  <c r="F10" i="2"/>
  <c r="F11" i="2"/>
  <c r="F12" i="2"/>
  <c r="F13" i="2"/>
  <c r="F14" i="2"/>
  <c r="F15" i="2"/>
  <c r="F16" i="2"/>
  <c r="F5" i="2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I20" i="1" l="1"/>
  <c r="AI12" i="1"/>
  <c r="AI10" i="1"/>
  <c r="AI13" i="1"/>
  <c r="AI24" i="1"/>
  <c r="AI23" i="1"/>
  <c r="AI22" i="1"/>
  <c r="AI11" i="1"/>
  <c r="AI7" i="1"/>
  <c r="AI18" i="1"/>
  <c r="AI5" i="1"/>
  <c r="AI4" i="1"/>
  <c r="AL4" i="1" s="1"/>
  <c r="AI6" i="1"/>
  <c r="AI17" i="1"/>
  <c r="AI16" i="1"/>
  <c r="AG9" i="1"/>
  <c r="AD18" i="1"/>
  <c r="AF6" i="1"/>
  <c r="AG8" i="1"/>
  <c r="AF17" i="1"/>
  <c r="AF5" i="1"/>
  <c r="AD16" i="1"/>
  <c r="AE16" i="1" s="1"/>
  <c r="AD4" i="1"/>
  <c r="AF24" i="1"/>
  <c r="AF14" i="1"/>
  <c r="AG15" i="1"/>
  <c r="AF12" i="1"/>
  <c r="AD19" i="1"/>
  <c r="AE19" i="1" s="1"/>
  <c r="AG21" i="1"/>
  <c r="AF8" i="1"/>
  <c r="AF20" i="1"/>
  <c r="AG20" i="1"/>
  <c r="AD20" i="1"/>
  <c r="AI19" i="1"/>
  <c r="AD15" i="1"/>
  <c r="AE15" i="1" s="1"/>
  <c r="AD17" i="1"/>
  <c r="AE17" i="1" s="1"/>
  <c r="AI8" i="1"/>
  <c r="AD13" i="1"/>
  <c r="AE13" i="1" s="1"/>
  <c r="AD8" i="1"/>
  <c r="AE8" i="1" s="1"/>
  <c r="AD6" i="1"/>
  <c r="AE6" i="1" s="1"/>
  <c r="AD23" i="1"/>
  <c r="AE23" i="1" s="1"/>
  <c r="AF11" i="1"/>
  <c r="AD5" i="1"/>
  <c r="AE5" i="1" s="1"/>
  <c r="AD22" i="1"/>
  <c r="AE22" i="1" s="1"/>
  <c r="AF10" i="1"/>
  <c r="AD21" i="1"/>
  <c r="AE21" i="1" s="1"/>
  <c r="AD9" i="1"/>
  <c r="AE9" i="1" s="1"/>
  <c r="AF19" i="1"/>
  <c r="AD7" i="1"/>
  <c r="AE7" i="1" s="1"/>
  <c r="AF16" i="1"/>
  <c r="AD24" i="1"/>
  <c r="AE24" i="1" s="1"/>
  <c r="AD12" i="1"/>
  <c r="AE12" i="1" s="1"/>
  <c r="AF21" i="1"/>
  <c r="AF9" i="1"/>
  <c r="AF23" i="1"/>
  <c r="AE18" i="1"/>
  <c r="AD11" i="1"/>
  <c r="AE11" i="1" s="1"/>
  <c r="AD14" i="1"/>
  <c r="AE14" i="1" s="1"/>
  <c r="AF22" i="1"/>
  <c r="AD10" i="1"/>
  <c r="AE10" i="1" s="1"/>
  <c r="AF7" i="1"/>
  <c r="AF18" i="1"/>
  <c r="AI15" i="1"/>
  <c r="AI14" i="1"/>
  <c r="AK14" i="1" s="1"/>
  <c r="AF15" i="1"/>
  <c r="AF13" i="1"/>
  <c r="AI21" i="1"/>
  <c r="AI9" i="1"/>
  <c r="AG19" i="1"/>
  <c r="AG13" i="1"/>
  <c r="AG24" i="1"/>
  <c r="AG7" i="1"/>
  <c r="AG14" i="1"/>
  <c r="AG23" i="1"/>
  <c r="AG11" i="1"/>
  <c r="AG18" i="1"/>
  <c r="AG6" i="1"/>
  <c r="AG17" i="1"/>
  <c r="AG5" i="1"/>
  <c r="AG16" i="1"/>
  <c r="AG4" i="1"/>
  <c r="AG12" i="1"/>
  <c r="AG22" i="1"/>
  <c r="AG10" i="1"/>
  <c r="AE20" i="1"/>
  <c r="AE4" i="1"/>
  <c r="AL17" i="1" l="1"/>
  <c r="AK17" i="1"/>
  <c r="AL18" i="1"/>
  <c r="AK18" i="1"/>
  <c r="AL12" i="1"/>
  <c r="AN12" i="1" s="1"/>
  <c r="AK12" i="1"/>
  <c r="AL8" i="1"/>
  <c r="AK8" i="1"/>
  <c r="AL5" i="1"/>
  <c r="AK5" i="1"/>
  <c r="AL9" i="1"/>
  <c r="AK9" i="1"/>
  <c r="AL21" i="1"/>
  <c r="AK21" i="1"/>
  <c r="AL24" i="1"/>
  <c r="AK24" i="1"/>
  <c r="AL19" i="1"/>
  <c r="AK19" i="1"/>
  <c r="AL11" i="1"/>
  <c r="AN11" i="1" s="1"/>
  <c r="AK11" i="1"/>
  <c r="AL23" i="1"/>
  <c r="AN23" i="1" s="1"/>
  <c r="AK23" i="1"/>
  <c r="AL13" i="1"/>
  <c r="AN13" i="1" s="1"/>
  <c r="AK13" i="1"/>
  <c r="AL6" i="1"/>
  <c r="AK6" i="1"/>
  <c r="AL7" i="1"/>
  <c r="AK7" i="1"/>
  <c r="AL22" i="1"/>
  <c r="AN22" i="1" s="1"/>
  <c r="AK22" i="1"/>
  <c r="AL15" i="1"/>
  <c r="AK15" i="1"/>
  <c r="AL16" i="1"/>
  <c r="AK16" i="1"/>
  <c r="AL10" i="1"/>
  <c r="AK10" i="1"/>
  <c r="AL20" i="1"/>
  <c r="AK20" i="1"/>
  <c r="AN24" i="1"/>
  <c r="AN18" i="1"/>
  <c r="AK4" i="1"/>
  <c r="AN4" i="1"/>
  <c r="AN7" i="1"/>
  <c r="AN21" i="1"/>
  <c r="AN16" i="1"/>
  <c r="AN19" i="1"/>
  <c r="AL14" i="1"/>
  <c r="AN6" i="1" l="1"/>
  <c r="AN20" i="1"/>
  <c r="AN9" i="1"/>
  <c r="AN17" i="1"/>
  <c r="AN15" i="1"/>
  <c r="AN10" i="1"/>
  <c r="AN5" i="1"/>
  <c r="AN8" i="1"/>
  <c r="AR4" i="1"/>
  <c r="AV3" i="1" s="1"/>
  <c r="AR3" i="1"/>
  <c r="AU3" i="1" s="1"/>
  <c r="AN14" i="1"/>
</calcChain>
</file>

<file path=xl/sharedStrings.xml><?xml version="1.0" encoding="utf-8"?>
<sst xmlns="http://schemas.openxmlformats.org/spreadsheetml/2006/main" count="252" uniqueCount="141">
  <si>
    <t>loan_amnt</t>
  </si>
  <si>
    <t>int_rate</t>
  </si>
  <si>
    <t>installment</t>
  </si>
  <si>
    <t>annual_inc</t>
  </si>
  <si>
    <t>dti</t>
  </si>
  <si>
    <t>open_acc</t>
  </si>
  <si>
    <t>pub_rec</t>
  </si>
  <si>
    <t>revol_bal</t>
  </si>
  <si>
    <t>revol_util</t>
  </si>
  <si>
    <t>total_acc</t>
  </si>
  <si>
    <t>mort_acc</t>
  </si>
  <si>
    <t>pub_rec_bankruptcies</t>
  </si>
  <si>
    <t>term</t>
  </si>
  <si>
    <t>sub_grade</t>
  </si>
  <si>
    <t>emp_title</t>
  </si>
  <si>
    <t>emp_length</t>
  </si>
  <si>
    <t>home_ownership</t>
  </si>
  <si>
    <t>verification_status</t>
  </si>
  <si>
    <t>purpose</t>
  </si>
  <si>
    <t>title</t>
  </si>
  <si>
    <t>zip_code</t>
  </si>
  <si>
    <t>addr_state</t>
  </si>
  <si>
    <t xml:space="preserve"> 60 months</t>
  </si>
  <si>
    <t>E1</t>
  </si>
  <si>
    <t>Teacher, Dept Chair of Social Studies</t>
  </si>
  <si>
    <t>10+ years</t>
  </si>
  <si>
    <t>MORTGAGE</t>
  </si>
  <si>
    <t>Verified</t>
  </si>
  <si>
    <t>debt_consolidation</t>
  </si>
  <si>
    <t>Debt consolidation</t>
  </si>
  <si>
    <t>957xx</t>
  </si>
  <si>
    <t>CA</t>
  </si>
  <si>
    <t>C5</t>
  </si>
  <si>
    <t>Journeyman</t>
  </si>
  <si>
    <t>7 years</t>
  </si>
  <si>
    <t>credit_card</t>
  </si>
  <si>
    <t>Credit card refinancing</t>
  </si>
  <si>
    <t>404xx</t>
  </si>
  <si>
    <t>KY</t>
  </si>
  <si>
    <t>B3</t>
  </si>
  <si>
    <t>Clerk</t>
  </si>
  <si>
    <t>RENT</t>
  </si>
  <si>
    <t>060xx</t>
  </si>
  <si>
    <t>CT</t>
  </si>
  <si>
    <t xml:space="preserve"> 36 months</t>
  </si>
  <si>
    <t>C4</t>
  </si>
  <si>
    <t>server</t>
  </si>
  <si>
    <t>6 years</t>
  </si>
  <si>
    <t>331xx</t>
  </si>
  <si>
    <t>FL</t>
  </si>
  <si>
    <t>F1</t>
  </si>
  <si>
    <t>customer service rep</t>
  </si>
  <si>
    <t>&lt; 1 year</t>
  </si>
  <si>
    <t>Not Verified</t>
  </si>
  <si>
    <t>other</t>
  </si>
  <si>
    <t>Other</t>
  </si>
  <si>
    <t>371xx</t>
  </si>
  <si>
    <t>TN</t>
  </si>
  <si>
    <t>C3</t>
  </si>
  <si>
    <t>Paralegal</t>
  </si>
  <si>
    <t>751xx</t>
  </si>
  <si>
    <t>TX</t>
  </si>
  <si>
    <t>B2</t>
  </si>
  <si>
    <t>Build Engineer</t>
  </si>
  <si>
    <t>2 years</t>
  </si>
  <si>
    <t>major_purchase</t>
  </si>
  <si>
    <t>Major purchase</t>
  </si>
  <si>
    <t>B4</t>
  </si>
  <si>
    <t>Product Manager</t>
  </si>
  <si>
    <t>338xx</t>
  </si>
  <si>
    <t>E3</t>
  </si>
  <si>
    <t>920xx</t>
  </si>
  <si>
    <t>E5</t>
  </si>
  <si>
    <t>Administrative Support Assistant</t>
  </si>
  <si>
    <t>Source Verified</t>
  </si>
  <si>
    <t>170xx</t>
  </si>
  <si>
    <t>PA</t>
  </si>
  <si>
    <t>VP</t>
  </si>
  <si>
    <t>4 years</t>
  </si>
  <si>
    <t>080xx</t>
  </si>
  <si>
    <t>NJ</t>
  </si>
  <si>
    <t>Manager Employee Relations</t>
  </si>
  <si>
    <t>5 years</t>
  </si>
  <si>
    <t>750xx</t>
  </si>
  <si>
    <t>Teacher</t>
  </si>
  <si>
    <t>3 years</t>
  </si>
  <si>
    <t>748xx</t>
  </si>
  <si>
    <t>OK</t>
  </si>
  <si>
    <t>D3</t>
  </si>
  <si>
    <t>760xx</t>
  </si>
  <si>
    <t>E4</t>
  </si>
  <si>
    <t>Senior Manager</t>
  </si>
  <si>
    <t>8 years</t>
  </si>
  <si>
    <t>208xx</t>
  </si>
  <si>
    <t>MD</t>
  </si>
  <si>
    <t>B5</t>
  </si>
  <si>
    <t>Certified Surgical Technologist</t>
  </si>
  <si>
    <t>551xx</t>
  </si>
  <si>
    <t>MN</t>
  </si>
  <si>
    <t>C2</t>
  </si>
  <si>
    <t>Technical Designer</t>
  </si>
  <si>
    <t>727xx</t>
  </si>
  <si>
    <t>AR</t>
  </si>
  <si>
    <t>D2</t>
  </si>
  <si>
    <t>OWN</t>
  </si>
  <si>
    <t>622xx</t>
  </si>
  <si>
    <t>IL</t>
  </si>
  <si>
    <t>clerk</t>
  </si>
  <si>
    <t>932xx</t>
  </si>
  <si>
    <t>D5</t>
  </si>
  <si>
    <t>Server Food</t>
  </si>
  <si>
    <t>347xx</t>
  </si>
  <si>
    <t>A4</t>
  </si>
  <si>
    <t xml:space="preserve">Machine Operator </t>
  </si>
  <si>
    <t>100xx</t>
  </si>
  <si>
    <t>NY</t>
  </si>
  <si>
    <t>index</t>
  </si>
  <si>
    <t>TRUE</t>
  </si>
  <si>
    <t>OUTPUT</t>
  </si>
  <si>
    <t>MXN/USD</t>
  </si>
  <si>
    <t>MXN</t>
  </si>
  <si>
    <t>InterestR</t>
  </si>
  <si>
    <t>YEARS</t>
  </si>
  <si>
    <t>PMT</t>
  </si>
  <si>
    <t>CAD PMT</t>
  </si>
  <si>
    <t>INT_YEAR_1</t>
  </si>
  <si>
    <t>PAY_1_YEAR</t>
  </si>
  <si>
    <t>TIIE</t>
  </si>
  <si>
    <t>COST_TRUE</t>
  </si>
  <si>
    <t>INCOME_TRUE</t>
  </si>
  <si>
    <t>MARGIN_TRUE</t>
  </si>
  <si>
    <t>COST_PREDICTED</t>
  </si>
  <si>
    <t>INCOME_PREDICTED</t>
  </si>
  <si>
    <t>MARGIN_PREDICTED</t>
  </si>
  <si>
    <t>Margen SIN algoritmo</t>
  </si>
  <si>
    <t>Margen CON algoritmo</t>
  </si>
  <si>
    <t>Margen anual en pesos</t>
  </si>
  <si>
    <t>SIN algoritmo</t>
  </si>
  <si>
    <t>CON algoritmo</t>
  </si>
  <si>
    <t>TASA</t>
  </si>
  <si>
    <t>Fondeo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</si>
</sst>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#,##0\ ;\(#,##0\)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8" fillId="33" borderId="0" xfId="0" applyFont="1" applyFill="1"/>
    <xf numFmtId="8" fontId="18" fillId="0" borderId="0" xfId="0" applyNumberFormat="1" applyFont="1"/>
    <xf numFmtId="8" fontId="0" fillId="0" borderId="0" xfId="0" applyNumberFormat="1"/>
    <xf numFmtId="9" fontId="18" fillId="0" borderId="0" xfId="0" applyNumberFormat="1" applyFont="1"/>
    <xf numFmtId="0" fontId="18" fillId="0" borderId="0" xfId="0" applyFont="1" applyAlignment="1">
      <alignment horizontal="center" vertical="center"/>
    </xf>
    <xf numFmtId="9" fontId="18" fillId="0" borderId="0" xfId="0" applyNumberFormat="1" applyFont="1" applyAlignment="1">
      <alignment horizontal="center" vertical="center"/>
    </xf>
    <xf numFmtId="164" fontId="18" fillId="0" borderId="0" xfId="42" applyNumberFormat="1" applyFont="1"/>
    <xf numFmtId="165" fontId="18" fillId="0" borderId="0" xfId="0" applyNumberFormat="1" applyFont="1"/>
    <xf numFmtId="166" fontId="18" fillId="0" borderId="0" xfId="42" applyNumberFormat="1" applyFont="1"/>
    <xf numFmtId="166" fontId="19" fillId="0" borderId="0" xfId="42" applyNumberFormat="1" applyFont="1"/>
    <xf numFmtId="0" fontId="18" fillId="0" borderId="0" xfId="0" applyFont="1" applyAlignment="1">
      <alignment horizontal="right"/>
    </xf>
    <xf numFmtId="166" fontId="18" fillId="0" borderId="0" xfId="42" applyNumberFormat="1" applyFont="1" applyAlignment="1">
      <alignment horizontal="righ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2"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AN24" totalsRowShown="0" headerRowDxfId="41" dataDxfId="40">
  <autoFilter ref="A3:AN24" xr:uid="{00000000-0009-0000-0100-000001000000}"/>
  <sortState xmlns:xlrd2="http://schemas.microsoft.com/office/spreadsheetml/2017/richdata2" ref="A4:X24">
    <sortCondition ref="A3:A24"/>
  </sortState>
  <tableColumns count="40">
    <tableColumn id="23" xr3:uid="{00000000-0010-0000-0000-000017000000}" name="index" dataDxfId="39"/>
    <tableColumn id="1" xr3:uid="{00000000-0010-0000-0000-000001000000}" name="loan_amnt" dataDxfId="38"/>
    <tableColumn id="2" xr3:uid="{00000000-0010-0000-0000-000002000000}" name="int_rate" dataDxfId="37"/>
    <tableColumn id="3" xr3:uid="{00000000-0010-0000-0000-000003000000}" name="installment" dataDxfId="36"/>
    <tableColumn id="4" xr3:uid="{00000000-0010-0000-0000-000004000000}" name="annual_inc" dataDxfId="35"/>
    <tableColumn id="5" xr3:uid="{00000000-0010-0000-0000-000005000000}" name="dti" dataDxfId="34"/>
    <tableColumn id="6" xr3:uid="{00000000-0010-0000-0000-000006000000}" name="open_acc" dataDxfId="33"/>
    <tableColumn id="7" xr3:uid="{00000000-0010-0000-0000-000007000000}" name="pub_rec" dataDxfId="32"/>
    <tableColumn id="8" xr3:uid="{00000000-0010-0000-0000-000008000000}" name="revol_bal" dataDxfId="31"/>
    <tableColumn id="9" xr3:uid="{00000000-0010-0000-0000-000009000000}" name="revol_util" dataDxfId="30"/>
    <tableColumn id="10" xr3:uid="{00000000-0010-0000-0000-00000A000000}" name="total_acc" dataDxfId="29"/>
    <tableColumn id="11" xr3:uid="{00000000-0010-0000-0000-00000B000000}" name="mort_acc" dataDxfId="28"/>
    <tableColumn id="12" xr3:uid="{00000000-0010-0000-0000-00000C000000}" name="pub_rec_bankruptcies" dataDxfId="27"/>
    <tableColumn id="13" xr3:uid="{00000000-0010-0000-0000-00000D000000}" name="term" dataDxfId="26"/>
    <tableColumn id="14" xr3:uid="{00000000-0010-0000-0000-00000E000000}" name="sub_grade" dataDxfId="25"/>
    <tableColumn id="15" xr3:uid="{00000000-0010-0000-0000-00000F000000}" name="emp_title" dataDxfId="24"/>
    <tableColumn id="16" xr3:uid="{00000000-0010-0000-0000-000010000000}" name="emp_length" dataDxfId="23"/>
    <tableColumn id="17" xr3:uid="{00000000-0010-0000-0000-000011000000}" name="home_ownership" dataDxfId="22"/>
    <tableColumn id="18" xr3:uid="{00000000-0010-0000-0000-000012000000}" name="verification_status" dataDxfId="21"/>
    <tableColumn id="19" xr3:uid="{00000000-0010-0000-0000-000013000000}" name="purpose" dataDxfId="20"/>
    <tableColumn id="20" xr3:uid="{00000000-0010-0000-0000-000014000000}" name="title" dataDxfId="19"/>
    <tableColumn id="21" xr3:uid="{00000000-0010-0000-0000-000015000000}" name="zip_code" dataDxfId="18"/>
    <tableColumn id="22" xr3:uid="{00000000-0010-0000-0000-000016000000}" name="addr_state" dataDxfId="17"/>
    <tableColumn id="24" xr3:uid="{00000000-0010-0000-0000-000018000000}" name="OUTPUT" dataDxfId="16"/>
    <tableColumn id="25" xr3:uid="{F6B5F3F1-CC45-4B3D-81D2-78C06215DC10}" name="TRUE" dataDxfId="15"/>
    <tableColumn id="26" xr3:uid="{57CD8D4E-854C-4C25-BA4A-965959620703}" name="MXN/USD" dataDxfId="14"/>
    <tableColumn id="27" xr3:uid="{AFBE849F-5268-49A6-BBC5-02156F9AD07D}" name="MXN" dataDxfId="13">
      <calculatedColumnFormula>Tabla1[[#This Row],[MXN/USD]]*Tabla1[[#This Row],[loan_amnt]]</calculatedColumnFormula>
    </tableColumn>
    <tableColumn id="29" xr3:uid="{DD1337A6-D928-45B1-9A69-C68C7FBFCA9D}" name="InterestR" dataDxfId="12">
      <calculatedColumnFormula>Tabla1[[#This Row],[int_rate]]%</calculatedColumnFormula>
    </tableColumn>
    <tableColumn id="30" xr3:uid="{9EC01862-3F7D-47C9-8F50-ABBAA4283ED8}" name="YEARS" dataDxfId="11">
      <calculatedColumnFormula>IF(Tabla1[[#This Row],[term]]=" 60 months",5,3)</calculatedColumnFormula>
    </tableColumn>
    <tableColumn id="31" xr3:uid="{DC1FC252-B125-4BCA-BD87-D166757B4382}" name="PMT" dataDxfId="10">
      <calculatedColumnFormula>-PMT(Tabla1[[#This Row],[InterestR]]/12,Tabla1[[#This Row],[YEARS]]*12,Tabla1[[#This Row],[MXN]],0)</calculatedColumnFormula>
    </tableColumn>
    <tableColumn id="32" xr3:uid="{DCB28545-5028-4F1A-A6B8-4E803B1EE88D}" name="CAD PMT" dataDxfId="9">
      <calculatedColumnFormula>Tabla1[[#This Row],[PMT]]/Tabla1[[#This Row],[MXN/USD]]</calculatedColumnFormula>
    </tableColumn>
    <tableColumn id="33" xr3:uid="{9EBAF1F0-C76C-45B2-A59A-0C5DC171A2B1}" name="INT_YEAR_1" dataDxfId="8">
      <calculatedColumnFormula>-CUMIPMT(Tabla1[[#This Row],[InterestR]]/12,Tabla1[[#This Row],[YEARS]]*12,Tabla1[[#This Row],[MXN]],1,12,0)</calculatedColumnFormula>
    </tableColumn>
    <tableColumn id="35" xr3:uid="{0B89477F-3DF5-4107-9992-A5E19A4D9CAC}" name="PAY_1_YEAR" dataDxfId="7">
      <calculatedColumnFormula>Tabla1[[#This Row],[MXN]]*Tabla1[[#This Row],[InterestR]]</calculatedColumnFormula>
    </tableColumn>
    <tableColumn id="36" xr3:uid="{AB3101AB-1E02-4081-B7F3-3ABC3B63AF22}" name="TIIE" dataDxfId="6">
      <calculatedColumnFormula>$AR$1</calculatedColumnFormula>
    </tableColumn>
    <tableColumn id="37" xr3:uid="{78CBDA39-7BA2-44CC-AE50-767568B42FF3}" name="COST_TRUE" dataDxfId="5">
      <calculatedColumnFormula>-Tabla1[[#This Row],[TIIE]]*Tabla1[[#This Row],[MXN]]</calculatedColumnFormula>
    </tableColumn>
    <tableColumn id="38" xr3:uid="{327C3C2F-4B36-40B2-82EB-1BD2CBB10DE2}" name="INCOME_TRUE" dataDxfId="4">
      <calculatedColumnFormula>IF(Tabla1[[#This Row],[TRUE]]=1,-CUMIPMT(Tabla1[[#This Row],[InterestR]]/12,Tabla1[[#This Row],[YEARS]]*12,Tabla1[[#This Row],[MXN]],1,12,0),-CUMIPMT(Tabla1[[#This Row],[InterestR]]/12,Tabla1[[#This Row],[YEARS]]*12,Tabla1[[#This Row],[MXN]],1,6,0))</calculatedColumnFormula>
    </tableColumn>
    <tableColumn id="39" xr3:uid="{5B8F3F76-6B5E-41E7-BCAE-2B5FFEB73732}" name="MARGIN_TRUE" dataDxfId="3">
      <calculatedColumnFormula>+Tabla1[[#This Row],[INCOME_TRUE]]+Tabla1[[#This Row],[COST_TRUE]]</calculatedColumnFormula>
    </tableColumn>
    <tableColumn id="40" xr3:uid="{4B2DDB66-E89C-49DD-BAA4-9C2AFD52E56B}" name="COST_PREDICTED" dataDxfId="2">
      <calculatedColumnFormula>Tabla1[[#This Row],[COST_TRUE]]*Tabla1[[#This Row],[OUTPUT]]</calculatedColumnFormula>
    </tableColumn>
    <tableColumn id="41" xr3:uid="{2BBF5EBC-F485-4885-93E9-C9724C5AA40D}" name="INCOME_PREDICTED" dataDxfId="1">
      <calculatedColumnFormula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calculatedColumnFormula>
    </tableColumn>
    <tableColumn id="42" xr3:uid="{22E6456B-45C0-447B-A374-9A598CC8CB44}" name="MARGIN_PREDICTED" dataDxfId="0">
      <calculatedColumnFormula>Tabla1[[#This Row],[INCOME_PREDICTED]]+Tabla1[[#This Row],[COST_PREDICTED]]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3"/>
  <sheetViews>
    <sheetView showGridLines="0" tabSelected="1" zoomScale="70" zoomScaleNormal="70" workbookViewId="0">
      <selection activeCell="AX31" sqref="AX31"/>
    </sheetView>
  </sheetViews>
  <sheetFormatPr baseColWidth="10" defaultRowHeight="14.4" outlineLevelCol="1" x14ac:dyDescent="0.3"/>
  <cols>
    <col min="1" max="1" width="8.109375" style="1" bestFit="1" customWidth="1"/>
    <col min="2" max="2" width="12.6640625" style="1" bestFit="1" customWidth="1"/>
    <col min="3" max="23" width="10.33203125" style="1" hidden="1" customWidth="1" outlineLevel="1"/>
    <col min="24" max="24" width="10.33203125" style="1" hidden="1" customWidth="1" outlineLevel="1" collapsed="1"/>
    <col min="25" max="40" width="10.33203125" style="1" hidden="1" customWidth="1" outlineLevel="1"/>
    <col min="41" max="41" width="10.6640625" style="1" customWidth="1" collapsed="1"/>
    <col min="42" max="42" width="10.6640625" style="1" customWidth="1"/>
    <col min="43" max="43" width="19.33203125" style="1" bestFit="1" customWidth="1"/>
    <col min="44" max="46" width="11.5546875" style="1"/>
    <col min="47" max="48" width="15.33203125" style="10" customWidth="1"/>
    <col min="49" max="16384" width="11.5546875" style="1"/>
  </cols>
  <sheetData>
    <row r="1" spans="1:48" x14ac:dyDescent="0.3">
      <c r="AQ1" s="6" t="s">
        <v>127</v>
      </c>
      <c r="AR1" s="7">
        <v>0.11</v>
      </c>
      <c r="AU1" s="11" t="s">
        <v>136</v>
      </c>
    </row>
    <row r="2" spans="1:48" x14ac:dyDescent="0.3">
      <c r="AT2" s="12" t="s">
        <v>139</v>
      </c>
      <c r="AU2" s="13" t="s">
        <v>137</v>
      </c>
      <c r="AV2" s="13" t="s">
        <v>138</v>
      </c>
    </row>
    <row r="3" spans="1:48" x14ac:dyDescent="0.3">
      <c r="A3" s="1" t="s">
        <v>116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2" t="s">
        <v>118</v>
      </c>
      <c r="Y3" s="2" t="s">
        <v>117</v>
      </c>
      <c r="Z3" s="2" t="s">
        <v>119</v>
      </c>
      <c r="AA3" s="2" t="s">
        <v>120</v>
      </c>
      <c r="AB3" s="2" t="s">
        <v>121</v>
      </c>
      <c r="AC3" s="2" t="s">
        <v>122</v>
      </c>
      <c r="AD3" s="2" t="s">
        <v>123</v>
      </c>
      <c r="AE3" s="2" t="s">
        <v>124</v>
      </c>
      <c r="AF3" s="2" t="s">
        <v>125</v>
      </c>
      <c r="AG3" s="2" t="s">
        <v>126</v>
      </c>
      <c r="AH3" s="2" t="s">
        <v>127</v>
      </c>
      <c r="AI3" s="2" t="s">
        <v>128</v>
      </c>
      <c r="AJ3" s="2" t="s">
        <v>129</v>
      </c>
      <c r="AK3" s="2" t="s">
        <v>130</v>
      </c>
      <c r="AL3" s="2" t="s">
        <v>131</v>
      </c>
      <c r="AM3" s="2" t="s">
        <v>132</v>
      </c>
      <c r="AN3" s="2" t="s">
        <v>133</v>
      </c>
      <c r="AQ3" s="1" t="s">
        <v>134</v>
      </c>
      <c r="AR3" s="8">
        <f>SUBTOTAL(9,Tabla1[MARGIN_TRUE])</f>
        <v>-71245.056373380998</v>
      </c>
      <c r="AT3" s="12" t="s">
        <v>140</v>
      </c>
      <c r="AU3" s="13">
        <f>AR3</f>
        <v>-71245.056373380998</v>
      </c>
      <c r="AV3" s="13">
        <f>AR4</f>
        <v>-26119.253970415059</v>
      </c>
    </row>
    <row r="4" spans="1:48" x14ac:dyDescent="0.3">
      <c r="A4" s="1">
        <v>0</v>
      </c>
      <c r="B4" s="1">
        <v>12000</v>
      </c>
      <c r="C4" s="1">
        <v>18.989999999999998</v>
      </c>
      <c r="D4" s="1">
        <v>311.23</v>
      </c>
      <c r="E4" s="1">
        <v>88000</v>
      </c>
      <c r="F4" s="1">
        <v>18.14</v>
      </c>
      <c r="G4" s="1">
        <v>11</v>
      </c>
      <c r="H4" s="1">
        <v>0</v>
      </c>
      <c r="I4" s="1">
        <v>23172</v>
      </c>
      <c r="J4" s="1">
        <v>81.599999999999994</v>
      </c>
      <c r="K4" s="1">
        <v>17</v>
      </c>
      <c r="L4" s="1">
        <v>0</v>
      </c>
      <c r="M4" s="1">
        <v>0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28</v>
      </c>
      <c r="U4" s="1" t="s">
        <v>29</v>
      </c>
      <c r="V4" s="1" t="s">
        <v>30</v>
      </c>
      <c r="W4" s="1" t="s">
        <v>31</v>
      </c>
      <c r="X4" s="1">
        <v>0</v>
      </c>
      <c r="Y4" s="1">
        <v>1</v>
      </c>
      <c r="Z4" s="1">
        <v>18.05</v>
      </c>
      <c r="AA4" s="1">
        <f>Tabla1[[#This Row],[MXN/USD]]*Tabla1[[#This Row],[loan_amnt]]</f>
        <v>216600</v>
      </c>
      <c r="AB4" s="1">
        <f>Tabla1[[#This Row],[int_rate]]%</f>
        <v>0.18989999999999999</v>
      </c>
      <c r="AC4" s="1">
        <f>IF(Tabla1[[#This Row],[term]]=" 60 months",5,3)</f>
        <v>5</v>
      </c>
      <c r="AD4" s="3">
        <f>-PMT(Tabla1[[#This Row],[InterestR]]/12,Tabla1[[#This Row],[YEARS]]*12,Tabla1[[#This Row],[MXN]],0)</f>
        <v>5617.5316272822647</v>
      </c>
      <c r="AE4" s="3">
        <f>Tabla1[[#This Row],[PMT]]/Tabla1[[#This Row],[MXN/USD]]</f>
        <v>311.22058876910052</v>
      </c>
      <c r="AF4" s="3">
        <f>-CUMIPMT(Tabla1[[#This Row],[InterestR]]/12,Tabla1[[#This Row],[YEARS]]*12,Tabla1[[#This Row],[MXN]],1,12,0)</f>
        <v>38720.11001440321</v>
      </c>
      <c r="AG4" s="3">
        <f>Tabla1[[#This Row],[MXN]]*Tabla1[[#This Row],[InterestR]]</f>
        <v>41132.339999999997</v>
      </c>
      <c r="AH4" s="5">
        <f t="shared" ref="AH4:AH24" si="0">$AR$1</f>
        <v>0.11</v>
      </c>
      <c r="AI4" s="3">
        <f>-Tabla1[[#This Row],[TIIE]]*Tabla1[[#This Row],[MXN]]</f>
        <v>-23826</v>
      </c>
      <c r="AJ4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38720.11001440321</v>
      </c>
      <c r="AK4" s="3">
        <f>+Tabla1[[#This Row],[INCOME_TRUE]]+Tabla1[[#This Row],[COST_TRUE]]</f>
        <v>14894.11001440321</v>
      </c>
      <c r="AL4" s="3">
        <f>Tabla1[[#This Row],[COST_TRUE]]*Tabla1[[#This Row],[OUTPUT]]</f>
        <v>0</v>
      </c>
      <c r="AM4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4" s="3">
        <f>Tabla1[[#This Row],[INCOME_PREDICTED]]+Tabla1[[#This Row],[COST_PREDICTED]]</f>
        <v>0</v>
      </c>
      <c r="AQ4" s="1" t="s">
        <v>135</v>
      </c>
      <c r="AR4" s="8">
        <f>SUBTOTAL(9,Tabla1[MARGIN_PREDICTED])</f>
        <v>-26119.253970415059</v>
      </c>
      <c r="AT4" s="5">
        <v>0.11</v>
      </c>
      <c r="AU4" s="10">
        <f t="dataTable" ref="AU4:AV26" dt2D="0" dtr="0" r1="AR1"/>
        <v>-71245.056373380998</v>
      </c>
      <c r="AV4" s="10">
        <v>-26119.253970415059</v>
      </c>
    </row>
    <row r="5" spans="1:48" x14ac:dyDescent="0.3">
      <c r="A5" s="1">
        <v>1</v>
      </c>
      <c r="B5" s="1">
        <v>15000</v>
      </c>
      <c r="C5" s="1">
        <v>14.99</v>
      </c>
      <c r="D5" s="1">
        <v>356.78</v>
      </c>
      <c r="E5" s="1">
        <v>68000</v>
      </c>
      <c r="F5" s="1">
        <v>22.73</v>
      </c>
      <c r="G5" s="1">
        <v>10</v>
      </c>
      <c r="H5" s="1">
        <v>1</v>
      </c>
      <c r="I5" s="1">
        <v>9769</v>
      </c>
      <c r="J5" s="1">
        <v>72</v>
      </c>
      <c r="K5" s="1">
        <v>28</v>
      </c>
      <c r="L5" s="1">
        <v>3</v>
      </c>
      <c r="M5" s="1">
        <v>1</v>
      </c>
      <c r="N5" s="1" t="s">
        <v>22</v>
      </c>
      <c r="O5" s="1" t="s">
        <v>32</v>
      </c>
      <c r="P5" s="1" t="s">
        <v>33</v>
      </c>
      <c r="Q5" s="1" t="s">
        <v>34</v>
      </c>
      <c r="R5" s="1" t="s">
        <v>26</v>
      </c>
      <c r="S5" s="1" t="s">
        <v>27</v>
      </c>
      <c r="T5" s="1" t="s">
        <v>35</v>
      </c>
      <c r="U5" s="1" t="s">
        <v>36</v>
      </c>
      <c r="V5" s="1" t="s">
        <v>37</v>
      </c>
      <c r="W5" s="1" t="s">
        <v>38</v>
      </c>
      <c r="X5" s="1">
        <v>0</v>
      </c>
      <c r="Y5" s="1">
        <v>0</v>
      </c>
      <c r="Z5" s="1">
        <v>18.05</v>
      </c>
      <c r="AA5" s="1">
        <f>Tabla1[[#This Row],[MXN/USD]]*Tabla1[[#This Row],[loan_amnt]]</f>
        <v>270750</v>
      </c>
      <c r="AB5" s="1">
        <f>Tabla1[[#This Row],[int_rate]]%</f>
        <v>0.14990000000000001</v>
      </c>
      <c r="AC5" s="1">
        <f>IF(Tabla1[[#This Row],[term]]=" 60 months",5,3)</f>
        <v>5</v>
      </c>
      <c r="AD5" s="3">
        <f>-PMT(Tabla1[[#This Row],[InterestR]]/12,Tabla1[[#This Row],[YEARS]]*12,Tabla1[[#This Row],[MXN]],0)</f>
        <v>6439.7024581555606</v>
      </c>
      <c r="AE5" s="3">
        <f>Tabla1[[#This Row],[PMT]]/Tabla1[[#This Row],[MXN/USD]]</f>
        <v>356.77021928839667</v>
      </c>
      <c r="AF5" s="3">
        <f>-CUMIPMT(Tabla1[[#This Row],[InterestR]]/12,Tabla1[[#This Row],[YEARS]]*12,Tabla1[[#This Row],[MXN]],1,12,0)</f>
        <v>37956.625777857436</v>
      </c>
      <c r="AG5" s="3">
        <f>Tabla1[[#This Row],[MXN]]*Tabla1[[#This Row],[InterestR]]</f>
        <v>40585.425000000003</v>
      </c>
      <c r="AH5" s="5">
        <f t="shared" si="0"/>
        <v>0.11</v>
      </c>
      <c r="AI5" s="3">
        <f>-Tabla1[[#This Row],[TIIE]]*Tabla1[[#This Row],[MXN]]</f>
        <v>-29782.5</v>
      </c>
      <c r="AJ5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19710.165693044968</v>
      </c>
      <c r="AK5" s="3">
        <f>+Tabla1[[#This Row],[INCOME_TRUE]]+Tabla1[[#This Row],[COST_TRUE]]</f>
        <v>-10072.334306955032</v>
      </c>
      <c r="AL5" s="3">
        <f>Tabla1[[#This Row],[COST_TRUE]]*Tabla1[[#This Row],[OUTPUT]]</f>
        <v>0</v>
      </c>
      <c r="AM5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5" s="3">
        <f>Tabla1[[#This Row],[INCOME_PREDICTED]]+Tabla1[[#This Row],[COST_PREDICTED]]</f>
        <v>0</v>
      </c>
      <c r="AT5" s="9">
        <f>AT4-0.5%</f>
        <v>0.105</v>
      </c>
      <c r="AU5" s="10">
        <v>-46884.325123380993</v>
      </c>
      <c r="AV5" s="10">
        <v>-23330.528970415056</v>
      </c>
    </row>
    <row r="6" spans="1:48" x14ac:dyDescent="0.3">
      <c r="A6" s="1">
        <v>2</v>
      </c>
      <c r="B6" s="1">
        <v>29500</v>
      </c>
      <c r="C6" s="1">
        <v>10.99</v>
      </c>
      <c r="D6" s="1">
        <v>641.26</v>
      </c>
      <c r="E6" s="1">
        <v>85000</v>
      </c>
      <c r="F6" s="1">
        <v>25.16</v>
      </c>
      <c r="G6" s="1">
        <v>14</v>
      </c>
      <c r="H6" s="1">
        <v>0</v>
      </c>
      <c r="I6" s="1">
        <v>20609</v>
      </c>
      <c r="J6" s="1">
        <v>48.3</v>
      </c>
      <c r="K6" s="1">
        <v>30</v>
      </c>
      <c r="L6" s="1">
        <v>0</v>
      </c>
      <c r="M6" s="1">
        <v>0</v>
      </c>
      <c r="N6" s="1" t="s">
        <v>22</v>
      </c>
      <c r="O6" s="1" t="s">
        <v>39</v>
      </c>
      <c r="P6" s="1" t="s">
        <v>40</v>
      </c>
      <c r="Q6" s="1" t="s">
        <v>25</v>
      </c>
      <c r="R6" s="1" t="s">
        <v>41</v>
      </c>
      <c r="S6" s="1" t="s">
        <v>27</v>
      </c>
      <c r="T6" s="1" t="s">
        <v>28</v>
      </c>
      <c r="U6" s="1" t="s">
        <v>29</v>
      </c>
      <c r="V6" s="1" t="s">
        <v>42</v>
      </c>
      <c r="W6" s="1" t="s">
        <v>43</v>
      </c>
      <c r="X6" s="1">
        <v>0</v>
      </c>
      <c r="Y6" s="1">
        <v>1</v>
      </c>
      <c r="Z6" s="1">
        <v>18.05</v>
      </c>
      <c r="AA6" s="1">
        <f>Tabla1[[#This Row],[MXN/USD]]*Tabla1[[#This Row],[loan_amnt]]</f>
        <v>532475</v>
      </c>
      <c r="AB6" s="1">
        <f>Tabla1[[#This Row],[int_rate]]%</f>
        <v>0.1099</v>
      </c>
      <c r="AC6" s="1">
        <f>IF(Tabla1[[#This Row],[term]]=" 60 months",5,3)</f>
        <v>5</v>
      </c>
      <c r="AD6" s="3">
        <f>-PMT(Tabla1[[#This Row],[InterestR]]/12,Tabla1[[#This Row],[YEARS]]*12,Tabla1[[#This Row],[MXN]],0)</f>
        <v>11574.641402702651</v>
      </c>
      <c r="AE6" s="3">
        <f>Tabla1[[#This Row],[PMT]]/Tabla1[[#This Row],[MXN/USD]]</f>
        <v>641.25437134086712</v>
      </c>
      <c r="AF6" s="3">
        <f>-CUMIPMT(Tabla1[[#This Row],[InterestR]]/12,Tabla1[[#This Row],[YEARS]]*12,Tabla1[[#This Row],[MXN]],1,12,0)</f>
        <v>54344.180838752203</v>
      </c>
      <c r="AG6" s="3">
        <f>Tabla1[[#This Row],[MXN]]*Tabla1[[#This Row],[InterestR]]</f>
        <v>58519.002500000002</v>
      </c>
      <c r="AH6" s="5">
        <f t="shared" si="0"/>
        <v>0.11</v>
      </c>
      <c r="AI6" s="3">
        <f>-Tabla1[[#This Row],[TIIE]]*Tabla1[[#This Row],[MXN]]</f>
        <v>-58572.25</v>
      </c>
      <c r="AJ6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54344.180838752203</v>
      </c>
      <c r="AK6" s="3">
        <f>+Tabla1[[#This Row],[INCOME_TRUE]]+Tabla1[[#This Row],[COST_TRUE]]</f>
        <v>-4228.0691612477967</v>
      </c>
      <c r="AL6" s="3">
        <f>Tabla1[[#This Row],[COST_TRUE]]*Tabla1[[#This Row],[OUTPUT]]</f>
        <v>0</v>
      </c>
      <c r="AM6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6" s="3">
        <f>Tabla1[[#This Row],[INCOME_PREDICTED]]+Tabla1[[#This Row],[COST_PREDICTED]]</f>
        <v>0</v>
      </c>
      <c r="AT6" s="9">
        <f t="shared" ref="AT6:AT23" si="1">AT5-0.5%</f>
        <v>9.9999999999999992E-2</v>
      </c>
      <c r="AU6" s="10">
        <v>-22523.593873380967</v>
      </c>
      <c r="AV6" s="10">
        <v>-20541.803970415051</v>
      </c>
    </row>
    <row r="7" spans="1:48" x14ac:dyDescent="0.3">
      <c r="A7" s="1">
        <v>3</v>
      </c>
      <c r="B7" s="1">
        <v>10000</v>
      </c>
      <c r="C7" s="1">
        <v>14.31</v>
      </c>
      <c r="D7" s="1">
        <v>343.29</v>
      </c>
      <c r="E7" s="1">
        <v>40000</v>
      </c>
      <c r="F7" s="1">
        <v>14.82</v>
      </c>
      <c r="G7" s="1">
        <v>14</v>
      </c>
      <c r="H7" s="1">
        <v>0</v>
      </c>
      <c r="I7" s="1">
        <v>12111</v>
      </c>
      <c r="J7" s="1">
        <v>63.4</v>
      </c>
      <c r="K7" s="1">
        <v>24</v>
      </c>
      <c r="L7" s="1">
        <v>0</v>
      </c>
      <c r="M7" s="1">
        <v>0</v>
      </c>
      <c r="N7" s="1" t="s">
        <v>44</v>
      </c>
      <c r="O7" s="1" t="s">
        <v>45</v>
      </c>
      <c r="P7" s="1" t="s">
        <v>46</v>
      </c>
      <c r="Q7" s="1" t="s">
        <v>47</v>
      </c>
      <c r="R7" s="1" t="s">
        <v>41</v>
      </c>
      <c r="S7" s="1" t="s">
        <v>27</v>
      </c>
      <c r="T7" s="1" t="s">
        <v>35</v>
      </c>
      <c r="U7" s="1" t="s">
        <v>36</v>
      </c>
      <c r="V7" s="1" t="s">
        <v>48</v>
      </c>
      <c r="W7" s="1" t="s">
        <v>49</v>
      </c>
      <c r="X7" s="1">
        <v>0</v>
      </c>
      <c r="Y7" s="1">
        <v>0</v>
      </c>
      <c r="Z7" s="1">
        <v>18.05</v>
      </c>
      <c r="AA7" s="1">
        <f>Tabla1[[#This Row],[MXN/USD]]*Tabla1[[#This Row],[loan_amnt]]</f>
        <v>180500</v>
      </c>
      <c r="AB7" s="1">
        <f>Tabla1[[#This Row],[int_rate]]%</f>
        <v>0.1431</v>
      </c>
      <c r="AC7" s="1">
        <f>IF(Tabla1[[#This Row],[term]]=" 60 months",5,3)</f>
        <v>3</v>
      </c>
      <c r="AD7" s="3">
        <f>-PMT(Tabla1[[#This Row],[InterestR]]/12,Tabla1[[#This Row],[YEARS]]*12,Tabla1[[#This Row],[MXN]],0)</f>
        <v>6196.2738574767363</v>
      </c>
      <c r="AE7" s="3">
        <f>Tabla1[[#This Row],[PMT]]/Tabla1[[#This Row],[MXN/USD]]</f>
        <v>343.28387022031779</v>
      </c>
      <c r="AF7" s="3">
        <f>-CUMIPMT(Tabla1[[#This Row],[InterestR]]/12,Tabla1[[#This Row],[YEARS]]*12,Tabla1[[#This Row],[MXN]],1,12,0)</f>
        <v>22516.896531319944</v>
      </c>
      <c r="AG7" s="3">
        <f>Tabla1[[#This Row],[MXN]]*Tabla1[[#This Row],[InterestR]]</f>
        <v>25829.55</v>
      </c>
      <c r="AH7" s="5">
        <f t="shared" si="0"/>
        <v>0.11</v>
      </c>
      <c r="AI7" s="3">
        <f>-Tabla1[[#This Row],[TIIE]]*Tabla1[[#This Row],[MXN]]</f>
        <v>-19855</v>
      </c>
      <c r="AJ7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12179.833834816793</v>
      </c>
      <c r="AK7" s="3">
        <f>+Tabla1[[#This Row],[INCOME_TRUE]]+Tabla1[[#This Row],[COST_TRUE]]</f>
        <v>-7675.1661651832073</v>
      </c>
      <c r="AL7" s="3">
        <f>Tabla1[[#This Row],[COST_TRUE]]*Tabla1[[#This Row],[OUTPUT]]</f>
        <v>0</v>
      </c>
      <c r="AM7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7" s="3">
        <f>Tabla1[[#This Row],[INCOME_PREDICTED]]+Tabla1[[#This Row],[COST_PREDICTED]]</f>
        <v>0</v>
      </c>
      <c r="AT7" s="9">
        <f t="shared" si="1"/>
        <v>9.4999999999999987E-2</v>
      </c>
      <c r="AU7" s="10">
        <v>1837.1373766190609</v>
      </c>
      <c r="AV7" s="10">
        <v>-17753.078970415052</v>
      </c>
    </row>
    <row r="8" spans="1:48" x14ac:dyDescent="0.3">
      <c r="A8" s="1">
        <v>4</v>
      </c>
      <c r="B8" s="1">
        <v>1000</v>
      </c>
      <c r="C8" s="1">
        <v>23.43</v>
      </c>
      <c r="D8" s="1">
        <v>38.94</v>
      </c>
      <c r="E8" s="1">
        <v>14173.92</v>
      </c>
      <c r="F8" s="1">
        <v>10.67</v>
      </c>
      <c r="G8" s="1">
        <v>8</v>
      </c>
      <c r="H8" s="1">
        <v>0</v>
      </c>
      <c r="I8" s="1">
        <v>3137</v>
      </c>
      <c r="J8" s="1">
        <v>18.8</v>
      </c>
      <c r="K8" s="1">
        <v>12</v>
      </c>
      <c r="L8" s="1">
        <v>0</v>
      </c>
      <c r="M8" s="1">
        <v>0</v>
      </c>
      <c r="N8" s="1" t="s">
        <v>44</v>
      </c>
      <c r="O8" s="1" t="s">
        <v>50</v>
      </c>
      <c r="P8" s="1" t="s">
        <v>51</v>
      </c>
      <c r="Q8" s="1" t="s">
        <v>52</v>
      </c>
      <c r="R8" s="1" t="s">
        <v>41</v>
      </c>
      <c r="S8" s="1" t="s">
        <v>53</v>
      </c>
      <c r="T8" s="1" t="s">
        <v>54</v>
      </c>
      <c r="U8" s="1" t="s">
        <v>55</v>
      </c>
      <c r="V8" s="1" t="s">
        <v>56</v>
      </c>
      <c r="W8" s="1" t="s">
        <v>57</v>
      </c>
      <c r="X8" s="1">
        <v>0</v>
      </c>
      <c r="Y8" s="1">
        <v>0</v>
      </c>
      <c r="Z8" s="1">
        <v>18.05</v>
      </c>
      <c r="AA8" s="1">
        <f>Tabla1[[#This Row],[MXN/USD]]*Tabla1[[#This Row],[loan_amnt]]</f>
        <v>18050</v>
      </c>
      <c r="AB8" s="1">
        <f>Tabla1[[#This Row],[int_rate]]%</f>
        <v>0.23430000000000001</v>
      </c>
      <c r="AC8" s="1">
        <f>IF(Tabla1[[#This Row],[term]]=" 60 months",5,3)</f>
        <v>3</v>
      </c>
      <c r="AD8" s="3">
        <f>-PMT(Tabla1[[#This Row],[InterestR]]/12,Tabla1[[#This Row],[YEARS]]*12,Tabla1[[#This Row],[MXN]],0)</f>
        <v>702.7622326430743</v>
      </c>
      <c r="AE8" s="3">
        <f>Tabla1[[#This Row],[PMT]]/Tabla1[[#This Row],[MXN/USD]]</f>
        <v>38.934195714297744</v>
      </c>
      <c r="AF8" s="3">
        <f>-CUMIPMT(Tabla1[[#This Row],[InterestR]]/12,Tabla1[[#This Row],[YEARS]]*12,Tabla1[[#This Row],[MXN]],1,12,0)</f>
        <v>3746.9399127622191</v>
      </c>
      <c r="AG8" s="3">
        <f>Tabla1[[#This Row],[MXN]]*Tabla1[[#This Row],[InterestR]]</f>
        <v>4229.1149999999998</v>
      </c>
      <c r="AH8" s="5">
        <f t="shared" si="0"/>
        <v>0.11</v>
      </c>
      <c r="AI8" s="3">
        <f>-Tabla1[[#This Row],[TIIE]]*Tabla1[[#This Row],[MXN]]</f>
        <v>-1985.5</v>
      </c>
      <c r="AJ8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2009.2422859960234</v>
      </c>
      <c r="AK8" s="3">
        <f>+Tabla1[[#This Row],[INCOME_TRUE]]+Tabla1[[#This Row],[COST_TRUE]]</f>
        <v>23.742285996023384</v>
      </c>
      <c r="AL8" s="3">
        <f>Tabla1[[#This Row],[COST_TRUE]]*Tabla1[[#This Row],[OUTPUT]]</f>
        <v>0</v>
      </c>
      <c r="AM8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8" s="3">
        <f>Tabla1[[#This Row],[INCOME_PREDICTED]]+Tabla1[[#This Row],[COST_PREDICTED]]</f>
        <v>0</v>
      </c>
      <c r="AT8" s="9">
        <f t="shared" si="1"/>
        <v>8.9999999999999983E-2</v>
      </c>
      <c r="AU8" s="10">
        <v>26197.868626619078</v>
      </c>
      <c r="AV8" s="10">
        <v>-14964.353970415048</v>
      </c>
    </row>
    <row r="9" spans="1:48" x14ac:dyDescent="0.3">
      <c r="A9" s="1">
        <v>5</v>
      </c>
      <c r="B9" s="1">
        <v>10000</v>
      </c>
      <c r="C9" s="1">
        <v>13.66</v>
      </c>
      <c r="D9" s="1">
        <v>340.13</v>
      </c>
      <c r="E9" s="1">
        <v>41000</v>
      </c>
      <c r="F9" s="1">
        <v>33.090000000000003</v>
      </c>
      <c r="G9" s="1">
        <v>14</v>
      </c>
      <c r="H9" s="1">
        <v>0</v>
      </c>
      <c r="I9" s="1">
        <v>8624</v>
      </c>
      <c r="J9" s="1">
        <v>46.1</v>
      </c>
      <c r="K9" s="1">
        <v>22</v>
      </c>
      <c r="L9" s="1">
        <v>1</v>
      </c>
      <c r="M9" s="1">
        <v>0</v>
      </c>
      <c r="N9" s="1" t="s">
        <v>44</v>
      </c>
      <c r="O9" s="1" t="s">
        <v>58</v>
      </c>
      <c r="P9" s="1" t="s">
        <v>59</v>
      </c>
      <c r="Q9" s="1" t="s">
        <v>52</v>
      </c>
      <c r="R9" s="1" t="s">
        <v>26</v>
      </c>
      <c r="S9" s="1" t="s">
        <v>53</v>
      </c>
      <c r="T9" s="1" t="s">
        <v>28</v>
      </c>
      <c r="U9" s="1" t="s">
        <v>29</v>
      </c>
      <c r="V9" s="1" t="s">
        <v>60</v>
      </c>
      <c r="W9" s="1" t="s">
        <v>61</v>
      </c>
      <c r="X9" s="1">
        <v>0</v>
      </c>
      <c r="Y9" s="1">
        <v>1</v>
      </c>
      <c r="Z9" s="1">
        <v>18.05</v>
      </c>
      <c r="AA9" s="1">
        <f>Tabla1[[#This Row],[MXN/USD]]*Tabla1[[#This Row],[loan_amnt]]</f>
        <v>180500</v>
      </c>
      <c r="AB9" s="1">
        <f>Tabla1[[#This Row],[int_rate]]%</f>
        <v>0.1366</v>
      </c>
      <c r="AC9" s="1">
        <f>IF(Tabla1[[#This Row],[term]]=" 60 months",5,3)</f>
        <v>3</v>
      </c>
      <c r="AD9" s="3">
        <f>-PMT(Tabla1[[#This Row],[InterestR]]/12,Tabla1[[#This Row],[YEARS]]*12,Tabla1[[#This Row],[MXN]],0)</f>
        <v>6139.2972997772504</v>
      </c>
      <c r="AE9" s="3">
        <f>Tabla1[[#This Row],[PMT]]/Tabla1[[#This Row],[MXN/USD]]</f>
        <v>340.12727422588642</v>
      </c>
      <c r="AF9" s="3">
        <f>-CUMIPMT(Tabla1[[#This Row],[InterestR]]/12,Tabla1[[#This Row],[YEARS]]*12,Tabla1[[#This Row],[MXN]],1,12,0)</f>
        <v>21468.055802141957</v>
      </c>
      <c r="AG9" s="3">
        <f>Tabla1[[#This Row],[MXN]]*Tabla1[[#This Row],[InterestR]]</f>
        <v>24656.3</v>
      </c>
      <c r="AH9" s="5">
        <f t="shared" si="0"/>
        <v>0.11</v>
      </c>
      <c r="AI9" s="3">
        <f>-Tabla1[[#This Row],[TIIE]]*Tabla1[[#This Row],[MXN]]</f>
        <v>-19855</v>
      </c>
      <c r="AJ9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21468.055802141957</v>
      </c>
      <c r="AK9" s="3">
        <f>+Tabla1[[#This Row],[INCOME_TRUE]]+Tabla1[[#This Row],[COST_TRUE]]</f>
        <v>1613.0558021419565</v>
      </c>
      <c r="AL9" s="3">
        <f>Tabla1[[#This Row],[COST_TRUE]]*Tabla1[[#This Row],[OUTPUT]]</f>
        <v>0</v>
      </c>
      <c r="AM9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9" s="3">
        <f>Tabla1[[#This Row],[INCOME_PREDICTED]]+Tabla1[[#This Row],[COST_PREDICTED]]</f>
        <v>0</v>
      </c>
      <c r="AT9" s="9">
        <f t="shared" si="1"/>
        <v>8.4999999999999978E-2</v>
      </c>
      <c r="AU9" s="10">
        <v>50558.599876619111</v>
      </c>
      <c r="AV9" s="10">
        <v>-12175.628970415044</v>
      </c>
    </row>
    <row r="10" spans="1:48" x14ac:dyDescent="0.3">
      <c r="A10" s="1">
        <v>6</v>
      </c>
      <c r="B10" s="1">
        <v>14400</v>
      </c>
      <c r="C10" s="1">
        <v>10.15</v>
      </c>
      <c r="D10" s="1">
        <v>465.67</v>
      </c>
      <c r="E10" s="1">
        <v>97500</v>
      </c>
      <c r="F10" s="1">
        <v>23.75</v>
      </c>
      <c r="G10" s="1">
        <v>14</v>
      </c>
      <c r="H10" s="1">
        <v>0</v>
      </c>
      <c r="I10" s="1">
        <v>11535</v>
      </c>
      <c r="J10" s="1">
        <v>60.4</v>
      </c>
      <c r="K10" s="1">
        <v>45</v>
      </c>
      <c r="L10" s="1">
        <v>1</v>
      </c>
      <c r="M10" s="1">
        <v>0</v>
      </c>
      <c r="N10" s="1" t="s">
        <v>44</v>
      </c>
      <c r="O10" s="1" t="s">
        <v>62</v>
      </c>
      <c r="P10" s="1" t="s">
        <v>63</v>
      </c>
      <c r="Q10" s="1" t="s">
        <v>64</v>
      </c>
      <c r="R10" s="1" t="s">
        <v>41</v>
      </c>
      <c r="S10" s="1" t="s">
        <v>53</v>
      </c>
      <c r="T10" s="1" t="s">
        <v>65</v>
      </c>
      <c r="U10" s="1" t="s">
        <v>66</v>
      </c>
      <c r="V10" s="1" t="s">
        <v>30</v>
      </c>
      <c r="W10" s="1" t="s">
        <v>31</v>
      </c>
      <c r="X10" s="1">
        <v>1</v>
      </c>
      <c r="Y10" s="1">
        <v>0</v>
      </c>
      <c r="Z10" s="1">
        <v>18.05</v>
      </c>
      <c r="AA10" s="1">
        <f>Tabla1[[#This Row],[MXN/USD]]*Tabla1[[#This Row],[loan_amnt]]</f>
        <v>259920</v>
      </c>
      <c r="AB10" s="1">
        <f>Tabla1[[#This Row],[int_rate]]%</f>
        <v>0.10150000000000001</v>
      </c>
      <c r="AC10" s="1">
        <f>IF(Tabla1[[#This Row],[term]]=" 60 months",5,3)</f>
        <v>3</v>
      </c>
      <c r="AD10" s="3">
        <f>-PMT(Tabla1[[#This Row],[InterestR]]/12,Tabla1[[#This Row],[YEARS]]*12,Tabla1[[#This Row],[MXN]],0)</f>
        <v>8405.2038534533713</v>
      </c>
      <c r="AE10" s="3">
        <f>Tabla1[[#This Row],[PMT]]/Tabla1[[#This Row],[MXN/USD]]</f>
        <v>465.6622633492172</v>
      </c>
      <c r="AF10" s="3">
        <f>-CUMIPMT(Tabla1[[#This Row],[InterestR]]/12,Tabla1[[#This Row],[YEARS]]*12,Tabla1[[#This Row],[MXN]],1,12,0)</f>
        <v>22817.406526450301</v>
      </c>
      <c r="AG10" s="3">
        <f>Tabla1[[#This Row],[MXN]]*Tabla1[[#This Row],[InterestR]]</f>
        <v>26381.88</v>
      </c>
      <c r="AH10" s="5">
        <f t="shared" si="0"/>
        <v>0.11</v>
      </c>
      <c r="AI10" s="3">
        <f>-Tabla1[[#This Row],[TIIE]]*Tabla1[[#This Row],[MXN]]</f>
        <v>-28591.200000000001</v>
      </c>
      <c r="AJ10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12394.52566160736</v>
      </c>
      <c r="AK10" s="3">
        <f>+Tabla1[[#This Row],[INCOME_TRUE]]+Tabla1[[#This Row],[COST_TRUE]]</f>
        <v>-16196.67433839264</v>
      </c>
      <c r="AL10" s="3">
        <f>Tabla1[[#This Row],[COST_TRUE]]*Tabla1[[#This Row],[OUTPUT]]</f>
        <v>-28591.200000000001</v>
      </c>
      <c r="AM10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12394.52566160736</v>
      </c>
      <c r="AN10" s="3">
        <f>Tabla1[[#This Row],[INCOME_PREDICTED]]+Tabla1[[#This Row],[COST_PREDICTED]]</f>
        <v>-16196.67433839264</v>
      </c>
      <c r="AT10" s="9">
        <f t="shared" si="1"/>
        <v>7.9999999999999974E-2</v>
      </c>
      <c r="AU10" s="10">
        <v>74919.33112661913</v>
      </c>
      <c r="AV10" s="10">
        <v>-9386.9039704150455</v>
      </c>
    </row>
    <row r="11" spans="1:48" x14ac:dyDescent="0.3">
      <c r="A11" s="1">
        <v>7</v>
      </c>
      <c r="B11" s="1">
        <v>10600</v>
      </c>
      <c r="C11" s="1">
        <v>11.67</v>
      </c>
      <c r="D11" s="1">
        <v>350.41</v>
      </c>
      <c r="E11" s="1">
        <v>48900</v>
      </c>
      <c r="F11" s="1">
        <v>37.869999999999997</v>
      </c>
      <c r="G11" s="1">
        <v>16</v>
      </c>
      <c r="H11" s="1">
        <v>0</v>
      </c>
      <c r="I11" s="1">
        <v>17545</v>
      </c>
      <c r="J11" s="1">
        <v>51.1</v>
      </c>
      <c r="K11" s="1">
        <v>31</v>
      </c>
      <c r="L11" s="1">
        <v>2</v>
      </c>
      <c r="M11" s="1">
        <v>0</v>
      </c>
      <c r="N11" s="1" t="s">
        <v>44</v>
      </c>
      <c r="O11" s="1" t="s">
        <v>67</v>
      </c>
      <c r="P11" s="1" t="s">
        <v>68</v>
      </c>
      <c r="Q11" s="1" t="s">
        <v>25</v>
      </c>
      <c r="R11" s="1" t="s">
        <v>26</v>
      </c>
      <c r="S11" s="1" t="s">
        <v>53</v>
      </c>
      <c r="T11" s="1" t="s">
        <v>28</v>
      </c>
      <c r="U11" s="1" t="s">
        <v>29</v>
      </c>
      <c r="V11" s="1" t="s">
        <v>69</v>
      </c>
      <c r="W11" s="1" t="s">
        <v>49</v>
      </c>
      <c r="X11" s="1">
        <v>0</v>
      </c>
      <c r="Y11" s="1">
        <v>1</v>
      </c>
      <c r="Z11" s="1">
        <v>18.05</v>
      </c>
      <c r="AA11" s="1">
        <f>Tabla1[[#This Row],[MXN/USD]]*Tabla1[[#This Row],[loan_amnt]]</f>
        <v>191330</v>
      </c>
      <c r="AB11" s="1">
        <f>Tabla1[[#This Row],[int_rate]]%</f>
        <v>0.1167</v>
      </c>
      <c r="AC11" s="1">
        <f>IF(Tabla1[[#This Row],[term]]=" 60 months",5,3)</f>
        <v>3</v>
      </c>
      <c r="AD11" s="3">
        <f>-PMT(Tabla1[[#This Row],[InterestR]]/12,Tabla1[[#This Row],[YEARS]]*12,Tabla1[[#This Row],[MXN]],0)</f>
        <v>6324.7797167347817</v>
      </c>
      <c r="AE11" s="3">
        <f>Tabla1[[#This Row],[PMT]]/Tabla1[[#This Row],[MXN/USD]]</f>
        <v>350.40330840635909</v>
      </c>
      <c r="AF11" s="3">
        <f>-CUMIPMT(Tabla1[[#This Row],[InterestR]]/12,Tabla1[[#This Row],[YEARS]]*12,Tabla1[[#This Row],[MXN]],1,12,0)</f>
        <v>19367.98413058243</v>
      </c>
      <c r="AG11" s="3">
        <f>Tabla1[[#This Row],[MXN]]*Tabla1[[#This Row],[InterestR]]</f>
        <v>22328.210999999999</v>
      </c>
      <c r="AH11" s="5">
        <f t="shared" si="0"/>
        <v>0.11</v>
      </c>
      <c r="AI11" s="3">
        <f>-Tabla1[[#This Row],[TIIE]]*Tabla1[[#This Row],[MXN]]</f>
        <v>-21046.3</v>
      </c>
      <c r="AJ11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19367.98413058243</v>
      </c>
      <c r="AK11" s="3">
        <f>+Tabla1[[#This Row],[INCOME_TRUE]]+Tabla1[[#This Row],[COST_TRUE]]</f>
        <v>-1678.315869417569</v>
      </c>
      <c r="AL11" s="3">
        <f>Tabla1[[#This Row],[COST_TRUE]]*Tabla1[[#This Row],[OUTPUT]]</f>
        <v>0</v>
      </c>
      <c r="AM11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11" s="3">
        <f>Tabla1[[#This Row],[INCOME_PREDICTED]]+Tabla1[[#This Row],[COST_PREDICTED]]</f>
        <v>0</v>
      </c>
      <c r="AT11" s="9">
        <f t="shared" si="1"/>
        <v>7.4999999999999969E-2</v>
      </c>
      <c r="AU11" s="10">
        <v>99280.062376619157</v>
      </c>
      <c r="AV11" s="10">
        <v>-6598.1789704150406</v>
      </c>
    </row>
    <row r="12" spans="1:48" x14ac:dyDescent="0.3">
      <c r="A12" s="1">
        <v>8</v>
      </c>
      <c r="B12" s="1">
        <v>18300</v>
      </c>
      <c r="C12" s="1">
        <v>20.2</v>
      </c>
      <c r="D12" s="1">
        <v>486.88</v>
      </c>
      <c r="E12" s="1">
        <v>40800</v>
      </c>
      <c r="F12" s="1">
        <v>14.41</v>
      </c>
      <c r="G12" s="1">
        <v>9</v>
      </c>
      <c r="H12" s="1">
        <v>0</v>
      </c>
      <c r="I12" s="1">
        <v>14120</v>
      </c>
      <c r="J12" s="1">
        <v>64</v>
      </c>
      <c r="K12" s="1">
        <v>14</v>
      </c>
      <c r="L12" s="1">
        <v>2</v>
      </c>
      <c r="M12" s="1">
        <v>0</v>
      </c>
      <c r="N12" s="1" t="s">
        <v>22</v>
      </c>
      <c r="O12" s="1" t="s">
        <v>70</v>
      </c>
      <c r="R12" s="1" t="s">
        <v>26</v>
      </c>
      <c r="S12" s="1" t="s">
        <v>27</v>
      </c>
      <c r="T12" s="1" t="s">
        <v>28</v>
      </c>
      <c r="U12" s="1" t="s">
        <v>29</v>
      </c>
      <c r="V12" s="1" t="s">
        <v>71</v>
      </c>
      <c r="W12" s="1" t="s">
        <v>31</v>
      </c>
      <c r="X12" s="1">
        <v>0</v>
      </c>
      <c r="Y12" s="1">
        <v>0</v>
      </c>
      <c r="Z12" s="1">
        <v>18.05</v>
      </c>
      <c r="AA12" s="1">
        <f>Tabla1[[#This Row],[MXN/USD]]*Tabla1[[#This Row],[loan_amnt]]</f>
        <v>330315</v>
      </c>
      <c r="AB12" s="1">
        <f>Tabla1[[#This Row],[int_rate]]%</f>
        <v>0.20199999999999999</v>
      </c>
      <c r="AC12" s="1">
        <f>IF(Tabla1[[#This Row],[term]]=" 60 months",5,3)</f>
        <v>5</v>
      </c>
      <c r="AD12" s="3">
        <f>-PMT(Tabla1[[#This Row],[InterestR]]/12,Tabla1[[#This Row],[YEARS]]*12,Tabla1[[#This Row],[MXN]],0)</f>
        <v>8788.1262273253778</v>
      </c>
      <c r="AE12" s="3">
        <f>Tabla1[[#This Row],[PMT]]/Tabla1[[#This Row],[MXN/USD]]</f>
        <v>486.87679929780484</v>
      </c>
      <c r="AF12" s="3">
        <f>-CUMIPMT(Tabla1[[#This Row],[InterestR]]/12,Tabla1[[#This Row],[YEARS]]*12,Tabla1[[#This Row],[MXN]],1,12,0)</f>
        <v>62928.46651032909</v>
      </c>
      <c r="AG12" s="3">
        <f>Tabla1[[#This Row],[MXN]]*Tabla1[[#This Row],[InterestR]]</f>
        <v>66723.62999999999</v>
      </c>
      <c r="AH12" s="5">
        <f t="shared" si="0"/>
        <v>0.11</v>
      </c>
      <c r="AI12" s="3">
        <f>-Tabla1[[#This Row],[TIIE]]*Tabla1[[#This Row],[MXN]]</f>
        <v>-36334.65</v>
      </c>
      <c r="AJ12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32528.264208561959</v>
      </c>
      <c r="AK12" s="3">
        <f>+Tabla1[[#This Row],[INCOME_TRUE]]+Tabla1[[#This Row],[COST_TRUE]]</f>
        <v>-3806.3857914380424</v>
      </c>
      <c r="AL12" s="3">
        <f>Tabla1[[#This Row],[COST_TRUE]]*Tabla1[[#This Row],[OUTPUT]]</f>
        <v>0</v>
      </c>
      <c r="AM12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12" s="3">
        <f>Tabla1[[#This Row],[INCOME_PREDICTED]]+Tabla1[[#This Row],[COST_PREDICTED]]</f>
        <v>0</v>
      </c>
      <c r="AT12" s="9">
        <f t="shared" si="1"/>
        <v>6.9999999999999965E-2</v>
      </c>
      <c r="AU12" s="10">
        <v>123640.79362661918</v>
      </c>
      <c r="AV12" s="10">
        <v>-3809.4539704150393</v>
      </c>
    </row>
    <row r="13" spans="1:48" x14ac:dyDescent="0.3">
      <c r="A13" s="1">
        <v>9</v>
      </c>
      <c r="B13" s="1">
        <v>18750</v>
      </c>
      <c r="C13" s="1">
        <v>22.15</v>
      </c>
      <c r="D13" s="1">
        <v>519.46</v>
      </c>
      <c r="E13" s="1">
        <v>41916</v>
      </c>
      <c r="F13" s="1">
        <v>36.22</v>
      </c>
      <c r="G13" s="1">
        <v>15</v>
      </c>
      <c r="H13" s="1">
        <v>0</v>
      </c>
      <c r="I13" s="1">
        <v>35741</v>
      </c>
      <c r="J13" s="1">
        <v>89.8</v>
      </c>
      <c r="K13" s="1">
        <v>23</v>
      </c>
      <c r="L13" s="1">
        <v>2</v>
      </c>
      <c r="M13" s="1">
        <v>0</v>
      </c>
      <c r="N13" s="1" t="s">
        <v>22</v>
      </c>
      <c r="O13" s="1" t="s">
        <v>72</v>
      </c>
      <c r="P13" s="1" t="s">
        <v>73</v>
      </c>
      <c r="Q13" s="1" t="s">
        <v>25</v>
      </c>
      <c r="R13" s="1" t="s">
        <v>26</v>
      </c>
      <c r="S13" s="1" t="s">
        <v>74</v>
      </c>
      <c r="T13" s="1" t="s">
        <v>28</v>
      </c>
      <c r="U13" s="1" t="s">
        <v>29</v>
      </c>
      <c r="V13" s="1" t="s">
        <v>75</v>
      </c>
      <c r="W13" s="1" t="s">
        <v>76</v>
      </c>
      <c r="X13" s="1">
        <v>0</v>
      </c>
      <c r="Y13" s="1">
        <v>0</v>
      </c>
      <c r="Z13" s="1">
        <v>18.05</v>
      </c>
      <c r="AA13" s="1">
        <f>Tabla1[[#This Row],[MXN/USD]]*Tabla1[[#This Row],[loan_amnt]]</f>
        <v>338437.5</v>
      </c>
      <c r="AB13" s="1">
        <f>Tabla1[[#This Row],[int_rate]]%</f>
        <v>0.22149999999999997</v>
      </c>
      <c r="AC13" s="1">
        <f>IF(Tabla1[[#This Row],[term]]=" 60 months",5,3)</f>
        <v>5</v>
      </c>
      <c r="AD13" s="3">
        <f>-PMT(Tabla1[[#This Row],[InterestR]]/12,Tabla1[[#This Row],[YEARS]]*12,Tabla1[[#This Row],[MXN]],0)</f>
        <v>9376.1620765750667</v>
      </c>
      <c r="AE13" s="3">
        <f>Tabla1[[#This Row],[PMT]]/Tabla1[[#This Row],[MXN/USD]]</f>
        <v>519.45496269113937</v>
      </c>
      <c r="AF13" s="3">
        <f>-CUMIPMT(Tabla1[[#This Row],[InterestR]]/12,Tabla1[[#This Row],[YEARS]]*12,Tabla1[[#This Row],[MXN]],1,12,0)</f>
        <v>70907.209131564028</v>
      </c>
      <c r="AG13" s="3">
        <f>Tabla1[[#This Row],[MXN]]*Tabla1[[#This Row],[InterestR]]</f>
        <v>74963.906249999985</v>
      </c>
      <c r="AH13" s="5">
        <f t="shared" si="0"/>
        <v>0.11</v>
      </c>
      <c r="AI13" s="3">
        <f>-Tabla1[[#This Row],[TIIE]]*Tabla1[[#This Row],[MXN]]</f>
        <v>-37228.125</v>
      </c>
      <c r="AJ13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36593.94404455935</v>
      </c>
      <c r="AK13" s="3">
        <f>+Tabla1[[#This Row],[INCOME_TRUE]]+Tabla1[[#This Row],[COST_TRUE]]</f>
        <v>-634.18095544065</v>
      </c>
      <c r="AL13" s="3">
        <f>Tabla1[[#This Row],[COST_TRUE]]*Tabla1[[#This Row],[OUTPUT]]</f>
        <v>0</v>
      </c>
      <c r="AM13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13" s="3">
        <f>Tabla1[[#This Row],[INCOME_PREDICTED]]+Tabla1[[#This Row],[COST_PREDICTED]]</f>
        <v>0</v>
      </c>
      <c r="AT13" s="9">
        <f t="shared" si="1"/>
        <v>6.4999999999999961E-2</v>
      </c>
      <c r="AU13" s="10">
        <v>148001.52487661919</v>
      </c>
      <c r="AV13" s="10">
        <v>-1020.7289704150335</v>
      </c>
    </row>
    <row r="14" spans="1:48" x14ac:dyDescent="0.3">
      <c r="A14" s="1">
        <v>10</v>
      </c>
      <c r="B14" s="1">
        <v>20000</v>
      </c>
      <c r="C14" s="1">
        <v>22.15</v>
      </c>
      <c r="D14" s="1">
        <v>554.09</v>
      </c>
      <c r="E14" s="1">
        <v>82500</v>
      </c>
      <c r="F14" s="1">
        <v>27.24</v>
      </c>
      <c r="G14" s="1">
        <v>16</v>
      </c>
      <c r="H14" s="1">
        <v>0</v>
      </c>
      <c r="I14" s="1">
        <v>15079</v>
      </c>
      <c r="J14" s="1">
        <v>58</v>
      </c>
      <c r="K14" s="1">
        <v>27</v>
      </c>
      <c r="L14" s="1">
        <v>1</v>
      </c>
      <c r="M14" s="1">
        <v>0</v>
      </c>
      <c r="N14" s="1" t="s">
        <v>22</v>
      </c>
      <c r="O14" s="1" t="s">
        <v>72</v>
      </c>
      <c r="P14" s="1" t="s">
        <v>77</v>
      </c>
      <c r="Q14" s="1" t="s">
        <v>78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79</v>
      </c>
      <c r="W14" s="1" t="s">
        <v>80</v>
      </c>
      <c r="X14" s="1">
        <v>0</v>
      </c>
      <c r="Y14" s="1">
        <v>0</v>
      </c>
      <c r="Z14" s="1">
        <v>18.05</v>
      </c>
      <c r="AA14" s="1">
        <f>Tabla1[[#This Row],[MXN/USD]]*Tabla1[[#This Row],[loan_amnt]]</f>
        <v>361000</v>
      </c>
      <c r="AB14" s="1">
        <f>Tabla1[[#This Row],[int_rate]]%</f>
        <v>0.22149999999999997</v>
      </c>
      <c r="AC14" s="1">
        <f>IF(Tabla1[[#This Row],[term]]=" 60 months",5,3)</f>
        <v>5</v>
      </c>
      <c r="AD14" s="3">
        <f>-PMT(Tabla1[[#This Row],[InterestR]]/12,Tabla1[[#This Row],[YEARS]]*12,Tabla1[[#This Row],[MXN]],0)</f>
        <v>10001.239548346739</v>
      </c>
      <c r="AE14" s="3">
        <f>Tabla1[[#This Row],[PMT]]/Tabla1[[#This Row],[MXN/USD]]</f>
        <v>554.08529353721542</v>
      </c>
      <c r="AF14" s="3">
        <f>-CUMIPMT(Tabla1[[#This Row],[InterestR]]/12,Tabla1[[#This Row],[YEARS]]*12,Tabla1[[#This Row],[MXN]],1,12,0)</f>
        <v>75634.356407001644</v>
      </c>
      <c r="AG14" s="3">
        <f>Tabla1[[#This Row],[MXN]]*Tabla1[[#This Row],[InterestR]]</f>
        <v>79961.499999999985</v>
      </c>
      <c r="AH14" s="5">
        <f t="shared" si="0"/>
        <v>0.11</v>
      </c>
      <c r="AI14" s="3">
        <f>-Tabla1[[#This Row],[TIIE]]*Tabla1[[#This Row],[MXN]]</f>
        <v>-39710</v>
      </c>
      <c r="AJ14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39033.540314196638</v>
      </c>
      <c r="AK14" s="3">
        <f>+Tabla1[[#This Row],[INCOME_TRUE]]+Tabla1[[#This Row],[COST_TRUE]]</f>
        <v>-676.45968580336194</v>
      </c>
      <c r="AL14" s="3">
        <f>Tabla1[[#This Row],[COST_TRUE]]*Tabla1[[#This Row],[OUTPUT]]</f>
        <v>0</v>
      </c>
      <c r="AM14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14" s="3">
        <f>Tabla1[[#This Row],[INCOME_PREDICTED]]+Tabla1[[#This Row],[COST_PREDICTED]]</f>
        <v>0</v>
      </c>
      <c r="AT14" s="9">
        <f t="shared" si="1"/>
        <v>5.9999999999999963E-2</v>
      </c>
      <c r="AU14" s="10">
        <v>172362.25612661918</v>
      </c>
      <c r="AV14" s="10">
        <v>1767.9960295849633</v>
      </c>
    </row>
    <row r="15" spans="1:48" x14ac:dyDescent="0.3">
      <c r="A15" s="1">
        <v>11</v>
      </c>
      <c r="B15" s="1">
        <v>4500</v>
      </c>
      <c r="C15" s="1">
        <v>10.15</v>
      </c>
      <c r="D15" s="1">
        <v>145.52000000000001</v>
      </c>
      <c r="E15" s="1">
        <v>88246</v>
      </c>
      <c r="F15" s="1">
        <v>14.9</v>
      </c>
      <c r="G15" s="1">
        <v>9</v>
      </c>
      <c r="H15" s="1">
        <v>0</v>
      </c>
      <c r="I15" s="1">
        <v>4419</v>
      </c>
      <c r="J15" s="1">
        <v>50.2</v>
      </c>
      <c r="K15" s="1">
        <v>16</v>
      </c>
      <c r="L15" s="1">
        <v>2</v>
      </c>
      <c r="M15" s="1">
        <v>0</v>
      </c>
      <c r="N15" s="1" t="s">
        <v>44</v>
      </c>
      <c r="O15" s="1" t="s">
        <v>62</v>
      </c>
      <c r="P15" s="1" t="s">
        <v>81</v>
      </c>
      <c r="Q15" s="1" t="s">
        <v>82</v>
      </c>
      <c r="R15" s="1" t="s">
        <v>26</v>
      </c>
      <c r="S15" s="1" t="s">
        <v>53</v>
      </c>
      <c r="T15" s="1" t="s">
        <v>28</v>
      </c>
      <c r="U15" s="1" t="s">
        <v>29</v>
      </c>
      <c r="V15" s="1" t="s">
        <v>83</v>
      </c>
      <c r="W15" s="1" t="s">
        <v>61</v>
      </c>
      <c r="X15" s="1">
        <v>1</v>
      </c>
      <c r="Y15" s="1">
        <v>0</v>
      </c>
      <c r="Z15" s="1">
        <v>18.05</v>
      </c>
      <c r="AA15" s="1">
        <f>Tabla1[[#This Row],[MXN/USD]]*Tabla1[[#This Row],[loan_amnt]]</f>
        <v>81225</v>
      </c>
      <c r="AB15" s="1">
        <f>Tabla1[[#This Row],[int_rate]]%</f>
        <v>0.10150000000000001</v>
      </c>
      <c r="AC15" s="1">
        <f>IF(Tabla1[[#This Row],[term]]=" 60 months",5,3)</f>
        <v>3</v>
      </c>
      <c r="AD15" s="3">
        <f>-PMT(Tabla1[[#This Row],[InterestR]]/12,Tabla1[[#This Row],[YEARS]]*12,Tabla1[[#This Row],[MXN]],0)</f>
        <v>2626.626204204179</v>
      </c>
      <c r="AE15" s="3">
        <f>Tabla1[[#This Row],[PMT]]/Tabla1[[#This Row],[MXN/USD]]</f>
        <v>145.51945729663041</v>
      </c>
      <c r="AF15" s="3">
        <f>-CUMIPMT(Tabla1[[#This Row],[InterestR]]/12,Tabla1[[#This Row],[YEARS]]*12,Tabla1[[#This Row],[MXN]],1,12,0)</f>
        <v>7130.4395395157226</v>
      </c>
      <c r="AG15" s="3">
        <f>Tabla1[[#This Row],[MXN]]*Tabla1[[#This Row],[InterestR]]</f>
        <v>8244.3375000000015</v>
      </c>
      <c r="AH15" s="5">
        <f t="shared" si="0"/>
        <v>0.11</v>
      </c>
      <c r="AI15" s="3">
        <f>-Tabla1[[#This Row],[TIIE]]*Tabla1[[#This Row],[MXN]]</f>
        <v>-8934.75</v>
      </c>
      <c r="AJ15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3873.2892692523019</v>
      </c>
      <c r="AK15" s="3">
        <f>+Tabla1[[#This Row],[INCOME_TRUE]]+Tabla1[[#This Row],[COST_TRUE]]</f>
        <v>-5061.4607307476981</v>
      </c>
      <c r="AL15" s="3">
        <f>Tabla1[[#This Row],[COST_TRUE]]*Tabla1[[#This Row],[OUTPUT]]</f>
        <v>-8934.75</v>
      </c>
      <c r="AM15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3873.2892692523019</v>
      </c>
      <c r="AN15" s="3">
        <f>Tabla1[[#This Row],[INCOME_PREDICTED]]+Tabla1[[#This Row],[COST_PREDICTED]]</f>
        <v>-5061.4607307476981</v>
      </c>
      <c r="AT15" s="9">
        <f t="shared" si="1"/>
        <v>5.4999999999999966E-2</v>
      </c>
      <c r="AU15" s="10">
        <v>196722.98737661916</v>
      </c>
      <c r="AV15" s="10">
        <v>4556.7210295849609</v>
      </c>
    </row>
    <row r="16" spans="1:48" x14ac:dyDescent="0.3">
      <c r="A16" s="1">
        <v>12</v>
      </c>
      <c r="B16" s="1">
        <v>5050</v>
      </c>
      <c r="C16" s="1">
        <v>14.99</v>
      </c>
      <c r="D16" s="1">
        <v>175.04</v>
      </c>
      <c r="E16" s="1">
        <v>42000</v>
      </c>
      <c r="F16" s="1">
        <v>19.54</v>
      </c>
      <c r="G16" s="1">
        <v>13</v>
      </c>
      <c r="H16" s="1">
        <v>0</v>
      </c>
      <c r="I16" s="1">
        <v>4420</v>
      </c>
      <c r="J16" s="1">
        <v>61.4</v>
      </c>
      <c r="K16" s="1">
        <v>23</v>
      </c>
      <c r="L16" s="1">
        <v>0</v>
      </c>
      <c r="M16" s="1">
        <v>0</v>
      </c>
      <c r="N16" s="1" t="s">
        <v>44</v>
      </c>
      <c r="O16" s="1" t="s">
        <v>32</v>
      </c>
      <c r="P16" s="1" t="s">
        <v>84</v>
      </c>
      <c r="Q16" s="1" t="s">
        <v>85</v>
      </c>
      <c r="R16" s="1" t="s">
        <v>41</v>
      </c>
      <c r="S16" s="1" t="s">
        <v>74</v>
      </c>
      <c r="T16" s="1" t="s">
        <v>28</v>
      </c>
      <c r="U16" s="1" t="s">
        <v>29</v>
      </c>
      <c r="V16" s="1" t="s">
        <v>86</v>
      </c>
      <c r="W16" s="1" t="s">
        <v>87</v>
      </c>
      <c r="X16" s="1">
        <v>0</v>
      </c>
      <c r="Y16" s="1">
        <v>1</v>
      </c>
      <c r="Z16" s="1">
        <v>18.05</v>
      </c>
      <c r="AA16" s="1">
        <f>Tabla1[[#This Row],[MXN/USD]]*Tabla1[[#This Row],[loan_amnt]]</f>
        <v>91152.5</v>
      </c>
      <c r="AB16" s="1">
        <f>Tabla1[[#This Row],[int_rate]]%</f>
        <v>0.14990000000000001</v>
      </c>
      <c r="AC16" s="1">
        <f>IF(Tabla1[[#This Row],[term]]=" 60 months",5,3)</f>
        <v>3</v>
      </c>
      <c r="AD16" s="3">
        <f>-PMT(Tabla1[[#This Row],[InterestR]]/12,Tabla1[[#This Row],[YEARS]]*12,Tabla1[[#This Row],[MXN]],0)</f>
        <v>3159.3849970916485</v>
      </c>
      <c r="AE16" s="3">
        <f>Tabla1[[#This Row],[PMT]]/Tabla1[[#This Row],[MXN/USD]]</f>
        <v>175.03517989427414</v>
      </c>
      <c r="AF16" s="3">
        <f>-CUMIPMT(Tabla1[[#This Row],[InterestR]]/12,Tabla1[[#This Row],[YEARS]]*12,Tabla1[[#This Row],[MXN]],1,12,0)</f>
        <v>11926.402440117559</v>
      </c>
      <c r="AG16" s="3">
        <f>Tabla1[[#This Row],[MXN]]*Tabla1[[#This Row],[InterestR]]</f>
        <v>13663.759750000001</v>
      </c>
      <c r="AH16" s="5">
        <f t="shared" si="0"/>
        <v>0.11</v>
      </c>
      <c r="AI16" s="3">
        <f>-Tabla1[[#This Row],[TIIE]]*Tabla1[[#This Row],[MXN]]</f>
        <v>-10026.775</v>
      </c>
      <c r="AJ16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11926.402440117559</v>
      </c>
      <c r="AK16" s="3">
        <f>+Tabla1[[#This Row],[INCOME_TRUE]]+Tabla1[[#This Row],[COST_TRUE]]</f>
        <v>1899.6274401175597</v>
      </c>
      <c r="AL16" s="3">
        <f>Tabla1[[#This Row],[COST_TRUE]]*Tabla1[[#This Row],[OUTPUT]]</f>
        <v>0</v>
      </c>
      <c r="AM16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16" s="3">
        <f>Tabla1[[#This Row],[INCOME_PREDICTED]]+Tabla1[[#This Row],[COST_PREDICTED]]</f>
        <v>0</v>
      </c>
      <c r="AT16" s="9">
        <f>AT15-0.5%</f>
        <v>4.9999999999999968E-2</v>
      </c>
      <c r="AU16" s="10">
        <v>221083.71862661914</v>
      </c>
      <c r="AV16" s="10">
        <v>7345.4460295849603</v>
      </c>
    </row>
    <row r="17" spans="1:48" x14ac:dyDescent="0.3">
      <c r="A17" s="1">
        <v>13</v>
      </c>
      <c r="B17" s="1">
        <v>19225</v>
      </c>
      <c r="C17" s="1">
        <v>16.489999999999998</v>
      </c>
      <c r="D17" s="1">
        <v>680.56</v>
      </c>
      <c r="E17" s="1">
        <v>42000</v>
      </c>
      <c r="F17" s="1">
        <v>33.090000000000003</v>
      </c>
      <c r="G17" s="1">
        <v>15</v>
      </c>
      <c r="H17" s="1">
        <v>0</v>
      </c>
      <c r="I17" s="1">
        <v>32844</v>
      </c>
      <c r="J17" s="1">
        <v>46.7</v>
      </c>
      <c r="K17" s="1">
        <v>26</v>
      </c>
      <c r="L17" s="1">
        <v>0</v>
      </c>
      <c r="M17" s="1">
        <v>0</v>
      </c>
      <c r="N17" s="1" t="s">
        <v>44</v>
      </c>
      <c r="O17" s="1" t="s">
        <v>88</v>
      </c>
      <c r="R17" s="1" t="s">
        <v>41</v>
      </c>
      <c r="S17" s="1" t="s">
        <v>74</v>
      </c>
      <c r="T17" s="1" t="s">
        <v>35</v>
      </c>
      <c r="U17" s="1" t="s">
        <v>36</v>
      </c>
      <c r="V17" s="1" t="s">
        <v>89</v>
      </c>
      <c r="W17" s="1" t="s">
        <v>61</v>
      </c>
      <c r="X17" s="1">
        <v>0</v>
      </c>
      <c r="Y17" s="1">
        <v>0</v>
      </c>
      <c r="Z17" s="1">
        <v>18.05</v>
      </c>
      <c r="AA17" s="1">
        <f>Tabla1[[#This Row],[MXN/USD]]*Tabla1[[#This Row],[loan_amnt]]</f>
        <v>347011.25</v>
      </c>
      <c r="AB17" s="1">
        <f>Tabla1[[#This Row],[int_rate]]%</f>
        <v>0.16489999999999999</v>
      </c>
      <c r="AC17" s="1">
        <f>IF(Tabla1[[#This Row],[term]]=" 60 months",5,3)</f>
        <v>3</v>
      </c>
      <c r="AD17" s="3">
        <f>-PMT(Tabla1[[#This Row],[InterestR]]/12,Tabla1[[#This Row],[YEARS]]*12,Tabla1[[#This Row],[MXN]],0)</f>
        <v>12283.998995225782</v>
      </c>
      <c r="AE17" s="3">
        <f>Tabla1[[#This Row],[PMT]]/Tabla1[[#This Row],[MXN/USD]]</f>
        <v>680.55396095433696</v>
      </c>
      <c r="AF17" s="3">
        <f>-CUMIPMT(Tabla1[[#This Row],[InterestR]]/12,Tabla1[[#This Row],[YEARS]]*12,Tabla1[[#This Row],[MXN]],1,12,0)</f>
        <v>50083.897484017914</v>
      </c>
      <c r="AG17" s="3">
        <f>Tabla1[[#This Row],[MXN]]*Tabla1[[#This Row],[InterestR]]</f>
        <v>57222.155124999997</v>
      </c>
      <c r="AH17" s="5">
        <f t="shared" si="0"/>
        <v>0.11</v>
      </c>
      <c r="AI17" s="3">
        <f>-Tabla1[[#This Row],[TIIE]]*Tabla1[[#This Row],[MXN]]</f>
        <v>-38171.237500000003</v>
      </c>
      <c r="AJ17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27033.270361533119</v>
      </c>
      <c r="AK17" s="3">
        <f>+Tabla1[[#This Row],[INCOME_TRUE]]+Tabla1[[#This Row],[COST_TRUE]]</f>
        <v>-11137.967138466884</v>
      </c>
      <c r="AL17" s="3">
        <f>Tabla1[[#This Row],[COST_TRUE]]*Tabla1[[#This Row],[OUTPUT]]</f>
        <v>0</v>
      </c>
      <c r="AM17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17" s="3">
        <f>Tabla1[[#This Row],[INCOME_PREDICTED]]+Tabla1[[#This Row],[COST_PREDICTED]]</f>
        <v>0</v>
      </c>
      <c r="AT17" s="9">
        <f t="shared" si="1"/>
        <v>4.4999999999999971E-2</v>
      </c>
      <c r="AU17" s="10">
        <v>245444.4498766191</v>
      </c>
      <c r="AV17" s="10">
        <v>10134.171029584959</v>
      </c>
    </row>
    <row r="18" spans="1:48" x14ac:dyDescent="0.3">
      <c r="A18" s="1">
        <v>14</v>
      </c>
      <c r="B18" s="1">
        <v>35000</v>
      </c>
      <c r="C18" s="1">
        <v>20.99</v>
      </c>
      <c r="D18" s="1">
        <v>946.68</v>
      </c>
      <c r="E18" s="1">
        <v>145000</v>
      </c>
      <c r="F18" s="1">
        <v>19.52</v>
      </c>
      <c r="G18" s="1">
        <v>16</v>
      </c>
      <c r="H18" s="1">
        <v>0</v>
      </c>
      <c r="I18" s="1">
        <v>32102</v>
      </c>
      <c r="J18" s="1">
        <v>92</v>
      </c>
      <c r="K18" s="1">
        <v>46</v>
      </c>
      <c r="L18" s="1">
        <v>4</v>
      </c>
      <c r="M18" s="1">
        <v>0</v>
      </c>
      <c r="N18" s="1" t="s">
        <v>22</v>
      </c>
      <c r="O18" s="1" t="s">
        <v>90</v>
      </c>
      <c r="P18" s="1" t="s">
        <v>91</v>
      </c>
      <c r="Q18" s="1" t="s">
        <v>92</v>
      </c>
      <c r="R18" s="1" t="s">
        <v>26</v>
      </c>
      <c r="S18" s="1" t="s">
        <v>27</v>
      </c>
      <c r="T18" s="1" t="s">
        <v>35</v>
      </c>
      <c r="U18" s="1" t="s">
        <v>36</v>
      </c>
      <c r="V18" s="1" t="s">
        <v>93</v>
      </c>
      <c r="W18" s="1" t="s">
        <v>94</v>
      </c>
      <c r="X18" s="1">
        <v>0</v>
      </c>
      <c r="Y18" s="1">
        <v>0</v>
      </c>
      <c r="Z18" s="1">
        <v>18.05</v>
      </c>
      <c r="AA18" s="1">
        <f>Tabla1[[#This Row],[MXN/USD]]*Tabla1[[#This Row],[loan_amnt]]</f>
        <v>631750</v>
      </c>
      <c r="AB18" s="1">
        <f>Tabla1[[#This Row],[int_rate]]%</f>
        <v>0.20989999999999998</v>
      </c>
      <c r="AC18" s="1">
        <f>IF(Tabla1[[#This Row],[term]]=" 60 months",5,3)</f>
        <v>5</v>
      </c>
      <c r="AD18" s="3">
        <f>-PMT(Tabla1[[#This Row],[InterestR]]/12,Tabla1[[#This Row],[YEARS]]*12,Tabla1[[#This Row],[MXN]],0)</f>
        <v>17087.406494009687</v>
      </c>
      <c r="AE18" s="3">
        <f>Tabla1[[#This Row],[PMT]]/Tabla1[[#This Row],[MXN/USD]]</f>
        <v>946.67071988973328</v>
      </c>
      <c r="AF18" s="3">
        <f>-CUMIPMT(Tabla1[[#This Row],[InterestR]]/12,Tabla1[[#This Row],[YEARS]]*12,Tabla1[[#This Row],[MXN]],1,12,0)</f>
        <v>125212.04885091176</v>
      </c>
      <c r="AG18" s="3">
        <f>Tabla1[[#This Row],[MXN]]*Tabla1[[#This Row],[InterestR]]</f>
        <v>132604.32499999998</v>
      </c>
      <c r="AH18" s="5">
        <f t="shared" si="0"/>
        <v>0.11</v>
      </c>
      <c r="AI18" s="3">
        <f>-Tabla1[[#This Row],[TIIE]]*Tabla1[[#This Row],[MXN]]</f>
        <v>-69492.5</v>
      </c>
      <c r="AJ18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64680.762806358238</v>
      </c>
      <c r="AK18" s="3">
        <f>+Tabla1[[#This Row],[INCOME_TRUE]]+Tabla1[[#This Row],[COST_TRUE]]</f>
        <v>-4811.7371936417621</v>
      </c>
      <c r="AL18" s="3">
        <f>Tabla1[[#This Row],[COST_TRUE]]*Tabla1[[#This Row],[OUTPUT]]</f>
        <v>0</v>
      </c>
      <c r="AM18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18" s="3">
        <f>Tabla1[[#This Row],[INCOME_PREDICTED]]+Tabla1[[#This Row],[COST_PREDICTED]]</f>
        <v>0</v>
      </c>
      <c r="AT18" s="9">
        <f t="shared" si="1"/>
        <v>3.9999999999999973E-2</v>
      </c>
      <c r="AU18" s="10">
        <v>269805.18112661905</v>
      </c>
      <c r="AV18" s="10">
        <v>12922.896029584956</v>
      </c>
    </row>
    <row r="19" spans="1:48" x14ac:dyDescent="0.3">
      <c r="A19" s="1">
        <v>15</v>
      </c>
      <c r="B19" s="1">
        <v>7000</v>
      </c>
      <c r="C19" s="1">
        <v>11.99</v>
      </c>
      <c r="D19" s="1">
        <v>232.47</v>
      </c>
      <c r="E19" s="1">
        <v>52000</v>
      </c>
      <c r="F19" s="1">
        <v>6.3</v>
      </c>
      <c r="G19" s="1">
        <v>5</v>
      </c>
      <c r="H19" s="1">
        <v>0</v>
      </c>
      <c r="I19" s="1">
        <v>7311</v>
      </c>
      <c r="J19" s="1">
        <v>55</v>
      </c>
      <c r="K19" s="1">
        <v>10</v>
      </c>
      <c r="L19" s="1">
        <v>0</v>
      </c>
      <c r="M19" s="1">
        <v>0</v>
      </c>
      <c r="N19" s="1" t="s">
        <v>44</v>
      </c>
      <c r="O19" s="1" t="s">
        <v>95</v>
      </c>
      <c r="P19" s="1" t="s">
        <v>96</v>
      </c>
      <c r="Q19" s="1" t="s">
        <v>25</v>
      </c>
      <c r="R19" s="1" t="s">
        <v>41</v>
      </c>
      <c r="S19" s="1" t="s">
        <v>53</v>
      </c>
      <c r="T19" s="1" t="s">
        <v>28</v>
      </c>
      <c r="U19" s="1" t="s">
        <v>29</v>
      </c>
      <c r="V19" s="1" t="s">
        <v>97</v>
      </c>
      <c r="W19" s="1" t="s">
        <v>98</v>
      </c>
      <c r="X19" s="1">
        <v>1</v>
      </c>
      <c r="Y19" s="1">
        <v>1</v>
      </c>
      <c r="Z19" s="1">
        <v>18.05</v>
      </c>
      <c r="AA19" s="1">
        <f>Tabla1[[#This Row],[MXN/USD]]*Tabla1[[#This Row],[loan_amnt]]</f>
        <v>126350</v>
      </c>
      <c r="AB19" s="1">
        <f>Tabla1[[#This Row],[int_rate]]%</f>
        <v>0.11990000000000001</v>
      </c>
      <c r="AC19" s="1">
        <f>IF(Tabla1[[#This Row],[term]]=" 60 months",5,3)</f>
        <v>3</v>
      </c>
      <c r="AD19" s="3">
        <f>-PMT(Tabla1[[#This Row],[InterestR]]/12,Tabla1[[#This Row],[YEARS]]*12,Tabla1[[#This Row],[MXN]],0)</f>
        <v>4196.02459793243</v>
      </c>
      <c r="AE19" s="3">
        <f>Tabla1[[#This Row],[PMT]]/Tabla1[[#This Row],[MXN/USD]]</f>
        <v>232.46673672755844</v>
      </c>
      <c r="AF19" s="3">
        <f>-CUMIPMT(Tabla1[[#This Row],[InterestR]]/12,Tabla1[[#This Row],[YEARS]]*12,Tabla1[[#This Row],[MXN]],1,12,0)</f>
        <v>13148.914199929255</v>
      </c>
      <c r="AG19" s="3">
        <f>Tabla1[[#This Row],[MXN]]*Tabla1[[#This Row],[InterestR]]</f>
        <v>15149.365000000002</v>
      </c>
      <c r="AH19" s="5">
        <f t="shared" si="0"/>
        <v>0.11</v>
      </c>
      <c r="AI19" s="3">
        <f>-Tabla1[[#This Row],[TIIE]]*Tabla1[[#This Row],[MXN]]</f>
        <v>-13898.5</v>
      </c>
      <c r="AJ19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13148.914199929255</v>
      </c>
      <c r="AK19" s="3">
        <f>+Tabla1[[#This Row],[INCOME_TRUE]]+Tabla1[[#This Row],[COST_TRUE]]</f>
        <v>-749.58580007074488</v>
      </c>
      <c r="AL19" s="3">
        <f>Tabla1[[#This Row],[COST_TRUE]]*Tabla1[[#This Row],[OUTPUT]]</f>
        <v>-13898.5</v>
      </c>
      <c r="AM19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13148.914199929255</v>
      </c>
      <c r="AN19" s="3">
        <f>Tabla1[[#This Row],[INCOME_PREDICTED]]+Tabla1[[#This Row],[COST_PREDICTED]]</f>
        <v>-749.58580007074488</v>
      </c>
      <c r="AT19" s="9">
        <f>AT18-0.5%</f>
        <v>3.4999999999999976E-2</v>
      </c>
      <c r="AU19" s="10">
        <v>294165.91237661912</v>
      </c>
      <c r="AV19" s="10">
        <v>15711.621029584956</v>
      </c>
    </row>
    <row r="20" spans="1:48" x14ac:dyDescent="0.3">
      <c r="A20" s="1">
        <v>16</v>
      </c>
      <c r="B20" s="1">
        <v>1000</v>
      </c>
      <c r="C20" s="1">
        <v>13.35</v>
      </c>
      <c r="D20" s="1">
        <v>33.869999999999997</v>
      </c>
      <c r="E20" s="1">
        <v>69500</v>
      </c>
      <c r="F20" s="1">
        <v>20.03</v>
      </c>
      <c r="G20" s="1">
        <v>19</v>
      </c>
      <c r="H20" s="1">
        <v>0</v>
      </c>
      <c r="I20" s="1">
        <v>21795</v>
      </c>
      <c r="J20" s="1">
        <v>79.8</v>
      </c>
      <c r="K20" s="1">
        <v>47</v>
      </c>
      <c r="L20" s="1">
        <v>1</v>
      </c>
      <c r="M20" s="1">
        <v>0</v>
      </c>
      <c r="N20" s="1" t="s">
        <v>44</v>
      </c>
      <c r="O20" s="1" t="s">
        <v>99</v>
      </c>
      <c r="P20" s="1" t="s">
        <v>100</v>
      </c>
      <c r="Q20" s="1" t="s">
        <v>52</v>
      </c>
      <c r="R20" s="1" t="s">
        <v>26</v>
      </c>
      <c r="S20" s="1" t="s">
        <v>53</v>
      </c>
      <c r="T20" s="1" t="s">
        <v>35</v>
      </c>
      <c r="U20" s="1" t="s">
        <v>36</v>
      </c>
      <c r="V20" s="1" t="s">
        <v>101</v>
      </c>
      <c r="W20" s="1" t="s">
        <v>102</v>
      </c>
      <c r="X20" s="1">
        <v>0</v>
      </c>
      <c r="Y20" s="1">
        <v>0</v>
      </c>
      <c r="Z20" s="1">
        <v>18.05</v>
      </c>
      <c r="AA20" s="1">
        <f>Tabla1[[#This Row],[MXN/USD]]*Tabla1[[#This Row],[loan_amnt]]</f>
        <v>18050</v>
      </c>
      <c r="AB20" s="1">
        <f>Tabla1[[#This Row],[int_rate]]%</f>
        <v>0.13350000000000001</v>
      </c>
      <c r="AC20" s="1">
        <f>IF(Tabla1[[#This Row],[term]]=" 60 months",5,3)</f>
        <v>3</v>
      </c>
      <c r="AD20" s="3">
        <f>-PMT(Tabla1[[#This Row],[InterestR]]/12,Tabla1[[#This Row],[YEARS]]*12,Tabla1[[#This Row],[MXN]],0)</f>
        <v>611.22319532601659</v>
      </c>
      <c r="AE20" s="3">
        <f>Tabla1[[#This Row],[PMT]]/Tabla1[[#This Row],[MXN/USD]]</f>
        <v>33.862780904488453</v>
      </c>
      <c r="AF20" s="3">
        <f>-CUMIPMT(Tabla1[[#This Row],[InterestR]]/12,Tabla1[[#This Row],[YEARS]]*12,Tabla1[[#This Row],[MXN]],1,12,0)</f>
        <v>2096.8665768852989</v>
      </c>
      <c r="AG20" s="3">
        <f>Tabla1[[#This Row],[MXN]]*Tabla1[[#This Row],[InterestR]]</f>
        <v>2409.6750000000002</v>
      </c>
      <c r="AH20" s="5">
        <f t="shared" si="0"/>
        <v>0.11</v>
      </c>
      <c r="AI20" s="3">
        <f>-Tabla1[[#This Row],[TIIE]]*Tabla1[[#This Row],[MXN]]</f>
        <v>-1985.5</v>
      </c>
      <c r="AJ20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1135.3247477626865</v>
      </c>
      <c r="AK20" s="3">
        <f>+Tabla1[[#This Row],[INCOME_TRUE]]+Tabla1[[#This Row],[COST_TRUE]]</f>
        <v>-850.17525223731354</v>
      </c>
      <c r="AL20" s="3">
        <f>Tabla1[[#This Row],[COST_TRUE]]*Tabla1[[#This Row],[OUTPUT]]</f>
        <v>0</v>
      </c>
      <c r="AM20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20" s="3">
        <f>Tabla1[[#This Row],[INCOME_PREDICTED]]+Tabla1[[#This Row],[COST_PREDICTED]]</f>
        <v>0</v>
      </c>
      <c r="AT20" s="9">
        <f t="shared" si="1"/>
        <v>2.9999999999999975E-2</v>
      </c>
      <c r="AU20" s="10">
        <v>318526.64362661913</v>
      </c>
      <c r="AV20" s="10">
        <v>18500.346029584958</v>
      </c>
    </row>
    <row r="21" spans="1:48" x14ac:dyDescent="0.3">
      <c r="A21" s="1">
        <v>17</v>
      </c>
      <c r="B21" s="1">
        <v>5000</v>
      </c>
      <c r="C21" s="1">
        <v>15.99</v>
      </c>
      <c r="D21" s="1">
        <v>175.77</v>
      </c>
      <c r="E21" s="1">
        <v>26000</v>
      </c>
      <c r="F21" s="1">
        <v>27.84</v>
      </c>
      <c r="G21" s="1">
        <v>9</v>
      </c>
      <c r="H21" s="1">
        <v>0</v>
      </c>
      <c r="I21" s="1">
        <v>2275</v>
      </c>
      <c r="J21" s="1">
        <v>59.9</v>
      </c>
      <c r="K21" s="1">
        <v>45</v>
      </c>
      <c r="L21" s="1">
        <v>4</v>
      </c>
      <c r="M21" s="1">
        <v>0</v>
      </c>
      <c r="N21" s="1" t="s">
        <v>44</v>
      </c>
      <c r="O21" s="1" t="s">
        <v>103</v>
      </c>
      <c r="R21" s="1" t="s">
        <v>104</v>
      </c>
      <c r="S21" s="1" t="s">
        <v>27</v>
      </c>
      <c r="T21" s="1" t="s">
        <v>28</v>
      </c>
      <c r="U21" s="1" t="s">
        <v>29</v>
      </c>
      <c r="V21" s="1" t="s">
        <v>105</v>
      </c>
      <c r="W21" s="1" t="s">
        <v>106</v>
      </c>
      <c r="X21" s="1">
        <v>0</v>
      </c>
      <c r="Y21" s="1">
        <v>0</v>
      </c>
      <c r="Z21" s="1">
        <v>18.05</v>
      </c>
      <c r="AA21" s="1">
        <f>Tabla1[[#This Row],[MXN/USD]]*Tabla1[[#This Row],[loan_amnt]]</f>
        <v>90250</v>
      </c>
      <c r="AB21" s="1">
        <f>Tabla1[[#This Row],[int_rate]]%</f>
        <v>0.15990000000000001</v>
      </c>
      <c r="AC21" s="1">
        <f>IF(Tabla1[[#This Row],[term]]=" 60 months",5,3)</f>
        <v>3</v>
      </c>
      <c r="AD21" s="3">
        <f>-PMT(Tabla1[[#This Row],[InterestR]]/12,Tabla1[[#This Row],[YEARS]]*12,Tabla1[[#This Row],[MXN]],0)</f>
        <v>3172.4766832997434</v>
      </c>
      <c r="AE21" s="3">
        <f>Tabla1[[#This Row],[PMT]]/Tabla1[[#This Row],[MXN/USD]]</f>
        <v>175.76048106923784</v>
      </c>
      <c r="AF21" s="3">
        <f>-CUMIPMT(Tabla1[[#This Row],[InterestR]]/12,Tabla1[[#This Row],[YEARS]]*12,Tabla1[[#This Row],[MXN]],1,12,0)</f>
        <v>12619.244966054204</v>
      </c>
      <c r="AG21" s="3">
        <f>Tabla1[[#This Row],[MXN]]*Tabla1[[#This Row],[InterestR]]</f>
        <v>14430.975000000002</v>
      </c>
      <c r="AH21" s="5">
        <f t="shared" si="0"/>
        <v>0.11</v>
      </c>
      <c r="AI21" s="3">
        <f>-Tabla1[[#This Row],[TIIE]]*Tabla1[[#This Row],[MXN]]</f>
        <v>-9927.5</v>
      </c>
      <c r="AJ21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6814.6890470450562</v>
      </c>
      <c r="AK21" s="3">
        <f>+Tabla1[[#This Row],[INCOME_TRUE]]+Tabla1[[#This Row],[COST_TRUE]]</f>
        <v>-3112.8109529549438</v>
      </c>
      <c r="AL21" s="3">
        <f>Tabla1[[#This Row],[COST_TRUE]]*Tabla1[[#This Row],[OUTPUT]]</f>
        <v>0</v>
      </c>
      <c r="AM21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21" s="3">
        <f>Tabla1[[#This Row],[INCOME_PREDICTED]]+Tabla1[[#This Row],[COST_PREDICTED]]</f>
        <v>0</v>
      </c>
      <c r="AT21" s="9">
        <f t="shared" si="1"/>
        <v>2.4999999999999974E-2</v>
      </c>
      <c r="AU21" s="10">
        <v>342887.37487661908</v>
      </c>
      <c r="AV21" s="10">
        <v>21289.07102958496</v>
      </c>
    </row>
    <row r="22" spans="1:48" x14ac:dyDescent="0.3">
      <c r="A22" s="1">
        <v>18</v>
      </c>
      <c r="B22" s="1">
        <v>13600</v>
      </c>
      <c r="C22" s="1">
        <v>14.99</v>
      </c>
      <c r="D22" s="1">
        <v>323.48</v>
      </c>
      <c r="E22" s="1">
        <v>45000</v>
      </c>
      <c r="F22" s="1">
        <v>14.35</v>
      </c>
      <c r="G22" s="1">
        <v>20</v>
      </c>
      <c r="H22" s="1">
        <v>1</v>
      </c>
      <c r="I22" s="1">
        <v>5248</v>
      </c>
      <c r="J22" s="1">
        <v>26</v>
      </c>
      <c r="K22" s="1">
        <v>43</v>
      </c>
      <c r="L22" s="1">
        <v>9</v>
      </c>
      <c r="M22" s="1">
        <v>1</v>
      </c>
      <c r="N22" s="1" t="s">
        <v>22</v>
      </c>
      <c r="O22" s="1" t="s">
        <v>32</v>
      </c>
      <c r="P22" s="1" t="s">
        <v>107</v>
      </c>
      <c r="Q22" s="1" t="s">
        <v>25</v>
      </c>
      <c r="R22" s="1" t="s">
        <v>26</v>
      </c>
      <c r="S22" s="1" t="s">
        <v>74</v>
      </c>
      <c r="T22" s="1" t="s">
        <v>28</v>
      </c>
      <c r="U22" s="1" t="s">
        <v>29</v>
      </c>
      <c r="V22" s="1" t="s">
        <v>108</v>
      </c>
      <c r="W22" s="1" t="s">
        <v>31</v>
      </c>
      <c r="X22" s="1">
        <v>0</v>
      </c>
      <c r="Y22" s="1">
        <v>0</v>
      </c>
      <c r="Z22" s="1">
        <v>18.05</v>
      </c>
      <c r="AA22" s="1">
        <f>Tabla1[[#This Row],[MXN/USD]]*Tabla1[[#This Row],[loan_amnt]]</f>
        <v>245480</v>
      </c>
      <c r="AB22" s="1">
        <f>Tabla1[[#This Row],[int_rate]]%</f>
        <v>0.14990000000000001</v>
      </c>
      <c r="AC22" s="1">
        <f>IF(Tabla1[[#This Row],[term]]=" 60 months",5,3)</f>
        <v>5</v>
      </c>
      <c r="AD22" s="3">
        <f>-PMT(Tabla1[[#This Row],[InterestR]]/12,Tabla1[[#This Row],[YEARS]]*12,Tabla1[[#This Row],[MXN]],0)</f>
        <v>5838.6635620610414</v>
      </c>
      <c r="AE22" s="3">
        <f>Tabla1[[#This Row],[PMT]]/Tabla1[[#This Row],[MXN/USD]]</f>
        <v>323.4716654881463</v>
      </c>
      <c r="AF22" s="3">
        <f>-CUMIPMT(Tabla1[[#This Row],[InterestR]]/12,Tabla1[[#This Row],[YEARS]]*12,Tabla1[[#This Row],[MXN]],1,12,0)</f>
        <v>34414.007371924075</v>
      </c>
      <c r="AG22" s="3">
        <f>Tabla1[[#This Row],[MXN]]*Tabla1[[#This Row],[InterestR]]</f>
        <v>36797.452000000005</v>
      </c>
      <c r="AH22" s="5">
        <f t="shared" si="0"/>
        <v>0.11</v>
      </c>
      <c r="AI22" s="3">
        <f>-Tabla1[[#This Row],[TIIE]]*Tabla1[[#This Row],[MXN]]</f>
        <v>-27002.799999999999</v>
      </c>
      <c r="AJ22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17870.550228360771</v>
      </c>
      <c r="AK22" s="3">
        <f>+Tabla1[[#This Row],[INCOME_TRUE]]+Tabla1[[#This Row],[COST_TRUE]]</f>
        <v>-9132.2497716392281</v>
      </c>
      <c r="AL22" s="3">
        <f>Tabla1[[#This Row],[COST_TRUE]]*Tabla1[[#This Row],[OUTPUT]]</f>
        <v>0</v>
      </c>
      <c r="AM22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22" s="3">
        <f>Tabla1[[#This Row],[INCOME_PREDICTED]]+Tabla1[[#This Row],[COST_PREDICTED]]</f>
        <v>0</v>
      </c>
      <c r="AT22" s="9">
        <f t="shared" si="1"/>
        <v>1.9999999999999973E-2</v>
      </c>
      <c r="AU22" s="10">
        <v>367248.1061266191</v>
      </c>
      <c r="AV22" s="10">
        <v>24077.796029584959</v>
      </c>
    </row>
    <row r="23" spans="1:48" x14ac:dyDescent="0.3">
      <c r="A23" s="1">
        <v>19</v>
      </c>
      <c r="B23" s="1">
        <v>15000</v>
      </c>
      <c r="C23" s="1">
        <v>18.239999999999998</v>
      </c>
      <c r="D23" s="1">
        <v>382.87</v>
      </c>
      <c r="E23" s="1">
        <v>35000</v>
      </c>
      <c r="F23" s="1">
        <v>29.23</v>
      </c>
      <c r="G23" s="1">
        <v>11</v>
      </c>
      <c r="H23" s="1">
        <v>0</v>
      </c>
      <c r="I23" s="1">
        <v>72307</v>
      </c>
      <c r="J23" s="1">
        <v>82.9</v>
      </c>
      <c r="K23" s="1">
        <v>36</v>
      </c>
      <c r="L23" s="1">
        <v>4</v>
      </c>
      <c r="M23" s="1">
        <v>0</v>
      </c>
      <c r="N23" s="1" t="s">
        <v>22</v>
      </c>
      <c r="O23" s="1" t="s">
        <v>109</v>
      </c>
      <c r="P23" s="1" t="s">
        <v>110</v>
      </c>
      <c r="Q23" s="1" t="s">
        <v>25</v>
      </c>
      <c r="R23" s="1" t="s">
        <v>26</v>
      </c>
      <c r="S23" s="1" t="s">
        <v>53</v>
      </c>
      <c r="T23" s="1" t="s">
        <v>28</v>
      </c>
      <c r="U23" s="1" t="s">
        <v>29</v>
      </c>
      <c r="V23" s="1" t="s">
        <v>111</v>
      </c>
      <c r="W23" s="1" t="s">
        <v>49</v>
      </c>
      <c r="X23" s="1">
        <v>0</v>
      </c>
      <c r="Y23" s="1">
        <v>0</v>
      </c>
      <c r="Z23" s="1">
        <v>18.05</v>
      </c>
      <c r="AA23" s="1">
        <f>Tabla1[[#This Row],[MXN/USD]]*Tabla1[[#This Row],[loan_amnt]]</f>
        <v>270750</v>
      </c>
      <c r="AB23" s="1">
        <f>Tabla1[[#This Row],[int_rate]]%</f>
        <v>0.18239999999999998</v>
      </c>
      <c r="AC23" s="1">
        <f>IF(Tabla1[[#This Row],[term]]=" 60 months",5,3)</f>
        <v>5</v>
      </c>
      <c r="AD23" s="3">
        <f>-PMT(Tabla1[[#This Row],[InterestR]]/12,Tabla1[[#This Row],[YEARS]]*12,Tabla1[[#This Row],[MXN]],0)</f>
        <v>6910.6683379362084</v>
      </c>
      <c r="AE23" s="3">
        <f>Tabla1[[#This Row],[PMT]]/Tabla1[[#This Row],[MXN/USD]]</f>
        <v>382.86251179701986</v>
      </c>
      <c r="AF23" s="3">
        <f>-CUMIPMT(Tabla1[[#This Row],[InterestR]]/12,Tabla1[[#This Row],[YEARS]]*12,Tabla1[[#This Row],[MXN]],1,12,0)</f>
        <v>46433.527229971565</v>
      </c>
      <c r="AG23" s="3">
        <f>Tabla1[[#This Row],[MXN]]*Tabla1[[#This Row],[InterestR]]</f>
        <v>49384.799999999996</v>
      </c>
      <c r="AH23" s="5">
        <f t="shared" si="0"/>
        <v>0.11</v>
      </c>
      <c r="AI23" s="3">
        <f>-Tabla1[[#This Row],[TIIE]]*Tabla1[[#This Row],[MXN]]</f>
        <v>-29782.5</v>
      </c>
      <c r="AJ23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24042.014298801096</v>
      </c>
      <c r="AK23" s="3">
        <f>+Tabla1[[#This Row],[INCOME_TRUE]]+Tabla1[[#This Row],[COST_TRUE]]</f>
        <v>-5740.4857011989043</v>
      </c>
      <c r="AL23" s="3">
        <f>Tabla1[[#This Row],[COST_TRUE]]*Tabla1[[#This Row],[OUTPUT]]</f>
        <v>0</v>
      </c>
      <c r="AM23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0</v>
      </c>
      <c r="AN23" s="3">
        <f>Tabla1[[#This Row],[INCOME_PREDICTED]]+Tabla1[[#This Row],[COST_PREDICTED]]</f>
        <v>0</v>
      </c>
      <c r="AT23" s="9">
        <f t="shared" si="1"/>
        <v>1.4999999999999972E-2</v>
      </c>
      <c r="AU23" s="10">
        <v>391608.83737661917</v>
      </c>
      <c r="AV23" s="10">
        <v>26866.521029584957</v>
      </c>
    </row>
    <row r="24" spans="1:48" x14ac:dyDescent="0.3">
      <c r="A24" s="1">
        <v>20</v>
      </c>
      <c r="B24" s="1">
        <v>5000</v>
      </c>
      <c r="C24" s="1">
        <v>7.49</v>
      </c>
      <c r="D24" s="1">
        <v>155.51</v>
      </c>
      <c r="E24" s="1">
        <v>30000</v>
      </c>
      <c r="F24" s="1">
        <v>13.24</v>
      </c>
      <c r="G24" s="1">
        <v>6</v>
      </c>
      <c r="H24" s="1">
        <v>0</v>
      </c>
      <c r="I24" s="1">
        <v>7211</v>
      </c>
      <c r="J24" s="1">
        <v>62.2</v>
      </c>
      <c r="K24" s="1">
        <v>16</v>
      </c>
      <c r="L24" s="1">
        <v>0</v>
      </c>
      <c r="M24" s="1">
        <v>0</v>
      </c>
      <c r="N24" s="1" t="s">
        <v>44</v>
      </c>
      <c r="O24" s="1" t="s">
        <v>112</v>
      </c>
      <c r="P24" s="1" t="s">
        <v>113</v>
      </c>
      <c r="Q24" s="1" t="s">
        <v>25</v>
      </c>
      <c r="R24" s="1" t="s">
        <v>41</v>
      </c>
      <c r="S24" s="1" t="s">
        <v>53</v>
      </c>
      <c r="T24" s="1" t="s">
        <v>28</v>
      </c>
      <c r="U24" s="1" t="s">
        <v>29</v>
      </c>
      <c r="V24" s="1" t="s">
        <v>114</v>
      </c>
      <c r="W24" s="1" t="s">
        <v>115</v>
      </c>
      <c r="X24" s="1">
        <v>1</v>
      </c>
      <c r="Y24" s="1">
        <v>1</v>
      </c>
      <c r="Z24" s="1">
        <v>18.05</v>
      </c>
      <c r="AA24" s="1">
        <f>Tabla1[[#This Row],[MXN/USD]]*Tabla1[[#This Row],[loan_amnt]]</f>
        <v>90250</v>
      </c>
      <c r="AB24" s="1">
        <f>Tabla1[[#This Row],[int_rate]]%</f>
        <v>7.4900000000000008E-2</v>
      </c>
      <c r="AC24" s="1">
        <f>IF(Tabla1[[#This Row],[term]]=" 60 months",5,3)</f>
        <v>3</v>
      </c>
      <c r="AD24" s="3">
        <f>-PMT(Tabla1[[#This Row],[InterestR]]/12,Tabla1[[#This Row],[YEARS]]*12,Tabla1[[#This Row],[MXN]],0)</f>
        <v>2806.9217172130461</v>
      </c>
      <c r="AE24" s="3">
        <f>Tabla1[[#This Row],[PMT]]/Tabla1[[#This Row],[MXN/USD]]</f>
        <v>155.50812837745409</v>
      </c>
      <c r="AF24" s="3">
        <f>-CUMIPMT(Tabla1[[#This Row],[InterestR]]/12,Tabla1[[#This Row],[YEARS]]*12,Tabla1[[#This Row],[MXN]],1,12,0)</f>
        <v>5815.9668987960249</v>
      </c>
      <c r="AG24" s="3">
        <f>Tabla1[[#This Row],[MXN]]*Tabla1[[#This Row],[InterestR]]</f>
        <v>6759.7250000000004</v>
      </c>
      <c r="AH24" s="5">
        <f t="shared" si="0"/>
        <v>0.11</v>
      </c>
      <c r="AI24" s="3">
        <f>-Tabla1[[#This Row],[TIIE]]*Tabla1[[#This Row],[MXN]]</f>
        <v>-9927.5</v>
      </c>
      <c r="AJ24" s="3">
        <f>IF(Tabla1[[#This Row],[TRUE]]=1,-CUMIPMT(Tabla1[[#This Row],[InterestR]]/12,Tabla1[[#This Row],[YEARS]]*12,Tabla1[[#This Row],[MXN]],1,12,0),-CUMIPMT(Tabla1[[#This Row],[InterestR]]/12,Tabla1[[#This Row],[YEARS]]*12,Tabla1[[#This Row],[MXN]],1,6,0))</f>
        <v>5815.9668987960249</v>
      </c>
      <c r="AK24" s="3">
        <f>+Tabla1[[#This Row],[INCOME_TRUE]]+Tabla1[[#This Row],[COST_TRUE]]</f>
        <v>-4111.5331012039751</v>
      </c>
      <c r="AL24" s="3">
        <f>Tabla1[[#This Row],[COST_TRUE]]*Tabla1[[#This Row],[OUTPUT]]</f>
        <v>-9927.5</v>
      </c>
      <c r="AM24" s="3">
        <f>Tabla1[[#This Row],[OUTPUT]]*IF(Tabla1[[#This Row],[TRUE]]=1,-CUMIPMT(Tabla1[[#This Row],[InterestR]]/12,Tabla1[[#This Row],[YEARS]]*12,Tabla1[[#This Row],[MXN]],1,12,0),-CUMIPMT(Tabla1[[#This Row],[InterestR]]/12,Tabla1[[#This Row],[YEARS]]*12,Tabla1[[#This Row],[MXN]],1,6,0))</f>
        <v>5815.9668987960249</v>
      </c>
      <c r="AN24" s="3">
        <f>Tabla1[[#This Row],[INCOME_PREDICTED]]+Tabla1[[#This Row],[COST_PREDICTED]]</f>
        <v>-4111.5331012039751</v>
      </c>
      <c r="AT24" s="9">
        <f>AT23-0.5%</f>
        <v>9.9999999999999707E-3</v>
      </c>
      <c r="AU24" s="10">
        <v>415969.56862661918</v>
      </c>
      <c r="AV24" s="10">
        <v>29655.246029584956</v>
      </c>
    </row>
    <row r="25" spans="1:48" x14ac:dyDescent="0.3">
      <c r="AT25" s="9">
        <f>AT24-0.5%</f>
        <v>4.9999999999999706E-3</v>
      </c>
      <c r="AU25" s="10">
        <v>440330.29987661919</v>
      </c>
      <c r="AV25" s="10">
        <v>32443.971029584958</v>
      </c>
    </row>
    <row r="26" spans="1:48" x14ac:dyDescent="0.3">
      <c r="AT26" s="9">
        <f t="shared" ref="AT26" si="2">AT25-0.5%</f>
        <v>-2.9490299091605721E-17</v>
      </c>
      <c r="AU26" s="10">
        <v>464691.0311266192</v>
      </c>
      <c r="AV26" s="10">
        <v>35232.696029584957</v>
      </c>
    </row>
    <row r="27" spans="1:48" x14ac:dyDescent="0.3">
      <c r="AT27" s="9"/>
    </row>
    <row r="28" spans="1:48" x14ac:dyDescent="0.3">
      <c r="AT28" s="9"/>
    </row>
    <row r="29" spans="1:48" x14ac:dyDescent="0.3">
      <c r="AT29" s="9"/>
    </row>
    <row r="30" spans="1:48" x14ac:dyDescent="0.3">
      <c r="AT30" s="9"/>
    </row>
    <row r="31" spans="1:48" x14ac:dyDescent="0.3">
      <c r="AT31" s="9"/>
    </row>
    <row r="32" spans="1:48" x14ac:dyDescent="0.3">
      <c r="AT32" s="9"/>
    </row>
    <row r="33" spans="46:46" x14ac:dyDescent="0.3">
      <c r="AT33" s="9"/>
    </row>
  </sheetData>
  <conditionalFormatting sqref="AU4:AV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AH4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D7BF-3BDD-4502-BCB2-F3E5DE1D715D}">
  <dimension ref="B5:G16"/>
  <sheetViews>
    <sheetView workbookViewId="0">
      <selection activeCell="I10" sqref="I10"/>
    </sheetView>
  </sheetViews>
  <sheetFormatPr baseColWidth="10" defaultRowHeight="14.4" x14ac:dyDescent="0.3"/>
  <sheetData>
    <row r="5" spans="2:7" x14ac:dyDescent="0.3">
      <c r="B5">
        <v>216600</v>
      </c>
      <c r="C5">
        <v>0.18989999999999999</v>
      </c>
      <c r="D5">
        <v>5</v>
      </c>
      <c r="E5">
        <v>1</v>
      </c>
      <c r="F5" s="4">
        <f>IPMT($C$5/12,E5,$D$5*12,$B$5,0,0)</f>
        <v>-3427.6949999999997</v>
      </c>
      <c r="G5">
        <f>CUMIPMT(C5/12,D5*12,B5,1,12,0)</f>
        <v>-38720.11001440321</v>
      </c>
    </row>
    <row r="6" spans="2:7" x14ac:dyDescent="0.3">
      <c r="E6">
        <v>2</v>
      </c>
      <c r="F6" s="4">
        <f t="shared" ref="F6:F16" si="0">IPMT($C$5/12,E6,$D$5*12,$B$5,0,0)</f>
        <v>-3393.0408353732582</v>
      </c>
    </row>
    <row r="7" spans="2:7" x14ac:dyDescent="0.3">
      <c r="E7">
        <v>3</v>
      </c>
      <c r="F7" s="4">
        <f t="shared" si="0"/>
        <v>-3357.8382685912984</v>
      </c>
    </row>
    <row r="8" spans="2:7" x14ac:dyDescent="0.3">
      <c r="E8">
        <v>4</v>
      </c>
      <c r="F8" s="4">
        <f t="shared" si="0"/>
        <v>-3322.078621190014</v>
      </c>
    </row>
    <row r="9" spans="2:7" x14ac:dyDescent="0.3">
      <c r="E9">
        <v>5</v>
      </c>
      <c r="F9" s="4">
        <f t="shared" si="0"/>
        <v>-3285.753077368604</v>
      </c>
    </row>
    <row r="10" spans="2:7" x14ac:dyDescent="0.3">
      <c r="E10">
        <v>6</v>
      </c>
      <c r="F10" s="4">
        <f t="shared" si="0"/>
        <v>-3248.85268181622</v>
      </c>
    </row>
    <row r="11" spans="2:7" x14ac:dyDescent="0.3">
      <c r="E11">
        <v>7</v>
      </c>
      <c r="F11" s="4">
        <f t="shared" si="0"/>
        <v>-3211.3683375042201</v>
      </c>
    </row>
    <row r="12" spans="2:7" x14ac:dyDescent="0.3">
      <c r="E12">
        <v>8</v>
      </c>
      <c r="F12" s="4">
        <f t="shared" si="0"/>
        <v>-3173.2908034434818</v>
      </c>
    </row>
    <row r="13" spans="2:7" x14ac:dyDescent="0.3">
      <c r="E13">
        <v>9</v>
      </c>
      <c r="F13" s="4">
        <f t="shared" si="0"/>
        <v>-3134.6106924062333</v>
      </c>
    </row>
    <row r="14" spans="2:7" x14ac:dyDescent="0.3">
      <c r="E14">
        <v>10</v>
      </c>
      <c r="F14" s="4">
        <f t="shared" si="0"/>
        <v>-3095.3184686118202</v>
      </c>
    </row>
    <row r="15" spans="2:7" x14ac:dyDescent="0.3">
      <c r="E15">
        <v>11</v>
      </c>
      <c r="F15" s="4">
        <f t="shared" si="0"/>
        <v>-3055.4044453758606</v>
      </c>
    </row>
    <row r="16" spans="2:7" x14ac:dyDescent="0.3">
      <c r="E16">
        <v>12</v>
      </c>
      <c r="F16" s="4">
        <f t="shared" si="0"/>
        <v>-3014.8587827221922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MANUAL_TESTING</vt:lpstr>
      <vt:lpstr>amort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Rubio</dc:creator>
  <cp:lastModifiedBy>Andres Rubio</cp:lastModifiedBy>
  <dcterms:created xsi:type="dcterms:W3CDTF">2023-03-27T00:09:11Z</dcterms:created>
  <dcterms:modified xsi:type="dcterms:W3CDTF">2023-04-03T04:13:49Z</dcterms:modified>
</cp:coreProperties>
</file>