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embeddings/oleObject9.bin" ContentType="application/vnd.openxmlformats-officedocument.oleObject"/>
  <Override PartName="/xl/embeddings/oleObject10.bin" ContentType="application/vnd.openxmlformats-officedocument.oleObject"/>
  <Override PartName="/xl/embeddings/oleObject11.bin" ContentType="application/vnd.openxmlformats-officedocument.oleObject"/>
  <Override PartName="/xl/embeddings/oleObject12.bin" ContentType="application/vnd.openxmlformats-officedocument.oleObject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erby\Downloads\"/>
    </mc:Choice>
  </mc:AlternateContent>
  <xr:revisionPtr revIDLastSave="0" documentId="13_ncr:1_{3D9B7147-1F4E-4F61-836C-4F29E4480E7C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Answer sheet" sheetId="35" r:id="rId1"/>
    <sheet name="raw data" sheetId="36" r:id="rId2"/>
    <sheet name="Index &amp; TB Model" sheetId="37" r:id="rId3"/>
    <sheet name="Expected Return x 0.5" sheetId="38" r:id="rId4"/>
    <sheet name="Benchmark risk = 0.04" sheetId="39" r:id="rId5"/>
    <sheet name="raw" sheetId="40" r:id="rId6"/>
  </sheets>
  <definedNames>
    <definedName name="solver_adj" localSheetId="3" hidden="1">'Expected Return x 0.5'!$M$41:$M$46</definedName>
    <definedName name="solver_adj" localSheetId="2" hidden="1">'Index &amp; TB Model'!$M$41:$M$46</definedName>
    <definedName name="solver_cvg" localSheetId="3" hidden="1">0.0001</definedName>
    <definedName name="solver_cvg" localSheetId="2" hidden="1">0.0001</definedName>
    <definedName name="solver_drv" localSheetId="3" hidden="1">1</definedName>
    <definedName name="solver_drv" localSheetId="2" hidden="1">1</definedName>
    <definedName name="solver_eng" localSheetId="3" hidden="1">1</definedName>
    <definedName name="solver_eng" localSheetId="2" hidden="1">1</definedName>
    <definedName name="solver_est" localSheetId="3" hidden="1">1</definedName>
    <definedName name="solver_est" localSheetId="2" hidden="1">1</definedName>
    <definedName name="solver_itr" localSheetId="3" hidden="1">2147483647</definedName>
    <definedName name="solver_itr" localSheetId="2" hidden="1">2147483647</definedName>
    <definedName name="solver_lhs1" localSheetId="3" hidden="1">'Expected Return x 0.5'!$M$47</definedName>
    <definedName name="solver_lhs1" localSheetId="2" hidden="1">'Index &amp; TB Model'!$M$47</definedName>
    <definedName name="solver_lhs2" localSheetId="2" hidden="1">'Index &amp; TB Model'!$M$48</definedName>
    <definedName name="solver_mip" localSheetId="3" hidden="1">2147483647</definedName>
    <definedName name="solver_mip" localSheetId="2" hidden="1">2147483647</definedName>
    <definedName name="solver_mni" localSheetId="3" hidden="1">30</definedName>
    <definedName name="solver_mni" localSheetId="2" hidden="1">30</definedName>
    <definedName name="solver_mrt" localSheetId="3" hidden="1">0.075</definedName>
    <definedName name="solver_mrt" localSheetId="2" hidden="1">0.075</definedName>
    <definedName name="solver_msl" localSheetId="3" hidden="1">2</definedName>
    <definedName name="solver_msl" localSheetId="2" hidden="1">2</definedName>
    <definedName name="solver_neg" localSheetId="3" hidden="1">2</definedName>
    <definedName name="solver_neg" localSheetId="2" hidden="1">1</definedName>
    <definedName name="solver_nod" localSheetId="3" hidden="1">2147483647</definedName>
    <definedName name="solver_nod" localSheetId="2" hidden="1">2147483647</definedName>
    <definedName name="solver_num" localSheetId="3" hidden="1">1</definedName>
    <definedName name="solver_num" localSheetId="2" hidden="1">1</definedName>
    <definedName name="solver_nwt" localSheetId="3" hidden="1">1</definedName>
    <definedName name="solver_nwt" localSheetId="2" hidden="1">1</definedName>
    <definedName name="solver_opt" localSheetId="3" hidden="1">'Expected Return x 0.5'!$M$50</definedName>
    <definedName name="solver_opt" localSheetId="2" hidden="1">'Index &amp; TB Model'!$M$50</definedName>
    <definedName name="solver_pre" localSheetId="3" hidden="1">0.000001</definedName>
    <definedName name="solver_pre" localSheetId="2" hidden="1">0.000001</definedName>
    <definedName name="solver_rbv" localSheetId="3" hidden="1">1</definedName>
    <definedName name="solver_rbv" localSheetId="2" hidden="1">1</definedName>
    <definedName name="solver_rel1" localSheetId="3" hidden="1">2</definedName>
    <definedName name="solver_rel1" localSheetId="2" hidden="1">2</definedName>
    <definedName name="solver_rel2" localSheetId="2" hidden="1">2</definedName>
    <definedName name="solver_rhs1" localSheetId="3" hidden="1">1</definedName>
    <definedName name="solver_rhs1" localSheetId="2" hidden="1">1</definedName>
    <definedName name="solver_rhs2" localSheetId="2" hidden="1">0.166</definedName>
    <definedName name="solver_rlx" localSheetId="3" hidden="1">2</definedName>
    <definedName name="solver_rlx" localSheetId="2" hidden="1">2</definedName>
    <definedName name="solver_rsd" localSheetId="3" hidden="1">0</definedName>
    <definedName name="solver_rsd" localSheetId="2" hidden="1">0</definedName>
    <definedName name="solver_scl" localSheetId="3" hidden="1">1</definedName>
    <definedName name="solver_scl" localSheetId="2" hidden="1">1</definedName>
    <definedName name="solver_sho" localSheetId="3" hidden="1">2</definedName>
    <definedName name="solver_sho" localSheetId="2" hidden="1">2</definedName>
    <definedName name="solver_ssz" localSheetId="3" hidden="1">100</definedName>
    <definedName name="solver_ssz" localSheetId="2" hidden="1">100</definedName>
    <definedName name="solver_tim" localSheetId="3" hidden="1">2147483647</definedName>
    <definedName name="solver_tim" localSheetId="2" hidden="1">2147483647</definedName>
    <definedName name="solver_tol" localSheetId="3" hidden="1">0.01</definedName>
    <definedName name="solver_tol" localSheetId="2" hidden="1">0.01</definedName>
    <definedName name="solver_typ" localSheetId="3" hidden="1">1</definedName>
    <definedName name="solver_typ" localSheetId="2" hidden="1">1</definedName>
    <definedName name="solver_val" localSheetId="3" hidden="1">0</definedName>
    <definedName name="solver_val" localSheetId="2" hidden="1">0</definedName>
    <definedName name="solver_ver" localSheetId="3" hidden="1">3</definedName>
    <definedName name="solver_ver" localSheetId="2" hidden="1">3</definedName>
    <definedName name="XX_TEJ1">'raw data'!$A$1:$G$62</definedName>
    <definedName name="XX_TEJ2">'raw data'!$H$1:$H$62</definedName>
    <definedName name="XX_TEJ3">raw!#REF!</definedName>
    <definedName name="XX_TEJ4">raw!#REF!</definedName>
    <definedName name="XX_TEJ5">raw!#REF!</definedName>
    <definedName name="XX_TEJ6">'raw data'!$A$1:$G$135</definedName>
    <definedName name="XX_TEJ7">'raw data'!$H$1:$H$135</definedName>
    <definedName name="XX_TEJ8">raw!#REF!</definedName>
    <definedName name="XX_TEJ9">raw!#REF!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4" i="37" l="1"/>
  <c r="O28" i="37"/>
  <c r="Q56" i="37" l="1"/>
  <c r="R8" i="37" l="1"/>
  <c r="R7" i="37"/>
  <c r="R6" i="37"/>
  <c r="R4" i="37"/>
  <c r="O6" i="37"/>
  <c r="O4" i="37"/>
  <c r="F11" i="35" l="1"/>
  <c r="G11" i="35"/>
  <c r="H11" i="35"/>
  <c r="I11" i="35"/>
  <c r="G12" i="35"/>
  <c r="H12" i="35"/>
  <c r="I12" i="35"/>
  <c r="E39" i="35"/>
  <c r="J11" i="35"/>
  <c r="J12" i="35"/>
  <c r="H13" i="35"/>
  <c r="I13" i="35"/>
  <c r="J13" i="35"/>
  <c r="I14" i="35"/>
  <c r="J14" i="35"/>
  <c r="AA47" i="39"/>
  <c r="P69" i="39"/>
  <c r="AG47" i="39"/>
  <c r="AF47" i="39"/>
  <c r="AE47" i="39"/>
  <c r="AD47" i="39"/>
  <c r="AC47" i="39"/>
  <c r="AB47" i="39"/>
  <c r="Z47" i="39"/>
  <c r="Y47" i="39"/>
  <c r="M47" i="39"/>
  <c r="T45" i="39"/>
  <c r="T44" i="39"/>
  <c r="S44" i="39"/>
  <c r="T43" i="39"/>
  <c r="S43" i="39"/>
  <c r="R43" i="39"/>
  <c r="T42" i="39"/>
  <c r="S42" i="39"/>
  <c r="R42" i="39"/>
  <c r="Q42" i="39"/>
  <c r="T41" i="39"/>
  <c r="S41" i="39"/>
  <c r="R41" i="39"/>
  <c r="Q41" i="39"/>
  <c r="P41" i="39"/>
  <c r="T39" i="39"/>
  <c r="S39" i="39"/>
  <c r="R39" i="39"/>
  <c r="Q39" i="39"/>
  <c r="P39" i="39"/>
  <c r="O39" i="39"/>
  <c r="O27" i="39"/>
  <c r="S32" i="39" s="1"/>
  <c r="O26" i="39"/>
  <c r="R32" i="39" s="1"/>
  <c r="O25" i="39"/>
  <c r="Q32" i="39" s="1"/>
  <c r="O24" i="39"/>
  <c r="P32" i="39" s="1"/>
  <c r="O23" i="39"/>
  <c r="O32" i="39" s="1"/>
  <c r="O22" i="39"/>
  <c r="N32" i="39" s="1"/>
  <c r="Q8" i="39"/>
  <c r="R8" i="39" s="1"/>
  <c r="U56" i="39" s="1"/>
  <c r="O8" i="39"/>
  <c r="R7" i="39"/>
  <c r="T56" i="39" s="1"/>
  <c r="Q7" i="39"/>
  <c r="O7" i="39"/>
  <c r="Q6" i="39"/>
  <c r="R6" i="39" s="1"/>
  <c r="S56" i="39" s="1"/>
  <c r="O6" i="39"/>
  <c r="Q5" i="39"/>
  <c r="R5" i="39" s="1"/>
  <c r="R56" i="39" s="1"/>
  <c r="O5" i="39"/>
  <c r="Q4" i="39"/>
  <c r="R4" i="39" s="1"/>
  <c r="O4" i="39"/>
  <c r="M47" i="38"/>
  <c r="M48" i="38"/>
  <c r="R31" i="38"/>
  <c r="S32" i="38"/>
  <c r="R32" i="38"/>
  <c r="Q32" i="38"/>
  <c r="P32" i="38"/>
  <c r="O32" i="38"/>
  <c r="N32" i="38"/>
  <c r="R23" i="38"/>
  <c r="R24" i="38"/>
  <c r="R25" i="38"/>
  <c r="R26" i="38"/>
  <c r="R27" i="38"/>
  <c r="R22" i="38"/>
  <c r="Q27" i="38"/>
  <c r="Q23" i="38"/>
  <c r="Q24" i="38"/>
  <c r="Q25" i="38"/>
  <c r="Q26" i="38"/>
  <c r="Q22" i="38"/>
  <c r="O31" i="38"/>
  <c r="P31" i="38"/>
  <c r="S31" i="38"/>
  <c r="AG47" i="38"/>
  <c r="AF47" i="38"/>
  <c r="AE47" i="38"/>
  <c r="AD47" i="38"/>
  <c r="AC47" i="38"/>
  <c r="AB47" i="38"/>
  <c r="AA47" i="38"/>
  <c r="Z47" i="38"/>
  <c r="Y47" i="38"/>
  <c r="T45" i="38"/>
  <c r="T44" i="38"/>
  <c r="S44" i="38"/>
  <c r="T43" i="38"/>
  <c r="S43" i="38"/>
  <c r="R43" i="38"/>
  <c r="T42" i="38"/>
  <c r="S42" i="38"/>
  <c r="R42" i="38"/>
  <c r="Q42" i="38"/>
  <c r="T41" i="38"/>
  <c r="S41" i="38"/>
  <c r="R41" i="38"/>
  <c r="Q41" i="38"/>
  <c r="P41" i="38"/>
  <c r="T39" i="38"/>
  <c r="S39" i="38"/>
  <c r="R39" i="38"/>
  <c r="Q39" i="38"/>
  <c r="P39" i="38"/>
  <c r="O39" i="38"/>
  <c r="N65" i="38"/>
  <c r="N31" i="38"/>
  <c r="Q57" i="38" s="1"/>
  <c r="O27" i="38"/>
  <c r="O26" i="38"/>
  <c r="O25" i="38"/>
  <c r="O24" i="38"/>
  <c r="O23" i="38"/>
  <c r="O22" i="38"/>
  <c r="R8" i="38"/>
  <c r="U56" i="38" s="1"/>
  <c r="Q8" i="38"/>
  <c r="O8" i="38"/>
  <c r="R7" i="38"/>
  <c r="T56" i="38" s="1"/>
  <c r="Q7" i="38"/>
  <c r="O7" i="38"/>
  <c r="R6" i="38"/>
  <c r="S56" i="38" s="1"/>
  <c r="Q6" i="38"/>
  <c r="O6" i="38"/>
  <c r="R5" i="38"/>
  <c r="R56" i="38" s="1"/>
  <c r="Q5" i="38"/>
  <c r="O5" i="38"/>
  <c r="R4" i="38"/>
  <c r="Q56" i="38" s="1"/>
  <c r="Q4" i="38"/>
  <c r="O4" i="38"/>
  <c r="AG47" i="37"/>
  <c r="AF47" i="37"/>
  <c r="AE47" i="37"/>
  <c r="AD47" i="37"/>
  <c r="AC47" i="37"/>
  <c r="AB47" i="37"/>
  <c r="AA47" i="37"/>
  <c r="Z47" i="37"/>
  <c r="Y47" i="37"/>
  <c r="M47" i="37"/>
  <c r="T44" i="37"/>
  <c r="S44" i="37"/>
  <c r="T43" i="37"/>
  <c r="S43" i="37"/>
  <c r="R43" i="37"/>
  <c r="T42" i="37"/>
  <c r="S42" i="37"/>
  <c r="R42" i="37"/>
  <c r="Q42" i="37"/>
  <c r="T41" i="37"/>
  <c r="S41" i="37"/>
  <c r="R41" i="37"/>
  <c r="Q41" i="37"/>
  <c r="P41" i="37"/>
  <c r="T39" i="37"/>
  <c r="S39" i="37"/>
  <c r="R39" i="37"/>
  <c r="Q39" i="37"/>
  <c r="P39" i="37"/>
  <c r="O39" i="37"/>
  <c r="O27" i="37"/>
  <c r="S32" i="37" s="1"/>
  <c r="S31" i="37" s="1"/>
  <c r="O26" i="37"/>
  <c r="R32" i="37" s="1"/>
  <c r="O25" i="37"/>
  <c r="Q32" i="37" s="1"/>
  <c r="O24" i="37"/>
  <c r="P32" i="37" s="1"/>
  <c r="G20" i="35" s="1"/>
  <c r="O23" i="37"/>
  <c r="O32" i="37" s="1"/>
  <c r="F20" i="35" s="1"/>
  <c r="O22" i="37"/>
  <c r="Q8" i="37"/>
  <c r="U56" i="37" s="1"/>
  <c r="O8" i="37"/>
  <c r="Q7" i="37"/>
  <c r="T56" i="37" s="1"/>
  <c r="O7" i="37"/>
  <c r="Q6" i="37"/>
  <c r="S56" i="37" s="1"/>
  <c r="Q5" i="37"/>
  <c r="O5" i="37"/>
  <c r="Q4" i="37"/>
  <c r="O31" i="37" l="1"/>
  <c r="F19" i="35" s="1"/>
  <c r="R5" i="37"/>
  <c r="R56" i="37" s="1"/>
  <c r="Q31" i="37"/>
  <c r="H19" i="35" s="1"/>
  <c r="H20" i="35"/>
  <c r="R31" i="37"/>
  <c r="I19" i="35" s="1"/>
  <c r="I20" i="35"/>
  <c r="M48" i="37"/>
  <c r="N65" i="37"/>
  <c r="N32" i="37"/>
  <c r="R31" i="39"/>
  <c r="U57" i="39" s="1"/>
  <c r="M48" i="39"/>
  <c r="S31" i="39"/>
  <c r="N65" i="39"/>
  <c r="N31" i="39"/>
  <c r="Q57" i="39" s="1"/>
  <c r="O31" i="39"/>
  <c r="R57" i="39" s="1"/>
  <c r="Q56" i="39"/>
  <c r="Q31" i="39"/>
  <c r="T57" i="39" s="1"/>
  <c r="P31" i="39"/>
  <c r="S57" i="39" s="1"/>
  <c r="Q31" i="38"/>
  <c r="T57" i="38" s="1"/>
  <c r="U57" i="38"/>
  <c r="R57" i="38"/>
  <c r="S57" i="38"/>
  <c r="P31" i="37"/>
  <c r="U57" i="37" l="1"/>
  <c r="R57" i="37"/>
  <c r="T57" i="37"/>
  <c r="N7" i="37"/>
  <c r="N9" i="37"/>
  <c r="P5" i="37" s="1"/>
  <c r="N8" i="37"/>
  <c r="N6" i="37"/>
  <c r="N5" i="37"/>
  <c r="N31" i="37"/>
  <c r="Q57" i="37" s="1"/>
  <c r="E20" i="35"/>
  <c r="S57" i="37"/>
  <c r="G19" i="35"/>
  <c r="N6" i="39"/>
  <c r="N7" i="38"/>
  <c r="N9" i="38"/>
  <c r="P19" i="38" s="1"/>
  <c r="P46" i="38" s="1"/>
  <c r="N8" i="39"/>
  <c r="N9" i="39"/>
  <c r="N7" i="39"/>
  <c r="N6" i="38"/>
  <c r="N5" i="38"/>
  <c r="N5" i="39"/>
  <c r="N8" i="38"/>
  <c r="O57" i="39"/>
  <c r="U58" i="39" s="1"/>
  <c r="U59" i="39" s="1"/>
  <c r="O57" i="38"/>
  <c r="Q58" i="38" s="1"/>
  <c r="R17" i="37" l="1"/>
  <c r="R44" i="37" s="1"/>
  <c r="O17" i="37"/>
  <c r="R18" i="37"/>
  <c r="O15" i="37"/>
  <c r="O16" i="37"/>
  <c r="E13" i="35" s="1"/>
  <c r="O18" i="37"/>
  <c r="E19" i="35"/>
  <c r="O57" i="37"/>
  <c r="P8" i="37"/>
  <c r="T18" i="37" s="1"/>
  <c r="P16" i="37"/>
  <c r="F13" i="35" s="1"/>
  <c r="P6" i="38"/>
  <c r="P4" i="38"/>
  <c r="Q19" i="38"/>
  <c r="Q46" i="38" s="1"/>
  <c r="O16" i="38"/>
  <c r="O43" i="38" s="1"/>
  <c r="O15" i="38"/>
  <c r="O42" i="38" s="1"/>
  <c r="R17" i="38"/>
  <c r="R44" i="38" s="1"/>
  <c r="P7" i="38"/>
  <c r="Q18" i="38"/>
  <c r="Q45" i="38" s="1"/>
  <c r="R19" i="37"/>
  <c r="S19" i="37"/>
  <c r="I16" i="35" s="1"/>
  <c r="S19" i="38"/>
  <c r="S46" i="38" s="1"/>
  <c r="O19" i="37"/>
  <c r="E16" i="35" s="1"/>
  <c r="O18" i="38"/>
  <c r="O45" i="38" s="1"/>
  <c r="O14" i="38"/>
  <c r="O41" i="38" s="1"/>
  <c r="T19" i="37"/>
  <c r="T46" i="37" s="1"/>
  <c r="N66" i="38"/>
  <c r="N67" i="38" s="1"/>
  <c r="O19" i="38"/>
  <c r="O46" i="38" s="1"/>
  <c r="P4" i="37"/>
  <c r="P18" i="37"/>
  <c r="P45" i="37" s="1"/>
  <c r="P6" i="37"/>
  <c r="P9" i="37"/>
  <c r="Q19" i="37"/>
  <c r="Q46" i="37" s="1"/>
  <c r="S18" i="37"/>
  <c r="S45" i="37" s="1"/>
  <c r="R19" i="38"/>
  <c r="R46" i="38" s="1"/>
  <c r="R18" i="38"/>
  <c r="R45" i="38" s="1"/>
  <c r="P8" i="38"/>
  <c r="O17" i="38"/>
  <c r="O44" i="38" s="1"/>
  <c r="P9" i="38"/>
  <c r="P5" i="38"/>
  <c r="P18" i="38"/>
  <c r="P45" i="38" s="1"/>
  <c r="P16" i="38"/>
  <c r="P43" i="38" s="1"/>
  <c r="P15" i="38"/>
  <c r="P42" i="38" s="1"/>
  <c r="Q17" i="38"/>
  <c r="Q44" i="38" s="1"/>
  <c r="Q16" i="38"/>
  <c r="Q43" i="38" s="1"/>
  <c r="P17" i="38"/>
  <c r="P44" i="38" s="1"/>
  <c r="P7" i="37"/>
  <c r="P15" i="37"/>
  <c r="S18" i="38"/>
  <c r="S45" i="38" s="1"/>
  <c r="T19" i="38"/>
  <c r="T46" i="38" s="1"/>
  <c r="T47" i="38" s="1"/>
  <c r="N66" i="37"/>
  <c r="P17" i="37"/>
  <c r="Q18" i="37"/>
  <c r="Q45" i="37" s="1"/>
  <c r="P19" i="37"/>
  <c r="Q17" i="37"/>
  <c r="Q44" i="37" s="1"/>
  <c r="Q16" i="37"/>
  <c r="N66" i="39"/>
  <c r="N67" i="39" s="1"/>
  <c r="P16" i="39"/>
  <c r="P43" i="39" s="1"/>
  <c r="O17" i="39"/>
  <c r="O44" i="39" s="1"/>
  <c r="P19" i="39"/>
  <c r="P46" i="39" s="1"/>
  <c r="O18" i="39"/>
  <c r="O45" i="39" s="1"/>
  <c r="P4" i="39"/>
  <c r="R19" i="39"/>
  <c r="R46" i="39" s="1"/>
  <c r="P8" i="39"/>
  <c r="P9" i="39"/>
  <c r="P15" i="39"/>
  <c r="P42" i="39" s="1"/>
  <c r="Q19" i="39"/>
  <c r="Q46" i="39" s="1"/>
  <c r="O14" i="39"/>
  <c r="O41" i="39" s="1"/>
  <c r="P6" i="39"/>
  <c r="P17" i="39"/>
  <c r="P44" i="39" s="1"/>
  <c r="T19" i="39"/>
  <c r="T46" i="39" s="1"/>
  <c r="T47" i="39" s="1"/>
  <c r="O16" i="39"/>
  <c r="O43" i="39" s="1"/>
  <c r="O19" i="39"/>
  <c r="O46" i="39" s="1"/>
  <c r="R18" i="39"/>
  <c r="R45" i="39" s="1"/>
  <c r="O15" i="39"/>
  <c r="O42" i="39" s="1"/>
  <c r="P18" i="39"/>
  <c r="P45" i="39" s="1"/>
  <c r="Q17" i="39"/>
  <c r="Q44" i="39" s="1"/>
  <c r="S19" i="39"/>
  <c r="S46" i="39" s="1"/>
  <c r="P5" i="39"/>
  <c r="S18" i="39"/>
  <c r="S45" i="39" s="1"/>
  <c r="Q18" i="39"/>
  <c r="Q45" i="39" s="1"/>
  <c r="R17" i="39"/>
  <c r="R44" i="39" s="1"/>
  <c r="P7" i="39"/>
  <c r="Q16" i="39"/>
  <c r="Q43" i="39" s="1"/>
  <c r="T58" i="39"/>
  <c r="T59" i="39" s="1"/>
  <c r="R58" i="39"/>
  <c r="R59" i="39" s="1"/>
  <c r="Q58" i="39"/>
  <c r="Q59" i="39"/>
  <c r="S58" i="39"/>
  <c r="S59" i="39" s="1"/>
  <c r="S58" i="38"/>
  <c r="S59" i="38" s="1"/>
  <c r="T58" i="38"/>
  <c r="T59" i="38" s="1"/>
  <c r="R58" i="38"/>
  <c r="R59" i="38" s="1"/>
  <c r="U58" i="38"/>
  <c r="U59" i="38" s="1"/>
  <c r="Q59" i="38"/>
  <c r="J15" i="35" l="1"/>
  <c r="T45" i="37"/>
  <c r="T47" i="37" s="1"/>
  <c r="S58" i="37"/>
  <c r="S59" i="37" s="1"/>
  <c r="Q58" i="37"/>
  <c r="Q59" i="37" s="1"/>
  <c r="U58" i="37"/>
  <c r="U59" i="37" s="1"/>
  <c r="R58" i="37"/>
  <c r="R59" i="37" s="1"/>
  <c r="T58" i="37"/>
  <c r="T59" i="37" s="1"/>
  <c r="O46" i="37"/>
  <c r="S46" i="37"/>
  <c r="S47" i="37" s="1"/>
  <c r="O43" i="37"/>
  <c r="P43" i="37"/>
  <c r="J16" i="35"/>
  <c r="R47" i="39"/>
  <c r="O47" i="38"/>
  <c r="Q47" i="38"/>
  <c r="G16" i="35"/>
  <c r="S47" i="38"/>
  <c r="R47" i="38"/>
  <c r="G15" i="35"/>
  <c r="F15" i="35"/>
  <c r="E15" i="35"/>
  <c r="O45" i="37"/>
  <c r="I15" i="35"/>
  <c r="P47" i="38"/>
  <c r="R45" i="37"/>
  <c r="H15" i="35"/>
  <c r="H14" i="35"/>
  <c r="R46" i="37"/>
  <c r="H16" i="35"/>
  <c r="P47" i="39"/>
  <c r="F16" i="35"/>
  <c r="P46" i="37"/>
  <c r="O41" i="37"/>
  <c r="E11" i="35"/>
  <c r="P42" i="37"/>
  <c r="F12" i="35"/>
  <c r="N67" i="37"/>
  <c r="G14" i="35"/>
  <c r="E12" i="35"/>
  <c r="O42" i="37"/>
  <c r="S47" i="39"/>
  <c r="Q43" i="37"/>
  <c r="Q47" i="37" s="1"/>
  <c r="G13" i="35"/>
  <c r="P44" i="37"/>
  <c r="F14" i="35"/>
  <c r="O44" i="37"/>
  <c r="E14" i="35"/>
  <c r="Q47" i="39"/>
  <c r="O47" i="39"/>
  <c r="O60" i="39"/>
  <c r="O64" i="39"/>
  <c r="O63" i="39" s="1"/>
  <c r="O61" i="39"/>
  <c r="O58" i="39"/>
  <c r="O60" i="38"/>
  <c r="O64" i="38"/>
  <c r="O58" i="38"/>
  <c r="O61" i="38"/>
  <c r="O61" i="37" l="1"/>
  <c r="O60" i="37"/>
  <c r="O64" i="37"/>
  <c r="O58" i="37"/>
  <c r="M49" i="39"/>
  <c r="M50" i="39" s="1"/>
  <c r="R47" i="37"/>
  <c r="P47" i="37"/>
  <c r="M49" i="38"/>
  <c r="M50" i="38" s="1"/>
  <c r="O47" i="37"/>
  <c r="T63" i="39"/>
  <c r="E38" i="35"/>
  <c r="O65" i="39"/>
  <c r="O66" i="39"/>
  <c r="U63" i="39"/>
  <c r="N63" i="39"/>
  <c r="P64" i="39" s="1"/>
  <c r="P66" i="39" s="1"/>
  <c r="R63" i="39"/>
  <c r="S63" i="39"/>
  <c r="Q63" i="39"/>
  <c r="O62" i="39"/>
  <c r="AA61" i="39"/>
  <c r="O65" i="38"/>
  <c r="O62" i="38"/>
  <c r="O63" i="38" s="1"/>
  <c r="T63" i="38" s="1"/>
  <c r="H36" i="35" s="1"/>
  <c r="O66" i="38"/>
  <c r="O67" i="38" s="1"/>
  <c r="O68" i="38" s="1"/>
  <c r="O65" i="37" l="1"/>
  <c r="O62" i="37"/>
  <c r="O63" i="37" s="1"/>
  <c r="O66" i="37"/>
  <c r="M49" i="37"/>
  <c r="M50" i="37" s="1"/>
  <c r="P65" i="39"/>
  <c r="O67" i="39"/>
  <c r="O68" i="39" s="1"/>
  <c r="U63" i="38"/>
  <c r="I36" i="35" s="1"/>
  <c r="P69" i="38"/>
  <c r="S63" i="38"/>
  <c r="G36" i="35" s="1"/>
  <c r="R63" i="38"/>
  <c r="F36" i="35" s="1"/>
  <c r="N63" i="38"/>
  <c r="Q63" i="38"/>
  <c r="E36" i="35" s="1"/>
  <c r="O67" i="37" l="1"/>
  <c r="O68" i="37" s="1"/>
  <c r="R63" i="37"/>
  <c r="F30" i="35" s="1"/>
  <c r="E27" i="35"/>
  <c r="U63" i="37"/>
  <c r="I30" i="35" s="1"/>
  <c r="P69" i="37"/>
  <c r="E33" i="35" s="1"/>
  <c r="N63" i="37"/>
  <c r="J30" i="35" s="1"/>
  <c r="S63" i="37"/>
  <c r="G30" i="35" s="1"/>
  <c r="T63" i="37"/>
  <c r="H30" i="35" s="1"/>
  <c r="Q63" i="37"/>
  <c r="E30" i="35" s="1"/>
  <c r="P65" i="38"/>
  <c r="J36" i="35"/>
  <c r="P64" i="38"/>
  <c r="P66" i="38" s="1"/>
  <c r="AA62" i="39"/>
  <c r="E40" i="35" s="1"/>
  <c r="N80" i="39"/>
  <c r="P67" i="39"/>
  <c r="P68" i="39" s="1"/>
  <c r="P64" i="37" l="1"/>
  <c r="P66" i="37" s="1"/>
  <c r="P65" i="37"/>
  <c r="P67" i="38"/>
  <c r="P68" i="38" s="1"/>
  <c r="N84" i="39"/>
  <c r="O84" i="39" s="1"/>
  <c r="E46" i="35" s="1"/>
  <c r="E42" i="35"/>
  <c r="N83" i="39"/>
  <c r="O83" i="39" s="1"/>
  <c r="E45" i="35" s="1"/>
  <c r="N82" i="39"/>
  <c r="O82" i="39" s="1"/>
  <c r="E44" i="35" s="1"/>
  <c r="N81" i="39"/>
  <c r="O81" i="39" s="1"/>
  <c r="E43" i="35" s="1"/>
  <c r="N86" i="39"/>
  <c r="O86" i="39" s="1"/>
  <c r="E48" i="35" s="1"/>
  <c r="N85" i="39"/>
  <c r="O85" i="39" s="1"/>
  <c r="E47" i="35" s="1"/>
  <c r="N87" i="39"/>
  <c r="O87" i="39" s="1"/>
  <c r="E49" i="35" s="1"/>
  <c r="P67" i="37" l="1"/>
  <c r="P68" i="37" s="1"/>
  <c r="N4" i="39" l="1"/>
  <c r="N4" i="37"/>
  <c r="N4" i="38"/>
</calcChain>
</file>

<file path=xl/sharedStrings.xml><?xml version="1.0" encoding="utf-8"?>
<sst xmlns="http://schemas.openxmlformats.org/spreadsheetml/2006/main" count="831" uniqueCount="149">
  <si>
    <r>
      <rPr>
        <sz val="12"/>
        <color theme="1"/>
        <rFont val="標楷體"/>
        <family val="4"/>
        <charset val="136"/>
      </rPr>
      <t>評分</t>
    </r>
  </si>
  <si>
    <r>
      <rPr>
        <sz val="12"/>
        <color theme="1"/>
        <rFont val="標楷體"/>
        <family val="4"/>
        <charset val="136"/>
      </rPr>
      <t>題號</t>
    </r>
  </si>
  <si>
    <t>答案與說明欄</t>
  </si>
  <si>
    <r>
      <rPr>
        <sz val="12"/>
        <color theme="1"/>
        <rFont val="Times New Roman"/>
        <family val="1"/>
      </rPr>
      <t xml:space="preserve">3. </t>
    </r>
    <r>
      <rPr>
        <sz val="12"/>
        <color theme="1"/>
        <rFont val="標楷體"/>
        <family val="4"/>
        <charset val="136"/>
      </rPr>
      <t>所有答案請四捨五入到小數點後四位</t>
    </r>
  </si>
  <si>
    <t>see</t>
  </si>
  <si>
    <r>
      <rPr>
        <sz val="12"/>
        <color theme="1"/>
        <rFont val="Times New Roman"/>
        <family val="1"/>
      </rPr>
      <t xml:space="preserve">1301 </t>
    </r>
    <r>
      <rPr>
        <sz val="12"/>
        <color theme="1"/>
        <rFont val="標楷體"/>
        <family val="4"/>
        <charset val="136"/>
      </rPr>
      <t>台塑</t>
    </r>
  </si>
  <si>
    <r>
      <rPr>
        <sz val="12"/>
        <color theme="1"/>
        <rFont val="Times New Roman"/>
        <family val="1"/>
      </rPr>
      <t xml:space="preserve">2002 </t>
    </r>
    <r>
      <rPr>
        <sz val="12"/>
        <color theme="1"/>
        <rFont val="標楷體"/>
        <family val="4"/>
        <charset val="136"/>
      </rPr>
      <t>中鋼</t>
    </r>
  </si>
  <si>
    <r>
      <rPr>
        <sz val="12"/>
        <color theme="1"/>
        <rFont val="Times New Roman"/>
        <family val="1"/>
      </rPr>
      <t xml:space="preserve">2382 </t>
    </r>
    <r>
      <rPr>
        <sz val="12"/>
        <color theme="1"/>
        <rFont val="標楷體"/>
        <family val="4"/>
        <charset val="136"/>
      </rPr>
      <t>廣達</t>
    </r>
  </si>
  <si>
    <r>
      <rPr>
        <sz val="12"/>
        <color theme="1"/>
        <rFont val="Times New Roman"/>
        <family val="1"/>
      </rPr>
      <t xml:space="preserve">2882 </t>
    </r>
    <r>
      <rPr>
        <sz val="12"/>
        <color theme="1"/>
        <rFont val="標楷體"/>
        <family val="4"/>
        <charset val="136"/>
      </rPr>
      <t>國泰金</t>
    </r>
  </si>
  <si>
    <r>
      <rPr>
        <sz val="12"/>
        <color theme="1"/>
        <rFont val="Times New Roman"/>
        <family val="1"/>
      </rPr>
      <t xml:space="preserve">2912 </t>
    </r>
    <r>
      <rPr>
        <sz val="12"/>
        <color theme="1"/>
        <rFont val="標楷體"/>
        <family val="4"/>
        <charset val="136"/>
      </rPr>
      <t>統一超</t>
    </r>
  </si>
  <si>
    <t>beta</t>
  </si>
  <si>
    <r>
      <t>σ</t>
    </r>
    <r>
      <rPr>
        <i/>
        <vertAlign val="superscript"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>(</t>
    </r>
    <r>
      <rPr>
        <i/>
        <sz val="11"/>
        <color theme="1"/>
        <rFont val="Times New Roman"/>
        <family val="1"/>
      </rPr>
      <t>e</t>
    </r>
    <r>
      <rPr>
        <i/>
        <vertAlign val="subscript"/>
        <sz val="11"/>
        <color theme="1"/>
        <rFont val="Times New Roman"/>
        <family val="1"/>
      </rPr>
      <t>i</t>
    </r>
    <r>
      <rPr>
        <sz val="11"/>
        <color theme="1"/>
        <rFont val="Times New Roman"/>
        <family val="1"/>
      </rPr>
      <t>)</t>
    </r>
  </si>
  <si>
    <r>
      <rPr>
        <sz val="12"/>
        <rFont val="Times New Roman"/>
        <family val="1"/>
      </rPr>
      <t xml:space="preserve">2912 </t>
    </r>
    <r>
      <rPr>
        <sz val="12"/>
        <rFont val="標楷體"/>
        <family val="4"/>
        <charset val="136"/>
      </rPr>
      <t>統一超</t>
    </r>
  </si>
  <si>
    <r>
      <rPr>
        <sz val="12"/>
        <rFont val="Times New Roman"/>
        <family val="1"/>
      </rPr>
      <t xml:space="preserve">0050 </t>
    </r>
    <r>
      <rPr>
        <sz val="12"/>
        <rFont val="標楷體"/>
        <family val="4"/>
        <charset val="136"/>
      </rPr>
      <t>元大台灣</t>
    </r>
    <r>
      <rPr>
        <sz val="12"/>
        <rFont val="Times New Roman"/>
        <family val="1"/>
      </rPr>
      <t>50</t>
    </r>
  </si>
  <si>
    <r>
      <rPr>
        <sz val="12"/>
        <color theme="1"/>
        <rFont val="Times New Roman"/>
        <family val="1"/>
      </rPr>
      <t xml:space="preserve">0050 </t>
    </r>
    <r>
      <rPr>
        <sz val="12"/>
        <color theme="1"/>
        <rFont val="標楷體"/>
        <family val="4"/>
        <charset val="136"/>
      </rPr>
      <t>元大台灣</t>
    </r>
    <r>
      <rPr>
        <sz val="12"/>
        <color theme="1"/>
        <rFont val="Times New Roman"/>
        <family val="1"/>
      </rPr>
      <t>50</t>
    </r>
  </si>
  <si>
    <t>alpha</t>
  </si>
  <si>
    <t>risk premium</t>
  </si>
  <si>
    <t>optimal weight</t>
  </si>
  <si>
    <r>
      <rPr>
        <i/>
        <sz val="11"/>
        <color theme="1"/>
        <rFont val="Times New Roman"/>
        <family val="1"/>
      </rPr>
      <t>w</t>
    </r>
    <r>
      <rPr>
        <vertAlign val="superscript"/>
        <sz val="11"/>
        <color theme="1"/>
        <rFont val="Times New Roman"/>
        <family val="1"/>
      </rPr>
      <t>*</t>
    </r>
    <r>
      <rPr>
        <i/>
        <vertAlign val="subscript"/>
        <sz val="11"/>
        <color theme="1"/>
        <rFont val="Times New Roman"/>
        <family val="1"/>
      </rPr>
      <t>A</t>
    </r>
  </si>
  <si>
    <t>benchmark risk</t>
  </si>
  <si>
    <t>information ratio</t>
  </si>
  <si>
    <t>expected return of P</t>
  </si>
  <si>
    <t xml:space="preserve">y* </t>
  </si>
  <si>
    <t>invest 1301</t>
  </si>
  <si>
    <t>invest 2002</t>
  </si>
  <si>
    <t>invest 2382</t>
  </si>
  <si>
    <t>invest 2882</t>
  </si>
  <si>
    <t>invest 2912</t>
  </si>
  <si>
    <t>invest 0050</t>
  </si>
  <si>
    <t>Wdeposit</t>
  </si>
  <si>
    <r>
      <t xml:space="preserve">1.  </t>
    </r>
    <r>
      <rPr>
        <sz val="12"/>
        <color theme="1"/>
        <rFont val="標楷體"/>
        <family val="4"/>
        <charset val="136"/>
      </rPr>
      <t>將各題答案填進藍色方框中</t>
    </r>
    <phoneticPr fontId="17" type="noConversion"/>
  </si>
  <si>
    <t>2. 請將藍色方框中答案的參考頁籤填在C欄位 Ex: see worksheet "TB model" B8:C8</t>
    <phoneticPr fontId="17" type="noConversion"/>
  </si>
  <si>
    <t>1301 台塑</t>
  </si>
  <si>
    <t>2002 中鋼</t>
  </si>
  <si>
    <t>2382 廣達</t>
  </si>
  <si>
    <t>2882 國泰金</t>
  </si>
  <si>
    <t>2912 統一超</t>
  </si>
  <si>
    <t>0050 元大台灣50</t>
  </si>
  <si>
    <t>摘要輸出</t>
  </si>
  <si>
    <t>迴歸統計</t>
  </si>
  <si>
    <t>R 的倍數</t>
  </si>
  <si>
    <t>R 平方</t>
  </si>
  <si>
    <t>調整的 R 平方</t>
  </si>
  <si>
    <t>標準誤</t>
  </si>
  <si>
    <t>觀察值個數</t>
  </si>
  <si>
    <t>ANOVA</t>
  </si>
  <si>
    <t>迴歸</t>
  </si>
  <si>
    <t>殘差</t>
  </si>
  <si>
    <t>總和</t>
  </si>
  <si>
    <t>截距</t>
  </si>
  <si>
    <t>自由度</t>
  </si>
  <si>
    <t>SS</t>
  </si>
  <si>
    <t>MS</t>
  </si>
  <si>
    <t>F</t>
  </si>
  <si>
    <t>顯著值</t>
  </si>
  <si>
    <t>係數</t>
  </si>
  <si>
    <t>t 統計</t>
  </si>
  <si>
    <t>P-值</t>
  </si>
  <si>
    <t>下限 95%</t>
  </si>
  <si>
    <t>上限 95%</t>
  </si>
  <si>
    <t>下限 95.0%</t>
  </si>
  <si>
    <t>上限 95.0%</t>
  </si>
  <si>
    <t>X 變數 1</t>
  </si>
  <si>
    <t>beta</t>
    <phoneticPr fontId="17" type="noConversion"/>
  </si>
  <si>
    <t>firm specific(m)</t>
    <phoneticPr fontId="17" type="noConversion"/>
  </si>
  <si>
    <t>firm specific(y)</t>
    <phoneticPr fontId="17" type="noConversion"/>
  </si>
  <si>
    <t>systematic</t>
    <phoneticPr fontId="17" type="noConversion"/>
  </si>
  <si>
    <t>SD</t>
  </si>
  <si>
    <t>SD</t>
    <phoneticPr fontId="17" type="noConversion"/>
  </si>
  <si>
    <t>sd</t>
    <phoneticPr fontId="17" type="noConversion"/>
  </si>
  <si>
    <t>annualized</t>
    <phoneticPr fontId="17" type="noConversion"/>
  </si>
  <si>
    <t xml:space="preserve"> </t>
    <phoneticPr fontId="17" type="noConversion"/>
  </si>
  <si>
    <t>cov matrix</t>
    <phoneticPr fontId="17" type="noConversion"/>
  </si>
  <si>
    <t>Q2</t>
    <phoneticPr fontId="17" type="noConversion"/>
  </si>
  <si>
    <t>Q3</t>
    <phoneticPr fontId="17" type="noConversion"/>
  </si>
  <si>
    <t>Q4</t>
    <phoneticPr fontId="17" type="noConversion"/>
  </si>
  <si>
    <t>forecasted annual returns</t>
    <phoneticPr fontId="17" type="noConversion"/>
  </si>
  <si>
    <t>risk-free</t>
    <phoneticPr fontId="17" type="noConversion"/>
  </si>
  <si>
    <t>forecasted annual excess returns</t>
    <phoneticPr fontId="17" type="noConversion"/>
  </si>
  <si>
    <t>Alpha</t>
  </si>
  <si>
    <t>Risk premium</t>
  </si>
  <si>
    <t>Mean</t>
  </si>
  <si>
    <t>Slope</t>
  </si>
  <si>
    <t>min var</t>
    <phoneticPr fontId="19" type="noConversion"/>
  </si>
  <si>
    <t>optimal</t>
    <phoneticPr fontId="19" type="noConversion"/>
  </si>
  <si>
    <t>weights</t>
    <phoneticPr fontId="19" type="noConversion"/>
  </si>
  <si>
    <t>CAL*  E(r)</t>
    <phoneticPr fontId="22"/>
  </si>
  <si>
    <t>*Risk premium on CAL = SD * slope</t>
    <phoneticPr fontId="19" type="noConversion"/>
  </si>
  <si>
    <t xml:space="preserve"> </t>
    <phoneticPr fontId="19" type="noConversion"/>
  </si>
  <si>
    <t>Efficient frontier without short sales</t>
    <phoneticPr fontId="19" type="noConversion"/>
  </si>
  <si>
    <t>w/o short sales</t>
    <phoneticPr fontId="19" type="noConversion"/>
  </si>
  <si>
    <t xml:space="preserve">Table D:  Computation of the Optimal Risky Portfolio </t>
  </si>
  <si>
    <t>0050 Yuanta Taiwan Top50</t>
  </si>
  <si>
    <t>Active Pf A</t>
  </si>
  <si>
    <t>αA</t>
  </si>
  <si>
    <t>σ(eA)2</t>
  </si>
  <si>
    <t>W0</t>
  </si>
  <si>
    <t>Overall</t>
  </si>
  <si>
    <t>W*</t>
  </si>
  <si>
    <t>Portfolio</t>
  </si>
  <si>
    <t>Beta</t>
  </si>
  <si>
    <t>Sharpe Ratio</t>
  </si>
  <si>
    <t>M-Square</t>
  </si>
  <si>
    <t>Benchmark Risk</t>
  </si>
  <si>
    <t>Q56</t>
    <phoneticPr fontId="17" type="noConversion"/>
  </si>
  <si>
    <t>Q789</t>
    <phoneticPr fontId="17" type="noConversion"/>
  </si>
  <si>
    <t>Q10</t>
    <phoneticPr fontId="17" type="noConversion"/>
  </si>
  <si>
    <r>
      <t xml:space="preserve">1301 </t>
    </r>
    <r>
      <rPr>
        <sz val="12"/>
        <color theme="1"/>
        <rFont val="新細明體"/>
        <family val="1"/>
        <charset val="136"/>
      </rPr>
      <t>台塑</t>
    </r>
  </si>
  <si>
    <r>
      <t xml:space="preserve">2002 </t>
    </r>
    <r>
      <rPr>
        <sz val="12"/>
        <color theme="1"/>
        <rFont val="新細明體"/>
        <family val="1"/>
        <charset val="136"/>
      </rPr>
      <t>中鋼</t>
    </r>
  </si>
  <si>
    <r>
      <t xml:space="preserve">2382 </t>
    </r>
    <r>
      <rPr>
        <sz val="12"/>
        <color theme="1"/>
        <rFont val="新細明體"/>
        <family val="1"/>
        <charset val="136"/>
      </rPr>
      <t>廣達</t>
    </r>
  </si>
  <si>
    <r>
      <t xml:space="preserve">2882 </t>
    </r>
    <r>
      <rPr>
        <sz val="12"/>
        <color theme="1"/>
        <rFont val="新細明體"/>
        <family val="1"/>
        <charset val="136"/>
      </rPr>
      <t>國泰金</t>
    </r>
  </si>
  <si>
    <r>
      <t xml:space="preserve">2912 </t>
    </r>
    <r>
      <rPr>
        <sz val="12"/>
        <color theme="1"/>
        <rFont val="新細明體"/>
        <family val="1"/>
        <charset val="136"/>
      </rPr>
      <t>統一超</t>
    </r>
  </si>
  <si>
    <r>
      <t xml:space="preserve">0050 </t>
    </r>
    <r>
      <rPr>
        <sz val="12"/>
        <color theme="1"/>
        <rFont val="新細明體"/>
        <family val="1"/>
        <charset val="136"/>
      </rPr>
      <t>元大台灣</t>
    </r>
    <r>
      <rPr>
        <sz val="12"/>
        <color theme="1"/>
        <rFont val="Times New Roman"/>
        <family val="1"/>
      </rPr>
      <t>50</t>
    </r>
  </si>
  <si>
    <t>0.5expected return</t>
    <phoneticPr fontId="17" type="noConversion"/>
  </si>
  <si>
    <t>new excess return</t>
    <phoneticPr fontId="17" type="noConversion"/>
  </si>
  <si>
    <t>info ratio</t>
    <phoneticPr fontId="17" type="noConversion"/>
  </si>
  <si>
    <t>expected return</t>
    <phoneticPr fontId="17" type="noConversion"/>
  </si>
  <si>
    <t>Q12</t>
    <phoneticPr fontId="17" type="noConversion"/>
  </si>
  <si>
    <t>allocate</t>
    <phoneticPr fontId="19" type="noConversion"/>
  </si>
  <si>
    <t>NTD</t>
    <phoneticPr fontId="19" type="noConversion"/>
  </si>
  <si>
    <t>A =</t>
    <phoneticPr fontId="19" type="noConversion"/>
  </si>
  <si>
    <t>weight</t>
    <phoneticPr fontId="19" type="noConversion"/>
  </si>
  <si>
    <t>y*</t>
    <phoneticPr fontId="19" type="noConversion"/>
  </si>
  <si>
    <t>Wdeposit</t>
    <phoneticPr fontId="19" type="noConversion"/>
  </si>
  <si>
    <t>Q11</t>
    <phoneticPr fontId="17" type="noConversion"/>
  </si>
  <si>
    <t>invest 1301</t>
    <phoneticPr fontId="19" type="noConversion"/>
  </si>
  <si>
    <t>invest 2002</t>
    <phoneticPr fontId="19" type="noConversion"/>
  </si>
  <si>
    <t>invest 2382</t>
    <phoneticPr fontId="19" type="noConversion"/>
  </si>
  <si>
    <t>invest 2882</t>
    <phoneticPr fontId="19" type="noConversion"/>
  </si>
  <si>
    <t>invest 2912</t>
    <phoneticPr fontId="17" type="noConversion"/>
  </si>
  <si>
    <t>invest 0050</t>
    <phoneticPr fontId="17" type="noConversion"/>
  </si>
  <si>
    <t>6925 意藍</t>
  </si>
  <si>
    <t>年月日</t>
  </si>
  <si>
    <t>3211 順達</t>
  </si>
  <si>
    <t>3363 上詮</t>
  </si>
  <si>
    <t>6223 旺矽</t>
  </si>
  <si>
    <t>2072 世紀風電</t>
  </si>
  <si>
    <t>006201 元大富櫃50</t>
  </si>
  <si>
    <t>firm specific(w)</t>
    <phoneticPr fontId="17" type="noConversion"/>
  </si>
  <si>
    <t>Mean</t>
    <phoneticPr fontId="17" type="noConversion"/>
  </si>
  <si>
    <r>
      <t xml:space="preserve">3211 </t>
    </r>
    <r>
      <rPr>
        <sz val="12"/>
        <color theme="1"/>
        <rFont val="新細明體"/>
        <family val="1"/>
        <charset val="136"/>
      </rPr>
      <t>順達</t>
    </r>
  </si>
  <si>
    <r>
      <t xml:space="preserve">6925 </t>
    </r>
    <r>
      <rPr>
        <sz val="12"/>
        <color theme="1"/>
        <rFont val="新細明體"/>
        <family val="1"/>
        <charset val="136"/>
      </rPr>
      <t>意藍</t>
    </r>
  </si>
  <si>
    <r>
      <t xml:space="preserve">3363 </t>
    </r>
    <r>
      <rPr>
        <sz val="12"/>
        <color theme="1"/>
        <rFont val="新細明體"/>
        <family val="1"/>
        <charset val="136"/>
      </rPr>
      <t>上詮</t>
    </r>
  </si>
  <si>
    <r>
      <t xml:space="preserve">6223 </t>
    </r>
    <r>
      <rPr>
        <sz val="12"/>
        <color theme="1"/>
        <rFont val="新細明體"/>
        <family val="1"/>
        <charset val="136"/>
      </rPr>
      <t>旺矽</t>
    </r>
  </si>
  <si>
    <r>
      <t xml:space="preserve">2072 </t>
    </r>
    <r>
      <rPr>
        <sz val="12"/>
        <color theme="1"/>
        <rFont val="新細明體"/>
        <family val="1"/>
        <charset val="136"/>
      </rPr>
      <t>世紀風電</t>
    </r>
  </si>
  <si>
    <r>
      <t xml:space="preserve">006201 </t>
    </r>
    <r>
      <rPr>
        <sz val="12"/>
        <color theme="1"/>
        <rFont val="新細明體"/>
        <family val="1"/>
        <charset val="136"/>
      </rPr>
      <t>元大富櫃</t>
    </r>
    <r>
      <rPr>
        <sz val="12"/>
        <color theme="1"/>
        <rFont val="Times New Roman"/>
        <family val="1"/>
      </rPr>
      <t>50</t>
    </r>
  </si>
  <si>
    <t>MB64_Y</t>
    <phoneticPr fontId="17" type="noConversion"/>
  </si>
  <si>
    <t>SotckID</t>
    <phoneticPr fontId="19" type="noConversion"/>
  </si>
  <si>
    <t>forecasted_excess_return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</si>
</sst>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4" formatCode="_-&quot;$&quot;* #,##0.00_-;\-&quot;$&quot;* #,##0.00_-;_-&quot;$&quot;* &quot;-&quot;??_-;_-@_-"/>
    <numFmt numFmtId="43" formatCode="_-* #,##0.00_-;\-* #,##0.00_-;_-* &quot;-&quot;??_-;_-@_-"/>
    <numFmt numFmtId="176" formatCode="0_);\(0\)"/>
    <numFmt numFmtId="177" formatCode="0.0000"/>
    <numFmt numFmtId="178" formatCode="#,##0.0000"/>
    <numFmt numFmtId="179" formatCode="_-* #,##0_-;\-* #,##0_-;_-* &quot;-&quot;??_-;_-@_-"/>
    <numFmt numFmtId="180" formatCode="0.000_ "/>
    <numFmt numFmtId="181" formatCode="0.00000"/>
    <numFmt numFmtId="182" formatCode="0.0000_ "/>
    <numFmt numFmtId="183" formatCode="_-* #,##0.0000_-;\-* #,##0.0000_-;_-* &quot;-&quot;??_-;_-@_-"/>
    <numFmt numFmtId="184" formatCode="0.000"/>
  </numFmts>
  <fonts count="34">
    <font>
      <sz val="12"/>
      <color theme="1"/>
      <name val="新細明體"/>
      <charset val="136"/>
      <scheme val="minor"/>
    </font>
    <font>
      <sz val="12"/>
      <color theme="1"/>
      <name val="Times New Roman"/>
      <family val="1"/>
    </font>
    <font>
      <sz val="12"/>
      <color theme="1"/>
      <name val="標楷體"/>
      <family val="4"/>
      <charset val="136"/>
    </font>
    <font>
      <sz val="12"/>
      <name val="Times New Roman"/>
      <family val="1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  <font>
      <sz val="12"/>
      <color rgb="FFFF0000"/>
      <name val="Times New Roman"/>
      <family val="1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  <font>
      <sz val="11"/>
      <color theme="1"/>
      <name val="新細明體"/>
      <family val="2"/>
      <scheme val="minor"/>
    </font>
    <font>
      <sz val="10"/>
      <name val="Geneva"/>
      <family val="1"/>
    </font>
    <font>
      <sz val="10"/>
      <name val="Verdana"/>
      <family val="2"/>
    </font>
    <font>
      <sz val="12"/>
      <name val="標楷體"/>
      <family val="4"/>
      <charset val="136"/>
    </font>
    <font>
      <vertAlign val="superscript"/>
      <sz val="11"/>
      <color theme="1"/>
      <name val="Times New Roman"/>
      <family val="1"/>
    </font>
    <font>
      <i/>
      <vertAlign val="subscript"/>
      <sz val="11"/>
      <color theme="1"/>
      <name val="Times New Roman"/>
      <family val="1"/>
    </font>
    <font>
      <i/>
      <vertAlign val="superscript"/>
      <sz val="11"/>
      <color theme="1"/>
      <name val="Times New Roman"/>
      <family val="1"/>
    </font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sz val="12"/>
      <color rgb="FFFF0000"/>
      <name val="新細明體"/>
      <family val="1"/>
      <charset val="136"/>
      <scheme val="minor"/>
    </font>
    <font>
      <sz val="9"/>
      <name val="新細明體"/>
      <family val="2"/>
      <charset val="136"/>
      <scheme val="minor"/>
    </font>
    <font>
      <sz val="12"/>
      <color indexed="12"/>
      <name val="Times New Roman"/>
      <family val="1"/>
    </font>
    <font>
      <sz val="12"/>
      <color rgb="FF0000FF"/>
      <name val="Times New Roman"/>
      <family val="1"/>
    </font>
    <font>
      <sz val="8"/>
      <name val="Verdana"/>
      <family val="2"/>
    </font>
    <font>
      <sz val="12"/>
      <color indexed="20"/>
      <name val="Times New Roman"/>
      <family val="1"/>
    </font>
    <font>
      <sz val="12"/>
      <color theme="1"/>
      <name val="新細明體"/>
      <family val="2"/>
      <charset val="136"/>
    </font>
    <font>
      <i/>
      <sz val="12"/>
      <name val="Times New Roman"/>
      <family val="1"/>
    </font>
    <font>
      <sz val="11"/>
      <color rgb="FF000000"/>
      <name val="Times New Roman"/>
      <family val="1"/>
    </font>
    <font>
      <i/>
      <sz val="11"/>
      <color rgb="FF000000"/>
      <name val="Times New Roman"/>
      <family val="1"/>
    </font>
    <font>
      <sz val="12"/>
      <color theme="1"/>
      <name val="新細明體"/>
      <family val="1"/>
      <charset val="136"/>
    </font>
    <font>
      <b/>
      <sz val="12"/>
      <color rgb="FFFF0000"/>
      <name val="Times New Roman"/>
      <family val="1"/>
    </font>
    <font>
      <sz val="12"/>
      <color rgb="FFFF0000"/>
      <name val="新細明體"/>
      <family val="1"/>
      <scheme val="minor"/>
    </font>
    <font>
      <b/>
      <sz val="12"/>
      <color rgb="FFFF0000"/>
      <name val="新細明體"/>
      <family val="1"/>
      <charset val="136"/>
      <scheme val="minor"/>
    </font>
    <font>
      <b/>
      <sz val="12"/>
      <color rgb="FFFF0000"/>
      <name val="新細明體"/>
      <family val="1"/>
      <scheme val="minor"/>
    </font>
    <font>
      <sz val="12"/>
      <color rgb="FF000000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89013336588644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CDDC"/>
        <bgColor rgb="FF000000"/>
      </patternFill>
    </fill>
    <fill>
      <patternFill patternType="solid">
        <fgColor rgb="FFCCFFFF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99CCFF"/>
        <bgColor rgb="FF000000"/>
      </patternFill>
    </fill>
  </fills>
  <borders count="23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9">
    <xf numFmtId="0" fontId="0" fillId="0" borderId="0">
      <alignment vertical="center"/>
    </xf>
    <xf numFmtId="43" fontId="16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10" fillId="0" borderId="0"/>
    <xf numFmtId="0" fontId="11" fillId="0" borderId="0"/>
    <xf numFmtId="0" fontId="16" fillId="0" borderId="0">
      <alignment vertical="center"/>
    </xf>
    <xf numFmtId="43" fontId="16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44" fontId="16" fillId="0" borderId="0" applyFont="0" applyFill="0" applyBorder="0" applyAlignment="0" applyProtection="0">
      <alignment vertical="center"/>
    </xf>
  </cellStyleXfs>
  <cellXfs count="110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2" borderId="0" xfId="0" applyFont="1" applyFill="1" applyAlignment="1">
      <alignment horizontal="center" vertical="center"/>
    </xf>
    <xf numFmtId="49" fontId="1" fillId="2" borderId="0" xfId="0" applyNumberFormat="1" applyFont="1" applyFill="1" applyAlignment="1">
      <alignment horizontal="center" vertical="center"/>
    </xf>
    <xf numFmtId="176" fontId="3" fillId="0" borderId="0" xfId="5" applyNumberFormat="1" applyFont="1" applyAlignment="1">
      <alignment horizontal="center" vertical="center"/>
    </xf>
    <xf numFmtId="0" fontId="1" fillId="0" borderId="0" xfId="5" applyFont="1">
      <alignment vertical="center"/>
    </xf>
    <xf numFmtId="0" fontId="1" fillId="0" borderId="0" xfId="5" applyFont="1" applyAlignment="1">
      <alignment vertical="center" wrapText="1"/>
    </xf>
    <xf numFmtId="176" fontId="3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77" fontId="1" fillId="3" borderId="0" xfId="0" applyNumberFormat="1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177" fontId="6" fillId="0" borderId="0" xfId="0" applyNumberFormat="1" applyFont="1">
      <alignment vertical="center"/>
    </xf>
    <xf numFmtId="177" fontId="1" fillId="0" borderId="0" xfId="0" applyNumberFormat="1" applyFont="1" applyAlignment="1">
      <alignment horizontal="center" vertical="center"/>
    </xf>
    <xf numFmtId="177" fontId="1" fillId="0" borderId="0" xfId="0" applyNumberFormat="1" applyFont="1">
      <alignment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178" fontId="1" fillId="3" borderId="0" xfId="1" applyNumberFormat="1" applyFont="1" applyFill="1" applyAlignment="1">
      <alignment horizontal="center" vertical="center"/>
    </xf>
    <xf numFmtId="179" fontId="1" fillId="0" borderId="0" xfId="1" applyNumberFormat="1" applyFont="1" applyFill="1" applyAlignment="1">
      <alignment horizontal="center" vertical="center"/>
    </xf>
    <xf numFmtId="0" fontId="3" fillId="0" borderId="0" xfId="4" applyFont="1" applyAlignment="1">
      <alignment horizontal="center"/>
    </xf>
    <xf numFmtId="0" fontId="12" fillId="0" borderId="0" xfId="5" applyFont="1">
      <alignment vertical="center"/>
    </xf>
    <xf numFmtId="14" fontId="0" fillId="0" borderId="0" xfId="0" applyNumberFormat="1">
      <alignment vertical="center"/>
    </xf>
    <xf numFmtId="14" fontId="0" fillId="0" borderId="2" xfId="0" applyNumberFormat="1" applyBorder="1">
      <alignment vertical="center"/>
    </xf>
    <xf numFmtId="0" fontId="0" fillId="0" borderId="2" xfId="0" applyBorder="1">
      <alignment vertical="center"/>
    </xf>
    <xf numFmtId="0" fontId="16" fillId="0" borderId="1" xfId="0" applyFont="1" applyBorder="1" applyAlignment="1">
      <alignment horizontal="center" vertical="center"/>
    </xf>
    <xf numFmtId="0" fontId="16" fillId="0" borderId="0" xfId="0" applyFont="1">
      <alignment vertical="center"/>
    </xf>
    <xf numFmtId="0" fontId="16" fillId="2" borderId="0" xfId="0" applyFont="1" applyFill="1">
      <alignment vertical="center"/>
    </xf>
    <xf numFmtId="0" fontId="16" fillId="0" borderId="4" xfId="0" applyFont="1" applyBorder="1" applyAlignment="1">
      <alignment horizontal="center" vertical="center"/>
    </xf>
    <xf numFmtId="0" fontId="16" fillId="0" borderId="4" xfId="0" applyFont="1" applyBorder="1" applyAlignment="1">
      <alignment horizontal="centerContinuous" vertical="center"/>
    </xf>
    <xf numFmtId="0" fontId="16" fillId="0" borderId="0" xfId="0" applyFont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18" fillId="0" borderId="2" xfId="0" applyFont="1" applyBorder="1">
      <alignment vertical="center"/>
    </xf>
    <xf numFmtId="0" fontId="18" fillId="0" borderId="0" xfId="0" applyFont="1">
      <alignment vertical="center"/>
    </xf>
    <xf numFmtId="177" fontId="0" fillId="0" borderId="0" xfId="0" applyNumberFormat="1">
      <alignment vertical="center"/>
    </xf>
    <xf numFmtId="180" fontId="0" fillId="0" borderId="0" xfId="0" applyNumberFormat="1">
      <alignment vertical="center"/>
    </xf>
    <xf numFmtId="0" fontId="3" fillId="0" borderId="5" xfId="4" applyFont="1" applyBorder="1"/>
    <xf numFmtId="0" fontId="3" fillId="0" borderId="6" xfId="4" applyFont="1" applyBorder="1"/>
    <xf numFmtId="177" fontId="3" fillId="0" borderId="0" xfId="0" applyNumberFormat="1" applyFont="1" applyAlignment="1"/>
    <xf numFmtId="0" fontId="3" fillId="0" borderId="0" xfId="0" applyFont="1" applyAlignment="1"/>
    <xf numFmtId="0" fontId="3" fillId="0" borderId="0" xfId="3" applyFont="1"/>
    <xf numFmtId="0" fontId="20" fillId="0" borderId="5" xfId="3" applyFont="1" applyBorder="1"/>
    <xf numFmtId="0" fontId="21" fillId="0" borderId="0" xfId="0" applyFont="1">
      <alignment vertical="center"/>
    </xf>
    <xf numFmtId="0" fontId="20" fillId="0" borderId="7" xfId="0" applyFont="1" applyBorder="1" applyAlignment="1"/>
    <xf numFmtId="0" fontId="3" fillId="0" borderId="6" xfId="0" applyFont="1" applyBorder="1" applyAlignment="1"/>
    <xf numFmtId="0" fontId="1" fillId="0" borderId="7" xfId="0" applyFont="1" applyBorder="1">
      <alignment vertical="center"/>
    </xf>
    <xf numFmtId="0" fontId="3" fillId="0" borderId="6" xfId="3" applyFont="1" applyBorder="1"/>
    <xf numFmtId="177" fontId="23" fillId="0" borderId="0" xfId="0" applyNumberFormat="1" applyFont="1" applyAlignment="1"/>
    <xf numFmtId="177" fontId="3" fillId="0" borderId="0" xfId="0" applyNumberFormat="1" applyFont="1">
      <alignment vertical="center"/>
    </xf>
    <xf numFmtId="177" fontId="21" fillId="0" borderId="0" xfId="0" applyNumberFormat="1" applyFont="1">
      <alignment vertical="center"/>
    </xf>
    <xf numFmtId="0" fontId="3" fillId="0" borderId="0" xfId="4" applyFont="1"/>
    <xf numFmtId="0" fontId="24" fillId="0" borderId="0" xfId="0" applyFont="1">
      <alignment vertical="center"/>
    </xf>
    <xf numFmtId="0" fontId="3" fillId="0" borderId="8" xfId="4" applyFont="1" applyBorder="1"/>
    <xf numFmtId="0" fontId="25" fillId="0" borderId="5" xfId="4" applyFont="1" applyBorder="1" applyAlignment="1">
      <alignment horizontal="center"/>
    </xf>
    <xf numFmtId="181" fontId="3" fillId="5" borderId="8" xfId="4" applyNumberFormat="1" applyFont="1" applyFill="1" applyBorder="1"/>
    <xf numFmtId="181" fontId="3" fillId="5" borderId="9" xfId="4" applyNumberFormat="1" applyFont="1" applyFill="1" applyBorder="1"/>
    <xf numFmtId="181" fontId="3" fillId="5" borderId="10" xfId="4" applyNumberFormat="1" applyFont="1" applyFill="1" applyBorder="1"/>
    <xf numFmtId="0" fontId="3" fillId="0" borderId="11" xfId="4" applyFont="1" applyBorder="1"/>
    <xf numFmtId="177" fontId="3" fillId="6" borderId="7" xfId="4" applyNumberFormat="1" applyFont="1" applyFill="1" applyBorder="1"/>
    <xf numFmtId="177" fontId="3" fillId="6" borderId="11" xfId="4" applyNumberFormat="1" applyFont="1" applyFill="1" applyBorder="1"/>
    <xf numFmtId="0" fontId="3" fillId="0" borderId="12" xfId="4" applyFont="1" applyBorder="1"/>
    <xf numFmtId="177" fontId="3" fillId="0" borderId="6" xfId="4" applyNumberFormat="1" applyFont="1" applyBorder="1"/>
    <xf numFmtId="177" fontId="3" fillId="6" borderId="12" xfId="4" applyNumberFormat="1" applyFont="1" applyFill="1" applyBorder="1"/>
    <xf numFmtId="0" fontId="26" fillId="0" borderId="0" xfId="0" applyFont="1">
      <alignment vertical="center"/>
    </xf>
    <xf numFmtId="177" fontId="3" fillId="6" borderId="5" xfId="4" applyNumberFormat="1" applyFont="1" applyFill="1" applyBorder="1"/>
    <xf numFmtId="0" fontId="3" fillId="0" borderId="9" xfId="4" applyFont="1" applyBorder="1"/>
    <xf numFmtId="0" fontId="27" fillId="0" borderId="0" xfId="0" applyFont="1">
      <alignment vertical="center"/>
    </xf>
    <xf numFmtId="0" fontId="3" fillId="0" borderId="7" xfId="4" applyFont="1" applyBorder="1"/>
    <xf numFmtId="0" fontId="3" fillId="0" borderId="13" xfId="4" applyFont="1" applyBorder="1" applyAlignment="1">
      <alignment horizontal="center"/>
    </xf>
    <xf numFmtId="177" fontId="3" fillId="7" borderId="7" xfId="4" applyNumberFormat="1" applyFont="1" applyFill="1" applyBorder="1"/>
    <xf numFmtId="177" fontId="3" fillId="7" borderId="11" xfId="4" applyNumberFormat="1" applyFont="1" applyFill="1" applyBorder="1"/>
    <xf numFmtId="0" fontId="3" fillId="0" borderId="14" xfId="4" applyFont="1" applyBorder="1" applyAlignment="1">
      <alignment horizontal="center"/>
    </xf>
    <xf numFmtId="177" fontId="3" fillId="7" borderId="15" xfId="4" applyNumberFormat="1" applyFont="1" applyFill="1" applyBorder="1"/>
    <xf numFmtId="0" fontId="3" fillId="0" borderId="16" xfId="4" applyFont="1" applyBorder="1"/>
    <xf numFmtId="177" fontId="3" fillId="6" borderId="17" xfId="4" applyNumberFormat="1" applyFont="1" applyFill="1" applyBorder="1"/>
    <xf numFmtId="177" fontId="3" fillId="6" borderId="13" xfId="4" applyNumberFormat="1" applyFont="1" applyFill="1" applyBorder="1"/>
    <xf numFmtId="177" fontId="3" fillId="6" borderId="19" xfId="4" applyNumberFormat="1" applyFont="1" applyFill="1" applyBorder="1"/>
    <xf numFmtId="177" fontId="3" fillId="6" borderId="18" xfId="4" applyNumberFormat="1" applyFont="1" applyFill="1" applyBorder="1"/>
    <xf numFmtId="0" fontId="3" fillId="0" borderId="18" xfId="4" applyFont="1" applyBorder="1"/>
    <xf numFmtId="0" fontId="3" fillId="0" borderId="20" xfId="4" applyFont="1" applyBorder="1"/>
    <xf numFmtId="177" fontId="3" fillId="6" borderId="21" xfId="4" applyNumberFormat="1" applyFont="1" applyFill="1" applyBorder="1"/>
    <xf numFmtId="177" fontId="3" fillId="6" borderId="22" xfId="4" applyNumberFormat="1" applyFont="1" applyFill="1" applyBorder="1"/>
    <xf numFmtId="180" fontId="3" fillId="8" borderId="18" xfId="4" applyNumberFormat="1" applyFont="1" applyFill="1" applyBorder="1"/>
    <xf numFmtId="0" fontId="1" fillId="0" borderId="1" xfId="0" applyFont="1" applyBorder="1" applyAlignment="1">
      <alignment horizontal="center" vertical="center"/>
    </xf>
    <xf numFmtId="180" fontId="1" fillId="0" borderId="0" xfId="0" applyNumberFormat="1" applyFont="1">
      <alignment vertical="center"/>
    </xf>
    <xf numFmtId="177" fontId="29" fillId="7" borderId="11" xfId="4" applyNumberFormat="1" applyFont="1" applyFill="1" applyBorder="1"/>
    <xf numFmtId="0" fontId="30" fillId="0" borderId="0" xfId="0" applyFont="1">
      <alignment vertical="center"/>
    </xf>
    <xf numFmtId="177" fontId="30" fillId="0" borderId="0" xfId="0" applyNumberFormat="1" applyFont="1">
      <alignment vertical="center"/>
    </xf>
    <xf numFmtId="180" fontId="30" fillId="0" borderId="0" xfId="0" applyNumberFormat="1" applyFont="1">
      <alignment vertical="center"/>
    </xf>
    <xf numFmtId="177" fontId="29" fillId="6" borderId="22" xfId="4" applyNumberFormat="1" applyFont="1" applyFill="1" applyBorder="1"/>
    <xf numFmtId="0" fontId="31" fillId="0" borderId="0" xfId="0" applyFont="1">
      <alignment vertical="center"/>
    </xf>
    <xf numFmtId="182" fontId="31" fillId="0" borderId="0" xfId="0" applyNumberFormat="1" applyFont="1">
      <alignment vertical="center"/>
    </xf>
    <xf numFmtId="177" fontId="32" fillId="0" borderId="0" xfId="0" applyNumberFormat="1" applyFont="1">
      <alignment vertical="center"/>
    </xf>
    <xf numFmtId="179" fontId="1" fillId="0" borderId="0" xfId="1" applyNumberFormat="1" applyFont="1">
      <alignment vertical="center"/>
    </xf>
    <xf numFmtId="0" fontId="1" fillId="4" borderId="0" xfId="0" applyFont="1" applyFill="1">
      <alignment vertical="center"/>
    </xf>
    <xf numFmtId="179" fontId="1" fillId="4" borderId="0" xfId="1" applyNumberFormat="1" applyFont="1" applyFill="1">
      <alignment vertical="center"/>
    </xf>
    <xf numFmtId="183" fontId="1" fillId="0" borderId="0" xfId="1" applyNumberFormat="1" applyFont="1" applyAlignment="1">
      <alignment horizontal="center" vertical="center"/>
    </xf>
    <xf numFmtId="183" fontId="1" fillId="3" borderId="0" xfId="1" applyNumberFormat="1" applyFont="1" applyFill="1" applyAlignment="1">
      <alignment horizontal="center" vertical="center"/>
    </xf>
    <xf numFmtId="177" fontId="6" fillId="3" borderId="0" xfId="0" applyNumberFormat="1" applyFont="1" applyFill="1" applyAlignment="1">
      <alignment horizontal="center" vertical="center"/>
    </xf>
    <xf numFmtId="14" fontId="16" fillId="0" borderId="3" xfId="0" applyNumberFormat="1" applyFont="1" applyBorder="1" applyAlignment="1">
      <alignment horizontal="center" vertical="center"/>
    </xf>
    <xf numFmtId="177" fontId="0" fillId="0" borderId="2" xfId="0" applyNumberFormat="1" applyBorder="1">
      <alignment vertical="center"/>
    </xf>
    <xf numFmtId="0" fontId="6" fillId="0" borderId="0" xfId="0" applyFont="1">
      <alignment vertical="center"/>
    </xf>
    <xf numFmtId="184" fontId="1" fillId="0" borderId="0" xfId="0" applyNumberFormat="1" applyFont="1" applyAlignment="1">
      <alignment horizontal="center" vertical="center"/>
    </xf>
    <xf numFmtId="184" fontId="1" fillId="0" borderId="0" xfId="0" applyNumberFormat="1" applyFont="1">
      <alignment vertical="center"/>
    </xf>
    <xf numFmtId="0" fontId="2" fillId="2" borderId="0" xfId="0" applyFont="1" applyFill="1" applyAlignment="1">
      <alignment horizontal="left" vertical="center"/>
    </xf>
    <xf numFmtId="0" fontId="1" fillId="2" borderId="0" xfId="0" applyFont="1" applyFill="1">
      <alignment vertical="center"/>
    </xf>
    <xf numFmtId="0" fontId="1" fillId="0" borderId="0" xfId="0" applyFont="1">
      <alignment vertical="center"/>
    </xf>
    <xf numFmtId="0" fontId="3" fillId="0" borderId="0" xfId="3" applyFont="1" applyAlignment="1">
      <alignment horizontal="left"/>
    </xf>
    <xf numFmtId="2" fontId="33" fillId="0" borderId="0" xfId="0" applyNumberFormat="1" applyFont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 wrapText="1"/>
    </xf>
  </cellXfs>
  <cellStyles count="9">
    <cellStyle name="Normal 2" xfId="2" xr:uid="{00000000-0005-0000-0000-000031000000}"/>
    <cellStyle name="Normal_Ch8(5ed)" xfId="3" xr:uid="{00000000-0005-0000-0000-000032000000}"/>
    <cellStyle name="Normal_Ch8_7e.xls" xfId="4" xr:uid="{00000000-0005-0000-0000-000033000000}"/>
    <cellStyle name="一般" xfId="0" builtinId="0"/>
    <cellStyle name="一般 3" xfId="5" xr:uid="{00000000-0005-0000-0000-000034000000}"/>
    <cellStyle name="千分位" xfId="1" builtinId="3"/>
    <cellStyle name="千分位 2" xfId="6" xr:uid="{00000000-0005-0000-0000-000035000000}"/>
    <cellStyle name="百分比 2" xfId="7" xr:uid="{00000000-0005-0000-0000-000036000000}"/>
    <cellStyle name="貨幣 2" xfId="8" xr:uid="{00000000-0005-0000-0000-00003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CAL</a:t>
            </a:r>
            <a:r>
              <a:rPr lang="zh-TW" altLang="en-US"/>
              <a:t> </a:t>
            </a:r>
            <a:r>
              <a:rPr lang="en-US" altLang="zh-TW"/>
              <a:t>&amp; EF</a:t>
            </a:r>
            <a:r>
              <a:rPr lang="en-US" altLang="zh-TW" baseline="0"/>
              <a:t> w/o ss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'Index &amp; TB Model'!$X$39:$AG$39</c:f>
              <c:numCache>
                <c:formatCode>0.0000</c:formatCode>
                <c:ptCount val="10"/>
                <c:pt idx="0" formatCode="General">
                  <c:v>0</c:v>
                </c:pt>
              </c:numCache>
            </c:numRef>
          </c:xVal>
          <c:yVal>
            <c:numRef>
              <c:f>'Index &amp; TB Model'!$X$47:$AG$47</c:f>
              <c:numCache>
                <c:formatCode>0.0000</c:formatCode>
                <c:ptCount val="10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8E1-4581-A9F8-910AB2FD6871}"/>
            </c:ext>
          </c:extLst>
        </c:ser>
        <c:ser>
          <c:idx val="1"/>
          <c:order val="1"/>
          <c:tx>
            <c:v>EF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'Index &amp; TB Model'!$Y$39:$AG$39</c:f>
              <c:numCache>
                <c:formatCode>0.0000</c:formatCode>
                <c:ptCount val="9"/>
              </c:numCache>
            </c:numRef>
          </c:xVal>
          <c:yVal>
            <c:numRef>
              <c:f>'Index &amp; TB Model'!$Y$38:$AG$38</c:f>
              <c:numCache>
                <c:formatCode>0.0000</c:formatCode>
                <c:ptCount val="9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8E1-4581-A9F8-910AB2FD68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333679"/>
        <c:axId val="697333199"/>
      </c:scatterChart>
      <c:valAx>
        <c:axId val="697333679"/>
        <c:scaling>
          <c:orientation val="minMax"/>
          <c:min val="8.0000000000000016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SD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97333199"/>
        <c:crosses val="autoZero"/>
        <c:crossBetween val="midCat"/>
      </c:valAx>
      <c:valAx>
        <c:axId val="697333199"/>
        <c:scaling>
          <c:orientation val="minMax"/>
          <c:min val="0.1200000000000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Excess</a:t>
                </a:r>
                <a:r>
                  <a:rPr lang="en-US" altLang="zh-TW" baseline="0"/>
                  <a:t> Return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973336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CAL</a:t>
            </a:r>
            <a:r>
              <a:rPr lang="zh-TW" altLang="en-US"/>
              <a:t> </a:t>
            </a:r>
            <a:r>
              <a:rPr lang="en-US" altLang="zh-TW"/>
              <a:t>&amp; EF</a:t>
            </a:r>
            <a:r>
              <a:rPr lang="en-US" altLang="zh-TW" baseline="0"/>
              <a:t> w/o ss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'Index &amp; TB Model'!$X$39:$AG$39</c:f>
              <c:numCache>
                <c:formatCode>0.0000</c:formatCode>
                <c:ptCount val="10"/>
                <c:pt idx="0" formatCode="General">
                  <c:v>0</c:v>
                </c:pt>
              </c:numCache>
            </c:numRef>
          </c:xVal>
          <c:yVal>
            <c:numRef>
              <c:f>'Index &amp; TB Model'!$X$47:$AG$47</c:f>
              <c:numCache>
                <c:formatCode>0.0000</c:formatCode>
                <c:ptCount val="10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743-4593-B5C9-02AF1969C1C2}"/>
            </c:ext>
          </c:extLst>
        </c:ser>
        <c:ser>
          <c:idx val="1"/>
          <c:order val="1"/>
          <c:tx>
            <c:v>EF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'Index &amp; TB Model'!$Y$39:$AG$39</c:f>
              <c:numCache>
                <c:formatCode>0.0000</c:formatCode>
                <c:ptCount val="9"/>
              </c:numCache>
            </c:numRef>
          </c:xVal>
          <c:yVal>
            <c:numRef>
              <c:f>'Index &amp; TB Model'!$Y$38:$AG$38</c:f>
              <c:numCache>
                <c:formatCode>0.0000</c:formatCode>
                <c:ptCount val="9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743-4593-B5C9-02AF1969C1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333679"/>
        <c:axId val="697333199"/>
      </c:scatterChart>
      <c:valAx>
        <c:axId val="697333679"/>
        <c:scaling>
          <c:orientation val="minMax"/>
          <c:min val="8.0000000000000016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SD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97333199"/>
        <c:crosses val="autoZero"/>
        <c:crossBetween val="midCat"/>
      </c:valAx>
      <c:valAx>
        <c:axId val="697333199"/>
        <c:scaling>
          <c:orientation val="minMax"/>
          <c:min val="0.1200000000000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Excess</a:t>
                </a:r>
                <a:r>
                  <a:rPr lang="en-US" altLang="zh-TW" baseline="0"/>
                  <a:t> Return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973336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CAL</a:t>
            </a:r>
            <a:r>
              <a:rPr lang="zh-TW" altLang="en-US"/>
              <a:t> </a:t>
            </a:r>
            <a:r>
              <a:rPr lang="en-US" altLang="zh-TW"/>
              <a:t>&amp; EF</a:t>
            </a:r>
            <a:r>
              <a:rPr lang="en-US" altLang="zh-TW" baseline="0"/>
              <a:t> w/o ss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'Index &amp; TB Model'!$X$39:$AG$39</c:f>
              <c:numCache>
                <c:formatCode>0.0000</c:formatCode>
                <c:ptCount val="10"/>
                <c:pt idx="0" formatCode="General">
                  <c:v>0</c:v>
                </c:pt>
              </c:numCache>
            </c:numRef>
          </c:xVal>
          <c:yVal>
            <c:numRef>
              <c:f>'Index &amp; TB Model'!$X$47:$AG$47</c:f>
              <c:numCache>
                <c:formatCode>0.0000</c:formatCode>
                <c:ptCount val="10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20E-42BB-82E8-459A63F32A59}"/>
            </c:ext>
          </c:extLst>
        </c:ser>
        <c:ser>
          <c:idx val="1"/>
          <c:order val="1"/>
          <c:tx>
            <c:v>EF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'Index &amp; TB Model'!$Y$39:$AG$39</c:f>
              <c:numCache>
                <c:formatCode>0.0000</c:formatCode>
                <c:ptCount val="9"/>
              </c:numCache>
            </c:numRef>
          </c:xVal>
          <c:yVal>
            <c:numRef>
              <c:f>'Index &amp; TB Model'!$Y$38:$AG$38</c:f>
              <c:numCache>
                <c:formatCode>0.0000</c:formatCode>
                <c:ptCount val="9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20E-42BB-82E8-459A63F32A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333679"/>
        <c:axId val="697333199"/>
      </c:scatterChart>
      <c:valAx>
        <c:axId val="697333679"/>
        <c:scaling>
          <c:orientation val="minMax"/>
          <c:min val="8.0000000000000016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SD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97333199"/>
        <c:crosses val="autoZero"/>
        <c:crossBetween val="midCat"/>
      </c:valAx>
      <c:valAx>
        <c:axId val="697333199"/>
        <c:scaling>
          <c:orientation val="minMax"/>
          <c:min val="0.1200000000000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Excess</a:t>
                </a:r>
                <a:r>
                  <a:rPr lang="en-US" altLang="zh-TW" baseline="0"/>
                  <a:t> Return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973336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chart" Target="../charts/chart1.xml"/><Relationship Id="rId4" Type="http://schemas.openxmlformats.org/officeDocument/2006/relationships/image" Target="../media/image7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chart" Target="../charts/chart2.xml"/><Relationship Id="rId4" Type="http://schemas.openxmlformats.org/officeDocument/2006/relationships/image" Target="../media/image7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chart" Target="../charts/chart3.xml"/><Relationship Id="rId5" Type="http://schemas.openxmlformats.org/officeDocument/2006/relationships/image" Target="../media/image8.png"/><Relationship Id="rId4" Type="http://schemas.openxmlformats.org/officeDocument/2006/relationships/image" Target="../media/image7.png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wmf"/><Relationship Id="rId2" Type="http://schemas.openxmlformats.org/officeDocument/2006/relationships/image" Target="../media/image2.emf"/><Relationship Id="rId1" Type="http://schemas.openxmlformats.org/officeDocument/2006/relationships/image" Target="../media/image1.wmf"/><Relationship Id="rId4" Type="http://schemas.openxmlformats.org/officeDocument/2006/relationships/image" Target="../media/image4.wmf"/></Relationships>
</file>

<file path=xl/drawings/_rels/vmlDrawing2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wmf"/><Relationship Id="rId2" Type="http://schemas.openxmlformats.org/officeDocument/2006/relationships/image" Target="../media/image2.emf"/><Relationship Id="rId1" Type="http://schemas.openxmlformats.org/officeDocument/2006/relationships/image" Target="../media/image1.wmf"/><Relationship Id="rId4" Type="http://schemas.openxmlformats.org/officeDocument/2006/relationships/image" Target="../media/image4.wmf"/></Relationships>
</file>

<file path=xl/drawings/_rels/vmlDrawing3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wmf"/><Relationship Id="rId2" Type="http://schemas.openxmlformats.org/officeDocument/2006/relationships/image" Target="../media/image2.emf"/><Relationship Id="rId1" Type="http://schemas.openxmlformats.org/officeDocument/2006/relationships/image" Target="../media/image1.wmf"/><Relationship Id="rId4" Type="http://schemas.openxmlformats.org/officeDocument/2006/relationships/image" Target="../media/image4.w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1476375</xdr:colOff>
      <xdr:row>25</xdr:row>
      <xdr:rowOff>28575</xdr:rowOff>
    </xdr:from>
    <xdr:ext cx="65" cy="172227"/>
    <xdr:sp macro="" textlink="">
      <xdr:nvSpPr>
        <xdr:cNvPr id="3" name="TextBox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2923540" y="5248275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2</xdr:col>
      <xdr:colOff>1476375</xdr:colOff>
      <xdr:row>22</xdr:row>
      <xdr:rowOff>28575</xdr:rowOff>
    </xdr:from>
    <xdr:ext cx="65" cy="172862"/>
    <xdr:sp macro="" textlink="">
      <xdr:nvSpPr>
        <xdr:cNvPr id="4" name="TextBox 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2923540" y="4657725"/>
          <a:ext cx="0" cy="17272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TW" altLang="en-US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574675</xdr:colOff>
      <xdr:row>34</xdr:row>
      <xdr:rowOff>50800</xdr:rowOff>
    </xdr:from>
    <xdr:to>
      <xdr:col>41</xdr:col>
      <xdr:colOff>269875</xdr:colOff>
      <xdr:row>46</xdr:row>
      <xdr:rowOff>146050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0</xdr:colOff>
          <xdr:row>54</xdr:row>
          <xdr:rowOff>180975</xdr:rowOff>
        </xdr:from>
        <xdr:to>
          <xdr:col>15</xdr:col>
          <xdr:colOff>447675</xdr:colOff>
          <xdr:row>56</xdr:row>
          <xdr:rowOff>19050</xdr:rowOff>
        </xdr:to>
        <xdr:sp macro="" textlink="">
          <xdr:nvSpPr>
            <xdr:cNvPr id="3085" name="Object 13" hidden="1">
              <a:extLst>
                <a:ext uri="{63B3BB69-23CF-44E3-9099-C40C66FF867C}">
                  <a14:compatExt spid="_x0000_s3085"/>
                </a:ext>
                <a:ext uri="{FF2B5EF4-FFF2-40B4-BE49-F238E27FC236}">
                  <a16:creationId xmlns:a16="http://schemas.microsoft.com/office/drawing/2014/main" id="{00000000-0008-0000-0200-00000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0</xdr:colOff>
          <xdr:row>56</xdr:row>
          <xdr:rowOff>0</xdr:rowOff>
        </xdr:from>
        <xdr:to>
          <xdr:col>15</xdr:col>
          <xdr:colOff>619125</xdr:colOff>
          <xdr:row>57</xdr:row>
          <xdr:rowOff>28575</xdr:rowOff>
        </xdr:to>
        <xdr:sp macro="" textlink="">
          <xdr:nvSpPr>
            <xdr:cNvPr id="3086" name="Object 14" hidden="1">
              <a:extLst>
                <a:ext uri="{63B3BB69-23CF-44E3-9099-C40C66FF867C}">
                  <a14:compatExt spid="_x0000_s3086"/>
                </a:ext>
                <a:ext uri="{FF2B5EF4-FFF2-40B4-BE49-F238E27FC236}">
                  <a16:creationId xmlns:a16="http://schemas.microsoft.com/office/drawing/2014/main" id="{00000000-0008-0000-0200-00000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0</xdr:colOff>
          <xdr:row>57</xdr:row>
          <xdr:rowOff>0</xdr:rowOff>
        </xdr:from>
        <xdr:to>
          <xdr:col>15</xdr:col>
          <xdr:colOff>219075</xdr:colOff>
          <xdr:row>58</xdr:row>
          <xdr:rowOff>38100</xdr:rowOff>
        </xdr:to>
        <xdr:sp macro="" textlink="">
          <xdr:nvSpPr>
            <xdr:cNvPr id="3087" name="Object 15" hidden="1">
              <a:extLst>
                <a:ext uri="{63B3BB69-23CF-44E3-9099-C40C66FF867C}">
                  <a14:compatExt spid="_x0000_s3087"/>
                </a:ext>
                <a:ext uri="{FF2B5EF4-FFF2-40B4-BE49-F238E27FC236}">
                  <a16:creationId xmlns:a16="http://schemas.microsoft.com/office/drawing/2014/main" id="{00000000-0008-0000-0200-00000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0</xdr:colOff>
          <xdr:row>58</xdr:row>
          <xdr:rowOff>0</xdr:rowOff>
        </xdr:from>
        <xdr:to>
          <xdr:col>15</xdr:col>
          <xdr:colOff>409575</xdr:colOff>
          <xdr:row>59</xdr:row>
          <xdr:rowOff>38100</xdr:rowOff>
        </xdr:to>
        <xdr:sp macro="" textlink="">
          <xdr:nvSpPr>
            <xdr:cNvPr id="3088" name="Object 16" hidden="1">
              <a:extLst>
                <a:ext uri="{63B3BB69-23CF-44E3-9099-C40C66FF867C}">
                  <a14:compatExt spid="_x0000_s3088"/>
                </a:ext>
                <a:ext uri="{FF2B5EF4-FFF2-40B4-BE49-F238E27FC236}">
                  <a16:creationId xmlns:a16="http://schemas.microsoft.com/office/drawing/2014/main" id="{00000000-0008-0000-0200-00001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oneCell">
    <xdr:from>
      <xdr:col>21</xdr:col>
      <xdr:colOff>539750</xdr:colOff>
      <xdr:row>54</xdr:row>
      <xdr:rowOff>139700</xdr:rowOff>
    </xdr:from>
    <xdr:to>
      <xdr:col>24</xdr:col>
      <xdr:colOff>177800</xdr:colOff>
      <xdr:row>58</xdr:row>
      <xdr:rowOff>120300</xdr:rowOff>
    </xdr:to>
    <xdr:pic>
      <xdr:nvPicPr>
        <xdr:cNvPr id="3" name="圖片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084550" y="12026900"/>
          <a:ext cx="2317750" cy="850550"/>
        </a:xfrm>
        <a:prstGeom prst="rect">
          <a:avLst/>
        </a:prstGeom>
      </xdr:spPr>
    </xdr:pic>
    <xdr:clientData/>
  </xdr:twoCellAnchor>
  <xdr:twoCellAnchor editAs="oneCell">
    <xdr:from>
      <xdr:col>21</xdr:col>
      <xdr:colOff>577850</xdr:colOff>
      <xdr:row>59</xdr:row>
      <xdr:rowOff>120650</xdr:rowOff>
    </xdr:from>
    <xdr:to>
      <xdr:col>23</xdr:col>
      <xdr:colOff>190500</xdr:colOff>
      <xdr:row>67</xdr:row>
      <xdr:rowOff>1596</xdr:rowOff>
    </xdr:to>
    <xdr:pic>
      <xdr:nvPicPr>
        <xdr:cNvPr id="4" name="圖片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122650" y="13100050"/>
          <a:ext cx="1682750" cy="1633546"/>
        </a:xfrm>
        <a:prstGeom prst="rect">
          <a:avLst/>
        </a:prstGeom>
      </xdr:spPr>
    </xdr:pic>
    <xdr:clientData/>
  </xdr:twoCellAnchor>
  <xdr:twoCellAnchor editAs="oneCell">
    <xdr:from>
      <xdr:col>12</xdr:col>
      <xdr:colOff>831850</xdr:colOff>
      <xdr:row>70</xdr:row>
      <xdr:rowOff>88900</xdr:rowOff>
    </xdr:from>
    <xdr:to>
      <xdr:col>19</xdr:col>
      <xdr:colOff>578196</xdr:colOff>
      <xdr:row>73</xdr:row>
      <xdr:rowOff>107984</xdr:rowOff>
    </xdr:to>
    <xdr:pic>
      <xdr:nvPicPr>
        <xdr:cNvPr id="5" name="圖片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147050" y="15474950"/>
          <a:ext cx="6731346" cy="66678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574675</xdr:colOff>
      <xdr:row>34</xdr:row>
      <xdr:rowOff>50800</xdr:rowOff>
    </xdr:from>
    <xdr:to>
      <xdr:col>41</xdr:col>
      <xdr:colOff>269875</xdr:colOff>
      <xdr:row>46</xdr:row>
      <xdr:rowOff>146050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0</xdr:colOff>
          <xdr:row>54</xdr:row>
          <xdr:rowOff>180975</xdr:rowOff>
        </xdr:from>
        <xdr:to>
          <xdr:col>15</xdr:col>
          <xdr:colOff>447675</xdr:colOff>
          <xdr:row>56</xdr:row>
          <xdr:rowOff>19050</xdr:rowOff>
        </xdr:to>
        <xdr:sp macro="" textlink="">
          <xdr:nvSpPr>
            <xdr:cNvPr id="4097" name="Object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3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0</xdr:colOff>
          <xdr:row>56</xdr:row>
          <xdr:rowOff>0</xdr:rowOff>
        </xdr:from>
        <xdr:to>
          <xdr:col>15</xdr:col>
          <xdr:colOff>619125</xdr:colOff>
          <xdr:row>57</xdr:row>
          <xdr:rowOff>28575</xdr:rowOff>
        </xdr:to>
        <xdr:sp macro="" textlink="">
          <xdr:nvSpPr>
            <xdr:cNvPr id="4098" name="Object 2" hidden="1">
              <a:extLst>
                <a:ext uri="{63B3BB69-23CF-44E3-9099-C40C66FF867C}">
                  <a14:compatExt spid="_x0000_s4098"/>
                </a:ext>
                <a:ext uri="{FF2B5EF4-FFF2-40B4-BE49-F238E27FC236}">
                  <a16:creationId xmlns:a16="http://schemas.microsoft.com/office/drawing/2014/main" id="{00000000-0008-0000-0300-00000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0</xdr:colOff>
          <xdr:row>57</xdr:row>
          <xdr:rowOff>0</xdr:rowOff>
        </xdr:from>
        <xdr:to>
          <xdr:col>15</xdr:col>
          <xdr:colOff>219075</xdr:colOff>
          <xdr:row>58</xdr:row>
          <xdr:rowOff>38100</xdr:rowOff>
        </xdr:to>
        <xdr:sp macro="" textlink="">
          <xdr:nvSpPr>
            <xdr:cNvPr id="4099" name="Object 3" hidden="1">
              <a:extLst>
                <a:ext uri="{63B3BB69-23CF-44E3-9099-C40C66FF867C}">
                  <a14:compatExt spid="_x0000_s4099"/>
                </a:ext>
                <a:ext uri="{FF2B5EF4-FFF2-40B4-BE49-F238E27FC236}">
                  <a16:creationId xmlns:a16="http://schemas.microsoft.com/office/drawing/2014/main" id="{00000000-0008-0000-0300-00000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0</xdr:colOff>
          <xdr:row>58</xdr:row>
          <xdr:rowOff>0</xdr:rowOff>
        </xdr:from>
        <xdr:to>
          <xdr:col>15</xdr:col>
          <xdr:colOff>409575</xdr:colOff>
          <xdr:row>59</xdr:row>
          <xdr:rowOff>38100</xdr:rowOff>
        </xdr:to>
        <xdr:sp macro="" textlink="">
          <xdr:nvSpPr>
            <xdr:cNvPr id="4100" name="Object 4" hidden="1">
              <a:extLst>
                <a:ext uri="{63B3BB69-23CF-44E3-9099-C40C66FF867C}">
                  <a14:compatExt spid="_x0000_s4100"/>
                </a:ext>
                <a:ext uri="{FF2B5EF4-FFF2-40B4-BE49-F238E27FC236}">
                  <a16:creationId xmlns:a16="http://schemas.microsoft.com/office/drawing/2014/main" id="{00000000-0008-0000-0300-00000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oneCell">
    <xdr:from>
      <xdr:col>21</xdr:col>
      <xdr:colOff>539750</xdr:colOff>
      <xdr:row>54</xdr:row>
      <xdr:rowOff>139700</xdr:rowOff>
    </xdr:from>
    <xdr:to>
      <xdr:col>24</xdr:col>
      <xdr:colOff>438150</xdr:colOff>
      <xdr:row>58</xdr:row>
      <xdr:rowOff>126650</xdr:rowOff>
    </xdr:to>
    <xdr:pic>
      <xdr:nvPicPr>
        <xdr:cNvPr id="3" name="圖片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084550" y="12026900"/>
          <a:ext cx="2317750" cy="850550"/>
        </a:xfrm>
        <a:prstGeom prst="rect">
          <a:avLst/>
        </a:prstGeom>
      </xdr:spPr>
    </xdr:pic>
    <xdr:clientData/>
  </xdr:twoCellAnchor>
  <xdr:twoCellAnchor editAs="oneCell">
    <xdr:from>
      <xdr:col>21</xdr:col>
      <xdr:colOff>577850</xdr:colOff>
      <xdr:row>59</xdr:row>
      <xdr:rowOff>120650</xdr:rowOff>
    </xdr:from>
    <xdr:to>
      <xdr:col>23</xdr:col>
      <xdr:colOff>450850</xdr:colOff>
      <xdr:row>67</xdr:row>
      <xdr:rowOff>26996</xdr:rowOff>
    </xdr:to>
    <xdr:pic>
      <xdr:nvPicPr>
        <xdr:cNvPr id="4" name="圖片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122650" y="13100050"/>
          <a:ext cx="1682750" cy="1633546"/>
        </a:xfrm>
        <a:prstGeom prst="rect">
          <a:avLst/>
        </a:prstGeom>
      </xdr:spPr>
    </xdr:pic>
    <xdr:clientData/>
  </xdr:twoCellAnchor>
  <xdr:twoCellAnchor editAs="oneCell">
    <xdr:from>
      <xdr:col>12</xdr:col>
      <xdr:colOff>831850</xdr:colOff>
      <xdr:row>70</xdr:row>
      <xdr:rowOff>88900</xdr:rowOff>
    </xdr:from>
    <xdr:to>
      <xdr:col>20</xdr:col>
      <xdr:colOff>95596</xdr:colOff>
      <xdr:row>73</xdr:row>
      <xdr:rowOff>107984</xdr:rowOff>
    </xdr:to>
    <xdr:pic>
      <xdr:nvPicPr>
        <xdr:cNvPr id="5" name="圖片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147050" y="15474950"/>
          <a:ext cx="6731346" cy="66678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574675</xdr:colOff>
      <xdr:row>34</xdr:row>
      <xdr:rowOff>50800</xdr:rowOff>
    </xdr:from>
    <xdr:to>
      <xdr:col>41</xdr:col>
      <xdr:colOff>269875</xdr:colOff>
      <xdr:row>46</xdr:row>
      <xdr:rowOff>146050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0</xdr:colOff>
          <xdr:row>54</xdr:row>
          <xdr:rowOff>180975</xdr:rowOff>
        </xdr:from>
        <xdr:to>
          <xdr:col>15</xdr:col>
          <xdr:colOff>447675</xdr:colOff>
          <xdr:row>56</xdr:row>
          <xdr:rowOff>19050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00000000-0008-0000-0400-00000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0</xdr:colOff>
          <xdr:row>56</xdr:row>
          <xdr:rowOff>0</xdr:rowOff>
        </xdr:from>
        <xdr:to>
          <xdr:col>15</xdr:col>
          <xdr:colOff>619125</xdr:colOff>
          <xdr:row>57</xdr:row>
          <xdr:rowOff>28575</xdr:rowOff>
        </xdr:to>
        <xdr:sp macro="" textlink="">
          <xdr:nvSpPr>
            <xdr:cNvPr id="5122" name="Object 2" hidden="1">
              <a:extLst>
                <a:ext uri="{63B3BB69-23CF-44E3-9099-C40C66FF867C}">
                  <a14:compatExt spid="_x0000_s5122"/>
                </a:ext>
                <a:ext uri="{FF2B5EF4-FFF2-40B4-BE49-F238E27FC236}">
                  <a16:creationId xmlns:a16="http://schemas.microsoft.com/office/drawing/2014/main" id="{00000000-0008-0000-0400-00000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0</xdr:colOff>
          <xdr:row>57</xdr:row>
          <xdr:rowOff>0</xdr:rowOff>
        </xdr:from>
        <xdr:to>
          <xdr:col>15</xdr:col>
          <xdr:colOff>219075</xdr:colOff>
          <xdr:row>58</xdr:row>
          <xdr:rowOff>38100</xdr:rowOff>
        </xdr:to>
        <xdr:sp macro="" textlink="">
          <xdr:nvSpPr>
            <xdr:cNvPr id="5123" name="Object 3" hidden="1">
              <a:extLst>
                <a:ext uri="{63B3BB69-23CF-44E3-9099-C40C66FF867C}">
                  <a14:compatExt spid="_x0000_s5123"/>
                </a:ext>
                <a:ext uri="{FF2B5EF4-FFF2-40B4-BE49-F238E27FC236}">
                  <a16:creationId xmlns:a16="http://schemas.microsoft.com/office/drawing/2014/main" id="{00000000-0008-0000-0400-000003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0</xdr:colOff>
          <xdr:row>58</xdr:row>
          <xdr:rowOff>0</xdr:rowOff>
        </xdr:from>
        <xdr:to>
          <xdr:col>15</xdr:col>
          <xdr:colOff>409575</xdr:colOff>
          <xdr:row>59</xdr:row>
          <xdr:rowOff>38100</xdr:rowOff>
        </xdr:to>
        <xdr:sp macro="" textlink="">
          <xdr:nvSpPr>
            <xdr:cNvPr id="5124" name="Object 4" hidden="1">
              <a:extLst>
                <a:ext uri="{63B3BB69-23CF-44E3-9099-C40C66FF867C}">
                  <a14:compatExt spid="_x0000_s5124"/>
                </a:ext>
                <a:ext uri="{FF2B5EF4-FFF2-40B4-BE49-F238E27FC236}">
                  <a16:creationId xmlns:a16="http://schemas.microsoft.com/office/drawing/2014/main" id="{00000000-0008-0000-0400-000004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oneCell">
    <xdr:from>
      <xdr:col>21</xdr:col>
      <xdr:colOff>539750</xdr:colOff>
      <xdr:row>54</xdr:row>
      <xdr:rowOff>139700</xdr:rowOff>
    </xdr:from>
    <xdr:to>
      <xdr:col>24</xdr:col>
      <xdr:colOff>438150</xdr:colOff>
      <xdr:row>58</xdr:row>
      <xdr:rowOff>126650</xdr:rowOff>
    </xdr:to>
    <xdr:pic>
      <xdr:nvPicPr>
        <xdr:cNvPr id="3" name="圖片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084550" y="12026900"/>
          <a:ext cx="2317750" cy="850550"/>
        </a:xfrm>
        <a:prstGeom prst="rect">
          <a:avLst/>
        </a:prstGeom>
      </xdr:spPr>
    </xdr:pic>
    <xdr:clientData/>
  </xdr:twoCellAnchor>
  <xdr:twoCellAnchor editAs="oneCell">
    <xdr:from>
      <xdr:col>21</xdr:col>
      <xdr:colOff>577850</xdr:colOff>
      <xdr:row>59</xdr:row>
      <xdr:rowOff>120650</xdr:rowOff>
    </xdr:from>
    <xdr:to>
      <xdr:col>23</xdr:col>
      <xdr:colOff>450850</xdr:colOff>
      <xdr:row>67</xdr:row>
      <xdr:rowOff>26996</xdr:rowOff>
    </xdr:to>
    <xdr:pic>
      <xdr:nvPicPr>
        <xdr:cNvPr id="4" name="圖片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122650" y="13100050"/>
          <a:ext cx="1682750" cy="1633546"/>
        </a:xfrm>
        <a:prstGeom prst="rect">
          <a:avLst/>
        </a:prstGeom>
      </xdr:spPr>
    </xdr:pic>
    <xdr:clientData/>
  </xdr:twoCellAnchor>
  <xdr:twoCellAnchor editAs="oneCell">
    <xdr:from>
      <xdr:col>12</xdr:col>
      <xdr:colOff>831850</xdr:colOff>
      <xdr:row>70</xdr:row>
      <xdr:rowOff>88900</xdr:rowOff>
    </xdr:from>
    <xdr:to>
      <xdr:col>20</xdr:col>
      <xdr:colOff>95596</xdr:colOff>
      <xdr:row>73</xdr:row>
      <xdr:rowOff>107984</xdr:rowOff>
    </xdr:to>
    <xdr:pic>
      <xdr:nvPicPr>
        <xdr:cNvPr id="5" name="圖片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147050" y="15474950"/>
          <a:ext cx="6731346" cy="666784"/>
        </a:xfrm>
        <a:prstGeom prst="rect">
          <a:avLst/>
        </a:prstGeom>
      </xdr:spPr>
    </xdr:pic>
    <xdr:clientData/>
  </xdr:twoCellAnchor>
  <xdr:twoCellAnchor editAs="oneCell">
    <xdr:from>
      <xdr:col>25</xdr:col>
      <xdr:colOff>171450</xdr:colOff>
      <xdr:row>54</xdr:row>
      <xdr:rowOff>171450</xdr:rowOff>
    </xdr:from>
    <xdr:to>
      <xdr:col>28</xdr:col>
      <xdr:colOff>139810</xdr:colOff>
      <xdr:row>58</xdr:row>
      <xdr:rowOff>6386</xdr:rowOff>
    </xdr:to>
    <xdr:pic>
      <xdr:nvPicPr>
        <xdr:cNvPr id="6" name="圖片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8745200" y="12058650"/>
          <a:ext cx="2133710" cy="7048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wmf"/><Relationship Id="rId3" Type="http://schemas.openxmlformats.org/officeDocument/2006/relationships/oleObject" Target="../embeddings/oleObject1.bin"/><Relationship Id="rId7" Type="http://schemas.openxmlformats.org/officeDocument/2006/relationships/oleObject" Target="../embeddings/oleObject3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Relationship Id="rId6" Type="http://schemas.openxmlformats.org/officeDocument/2006/relationships/image" Target="../media/image2.emf"/><Relationship Id="rId5" Type="http://schemas.openxmlformats.org/officeDocument/2006/relationships/oleObject" Target="../embeddings/oleObject2.bin"/><Relationship Id="rId10" Type="http://schemas.openxmlformats.org/officeDocument/2006/relationships/image" Target="../media/image4.wmf"/><Relationship Id="rId4" Type="http://schemas.openxmlformats.org/officeDocument/2006/relationships/image" Target="../media/image1.wmf"/><Relationship Id="rId9" Type="http://schemas.openxmlformats.org/officeDocument/2006/relationships/oleObject" Target="../embeddings/oleObject4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wmf"/><Relationship Id="rId3" Type="http://schemas.openxmlformats.org/officeDocument/2006/relationships/oleObject" Target="../embeddings/oleObject5.bin"/><Relationship Id="rId7" Type="http://schemas.openxmlformats.org/officeDocument/2006/relationships/oleObject" Target="../embeddings/oleObject7.bin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3.xml"/><Relationship Id="rId6" Type="http://schemas.openxmlformats.org/officeDocument/2006/relationships/image" Target="../media/image2.emf"/><Relationship Id="rId5" Type="http://schemas.openxmlformats.org/officeDocument/2006/relationships/oleObject" Target="../embeddings/oleObject6.bin"/><Relationship Id="rId10" Type="http://schemas.openxmlformats.org/officeDocument/2006/relationships/image" Target="../media/image4.wmf"/><Relationship Id="rId4" Type="http://schemas.openxmlformats.org/officeDocument/2006/relationships/image" Target="../media/image1.wmf"/><Relationship Id="rId9" Type="http://schemas.openxmlformats.org/officeDocument/2006/relationships/oleObject" Target="../embeddings/oleObject8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wmf"/><Relationship Id="rId3" Type="http://schemas.openxmlformats.org/officeDocument/2006/relationships/oleObject" Target="../embeddings/oleObject9.bin"/><Relationship Id="rId7" Type="http://schemas.openxmlformats.org/officeDocument/2006/relationships/oleObject" Target="../embeddings/oleObject11.bin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4.xml"/><Relationship Id="rId6" Type="http://schemas.openxmlformats.org/officeDocument/2006/relationships/image" Target="../media/image2.emf"/><Relationship Id="rId5" Type="http://schemas.openxmlformats.org/officeDocument/2006/relationships/oleObject" Target="../embeddings/oleObject10.bin"/><Relationship Id="rId10" Type="http://schemas.openxmlformats.org/officeDocument/2006/relationships/image" Target="../media/image4.wmf"/><Relationship Id="rId4" Type="http://schemas.openxmlformats.org/officeDocument/2006/relationships/image" Target="../media/image1.wmf"/><Relationship Id="rId9" Type="http://schemas.openxmlformats.org/officeDocument/2006/relationships/oleObject" Target="../embeddings/oleObject1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9"/>
  <sheetViews>
    <sheetView zoomScale="83" zoomScaleNormal="83" workbookViewId="0">
      <selection activeCell="F42" sqref="F42"/>
    </sheetView>
  </sheetViews>
  <sheetFormatPr defaultColWidth="8.75" defaultRowHeight="15.75"/>
  <cols>
    <col min="1" max="1" width="8.75" style="1"/>
    <col min="2" max="2" width="10.25" style="2" customWidth="1"/>
    <col min="3" max="3" width="33.875" style="1" customWidth="1"/>
    <col min="4" max="4" width="19.875" style="3" bestFit="1" customWidth="1"/>
    <col min="5" max="5" width="15.625" style="1" bestFit="1" customWidth="1"/>
    <col min="6" max="6" width="13.5" style="1" customWidth="1"/>
    <col min="7" max="7" width="16.5" style="1" customWidth="1"/>
    <col min="8" max="8" width="17.125" style="1" customWidth="1"/>
    <col min="9" max="9" width="14.5" style="1" customWidth="1"/>
    <col min="10" max="10" width="19.625" style="1" customWidth="1"/>
    <col min="11" max="16384" width="8.75" style="1"/>
  </cols>
  <sheetData>
    <row r="1" spans="1:11" ht="16.5">
      <c r="A1" s="4" t="s">
        <v>0</v>
      </c>
      <c r="B1" s="5" t="s">
        <v>1</v>
      </c>
      <c r="C1" s="104" t="s">
        <v>2</v>
      </c>
      <c r="D1" s="104"/>
      <c r="E1" s="104"/>
    </row>
    <row r="2" spans="1:11" ht="19.7" customHeight="1">
      <c r="B2" s="6"/>
      <c r="C2" s="8" t="s">
        <v>30</v>
      </c>
      <c r="D2" s="1"/>
      <c r="E2" s="7"/>
      <c r="F2" s="7"/>
      <c r="G2" s="7"/>
    </row>
    <row r="3" spans="1:11" ht="15.6" customHeight="1">
      <c r="B3" s="6"/>
      <c r="C3" s="21" t="s">
        <v>31</v>
      </c>
      <c r="D3" s="1"/>
      <c r="E3" s="7"/>
      <c r="F3" s="7"/>
      <c r="G3" s="7"/>
    </row>
    <row r="4" spans="1:11" ht="16.350000000000001" customHeight="1">
      <c r="B4" s="6"/>
      <c r="C4" s="7" t="s">
        <v>3</v>
      </c>
      <c r="D4" s="1"/>
      <c r="E4" s="7"/>
      <c r="F4" s="7"/>
      <c r="G4" s="7"/>
    </row>
    <row r="5" spans="1:11">
      <c r="B5" s="9">
        <v>-1</v>
      </c>
      <c r="C5" s="1" t="s">
        <v>4</v>
      </c>
      <c r="D5" s="1"/>
      <c r="I5" s="2"/>
      <c r="J5" s="2"/>
      <c r="K5" s="2"/>
    </row>
    <row r="6" spans="1:11" ht="16.5">
      <c r="B6" s="9"/>
      <c r="E6" s="2" t="s">
        <v>5</v>
      </c>
      <c r="F6" s="2" t="s">
        <v>6</v>
      </c>
      <c r="G6" s="2" t="s">
        <v>7</v>
      </c>
      <c r="H6" s="2" t="s">
        <v>8</v>
      </c>
      <c r="I6" s="2" t="s">
        <v>9</v>
      </c>
      <c r="J6" s="2"/>
      <c r="K6" s="2"/>
    </row>
    <row r="7" spans="1:11">
      <c r="B7" s="9">
        <v>-2</v>
      </c>
      <c r="C7" s="1" t="s">
        <v>4</v>
      </c>
      <c r="D7" s="10" t="s">
        <v>10</v>
      </c>
      <c r="E7" s="11">
        <v>0.18677273322136406</v>
      </c>
      <c r="F7" s="11">
        <v>0.49480220586864637</v>
      </c>
      <c r="G7" s="11">
        <v>0.81503999790231463</v>
      </c>
      <c r="H7" s="11">
        <v>0.57436738957326805</v>
      </c>
      <c r="I7" s="11">
        <v>7.119916272379774E-2</v>
      </c>
      <c r="J7" s="2"/>
      <c r="K7" s="2"/>
    </row>
    <row r="8" spans="1:11" ht="18">
      <c r="B8" s="9"/>
      <c r="D8" s="12" t="s">
        <v>11</v>
      </c>
      <c r="E8" s="98">
        <v>4.7167940136505125E-2</v>
      </c>
      <c r="F8" s="98">
        <v>9.5731114656176286E-2</v>
      </c>
      <c r="G8" s="98">
        <v>0.15185872117258553</v>
      </c>
      <c r="H8" s="98">
        <v>2.7932930794543769E-2</v>
      </c>
      <c r="I8" s="98">
        <v>1.1376781311323612E-2</v>
      </c>
      <c r="J8" s="2"/>
      <c r="K8" s="2"/>
    </row>
    <row r="9" spans="1:11">
      <c r="B9" s="9"/>
      <c r="D9" s="1"/>
      <c r="I9" s="2"/>
      <c r="J9" s="2"/>
      <c r="K9" s="2"/>
    </row>
    <row r="10" spans="1:11" ht="16.5">
      <c r="A10" s="13"/>
      <c r="B10" s="9"/>
      <c r="D10" s="2"/>
      <c r="E10" s="2" t="s">
        <v>5</v>
      </c>
      <c r="F10" s="2" t="s">
        <v>6</v>
      </c>
      <c r="G10" s="2" t="s">
        <v>7</v>
      </c>
      <c r="H10" s="2" t="s">
        <v>8</v>
      </c>
      <c r="I10" s="20" t="s">
        <v>12</v>
      </c>
      <c r="J10" s="20" t="s">
        <v>13</v>
      </c>
      <c r="K10" s="2"/>
    </row>
    <row r="11" spans="1:11" ht="16.5">
      <c r="A11" s="13"/>
      <c r="B11" s="9">
        <v>-3</v>
      </c>
      <c r="C11" s="1" t="s">
        <v>4</v>
      </c>
      <c r="D11" s="2" t="s">
        <v>5</v>
      </c>
      <c r="E11" s="11" t="e">
        <f>'Index &amp; TB Model'!O14</f>
        <v>#DIV/0!</v>
      </c>
      <c r="F11" s="11">
        <f>'Index &amp; TB Model'!P14</f>
        <v>6.481148170468012E-3</v>
      </c>
      <c r="G11" s="11">
        <f>'Index &amp; TB Model'!Q14</f>
        <v>2.8200039453704313E-2</v>
      </c>
      <c r="H11" s="11">
        <f>'Index &amp; TB Model'!R14</f>
        <v>2.8854340250163809E-2</v>
      </c>
      <c r="I11" s="11">
        <f>'Index &amp; TB Model'!S14</f>
        <v>2.0942752468211506E-2</v>
      </c>
      <c r="J11" s="11">
        <f>'Index &amp; TB Model'!T14</f>
        <v>2.3143893552660253E-2</v>
      </c>
      <c r="K11" s="2"/>
    </row>
    <row r="12" spans="1:11" ht="16.5">
      <c r="A12" s="13"/>
      <c r="B12" s="9"/>
      <c r="D12" s="2" t="s">
        <v>6</v>
      </c>
      <c r="E12" s="11" t="e">
        <f>'Index &amp; TB Model'!O15</f>
        <v>#DIV/0!</v>
      </c>
      <c r="F12" s="11" t="e">
        <f>'Index &amp; TB Model'!P15</f>
        <v>#DIV/0!</v>
      </c>
      <c r="G12" s="11">
        <f>'Index &amp; TB Model'!Q15</f>
        <v>1.2809655066821047E-2</v>
      </c>
      <c r="H12" s="11">
        <f>'Index &amp; TB Model'!R15</f>
        <v>1.3106866264924228E-2</v>
      </c>
      <c r="I12" s="11">
        <f>'Index &amp; TB Model'!S15</f>
        <v>9.5130872319529689E-3</v>
      </c>
      <c r="J12" s="11">
        <f>'Index &amp; TB Model'!T15</f>
        <v>1.0512938955262991E-2</v>
      </c>
      <c r="K12" s="2"/>
    </row>
    <row r="13" spans="1:11" ht="16.5">
      <c r="A13" s="13"/>
      <c r="B13" s="9"/>
      <c r="D13" s="2" t="s">
        <v>7</v>
      </c>
      <c r="E13" s="11" t="e">
        <f>'Index &amp; TB Model'!O16</f>
        <v>#DIV/0!</v>
      </c>
      <c r="F13" s="11" t="e">
        <f>'Index &amp; TB Model'!P16</f>
        <v>#DIV/0!</v>
      </c>
      <c r="G13" s="11" t="e">
        <f>'Index &amp; TB Model'!Q16</f>
        <v>#DIV/0!</v>
      </c>
      <c r="H13" s="11">
        <f>'Index &amp; TB Model'!R16</f>
        <v>5.702911522212567E-2</v>
      </c>
      <c r="I13" s="11">
        <f>'Index &amp; TB Model'!S16</f>
        <v>4.1392270044064185E-2</v>
      </c>
      <c r="J13" s="11">
        <f>'Index &amp; TB Model'!T16</f>
        <v>4.5742711864492559E-2</v>
      </c>
      <c r="K13" s="2"/>
    </row>
    <row r="14" spans="1:11" ht="16.5">
      <c r="A14" s="13"/>
      <c r="B14" s="9"/>
      <c r="D14" s="2" t="s">
        <v>8</v>
      </c>
      <c r="E14" s="11" t="e">
        <f>'Index &amp; TB Model'!O17</f>
        <v>#DIV/0!</v>
      </c>
      <c r="F14" s="11" t="e">
        <f>'Index &amp; TB Model'!P17</f>
        <v>#DIV/0!</v>
      </c>
      <c r="G14" s="11" t="e">
        <f>'Index &amp; TB Model'!Q17</f>
        <v>#DIV/0!</v>
      </c>
      <c r="H14" s="11" t="e">
        <f>'Index &amp; TB Model'!R17</f>
        <v>#DIV/0!</v>
      </c>
      <c r="I14" s="11">
        <f>'Index &amp; TB Model'!S17</f>
        <v>4.2352658603149691E-2</v>
      </c>
      <c r="J14" s="11">
        <f>'Index &amp; TB Model'!T17</f>
        <v>4.6804039911720628E-2</v>
      </c>
      <c r="K14" s="2"/>
    </row>
    <row r="15" spans="1:11" ht="16.5">
      <c r="B15" s="9"/>
      <c r="D15" s="2" t="s">
        <v>9</v>
      </c>
      <c r="E15" s="11" t="e">
        <f>'Index &amp; TB Model'!O18</f>
        <v>#DIV/0!</v>
      </c>
      <c r="F15" s="11" t="e">
        <f>'Index &amp; TB Model'!P18</f>
        <v>#DIV/0!</v>
      </c>
      <c r="G15" s="11" t="e">
        <f>'Index &amp; TB Model'!Q18</f>
        <v>#DIV/0!</v>
      </c>
      <c r="H15" s="11" t="e">
        <f>'Index &amp; TB Model'!R18</f>
        <v>#DIV/0!</v>
      </c>
      <c r="I15" s="11" t="e">
        <f>'Index &amp; TB Model'!S18</f>
        <v>#DIV/0!</v>
      </c>
      <c r="J15" s="11" t="e">
        <f>'Index &amp; TB Model'!T18</f>
        <v>#DIV/0!</v>
      </c>
      <c r="K15" s="2"/>
    </row>
    <row r="16" spans="1:11" ht="16.5">
      <c r="B16" s="9"/>
      <c r="D16" s="2" t="s">
        <v>14</v>
      </c>
      <c r="E16" s="11" t="e">
        <f>'Index &amp; TB Model'!O19</f>
        <v>#DIV/0!</v>
      </c>
      <c r="F16" s="11" t="e">
        <f>'Index &amp; TB Model'!P19</f>
        <v>#DIV/0!</v>
      </c>
      <c r="G16" s="11" t="e">
        <f>'Index &amp; TB Model'!Q19</f>
        <v>#DIV/0!</v>
      </c>
      <c r="H16" s="11" t="e">
        <f>'Index &amp; TB Model'!R19</f>
        <v>#DIV/0!</v>
      </c>
      <c r="I16" s="11" t="e">
        <f>'Index &amp; TB Model'!S19</f>
        <v>#DIV/0!</v>
      </c>
      <c r="J16" s="11" t="e">
        <f>'Index &amp; TB Model'!T19</f>
        <v>#DIV/0!</v>
      </c>
      <c r="K16" s="2"/>
    </row>
    <row r="17" spans="2:11">
      <c r="B17" s="9"/>
      <c r="D17" s="2"/>
      <c r="E17" s="14"/>
      <c r="F17" s="14"/>
      <c r="G17" s="14"/>
      <c r="H17" s="14"/>
      <c r="I17" s="14"/>
      <c r="J17" s="2"/>
      <c r="K17" s="2"/>
    </row>
    <row r="18" spans="2:11" ht="16.5">
      <c r="B18" s="9"/>
      <c r="D18" s="2"/>
      <c r="E18" s="2" t="s">
        <v>5</v>
      </c>
      <c r="F18" s="2" t="s">
        <v>6</v>
      </c>
      <c r="G18" s="2" t="s">
        <v>7</v>
      </c>
      <c r="H18" s="2" t="s">
        <v>8</v>
      </c>
      <c r="I18" s="2" t="s">
        <v>9</v>
      </c>
      <c r="J18" s="2"/>
      <c r="K18" s="2"/>
    </row>
    <row r="19" spans="2:11">
      <c r="B19" s="9">
        <v>-4</v>
      </c>
      <c r="C19" s="1" t="s">
        <v>4</v>
      </c>
      <c r="D19" s="2" t="s">
        <v>15</v>
      </c>
      <c r="E19" s="11">
        <f>'Index &amp; TB Model'!N31</f>
        <v>0.17936345677380489</v>
      </c>
      <c r="F19" s="11">
        <f>'Index &amp; TB Model'!O31</f>
        <v>0.16874149026859614</v>
      </c>
      <c r="G19" s="11">
        <f>'Index &amp; TB Model'!P31</f>
        <v>0.25200987504881878</v>
      </c>
      <c r="H19" s="11">
        <f>'Index &amp; TB Model'!Q31</f>
        <v>0.14209592898699824</v>
      </c>
      <c r="I19" s="11">
        <f>'Index &amp; TB Model'!R31</f>
        <v>0.12643872869005879</v>
      </c>
      <c r="J19" s="2"/>
      <c r="K19" s="2"/>
    </row>
    <row r="20" spans="2:11">
      <c r="B20" s="9"/>
      <c r="D20" s="2" t="s">
        <v>16</v>
      </c>
      <c r="E20" s="11">
        <f>'Index &amp; TB Model'!N32</f>
        <v>0.22109999999999999</v>
      </c>
      <c r="F20" s="11">
        <f>'Index &amp; TB Model'!O32</f>
        <v>0.18770000000000001</v>
      </c>
      <c r="G20" s="11">
        <f>'Index &amp; TB Model'!P32</f>
        <v>0.33450000000000002</v>
      </c>
      <c r="H20" s="11">
        <f>'Index &amp; TB Model'!Q32</f>
        <v>0.22650000000000001</v>
      </c>
      <c r="I20" s="11">
        <f>'Index &amp; TB Model'!R32</f>
        <v>0.18770000000000001</v>
      </c>
      <c r="J20" s="2"/>
      <c r="K20" s="2"/>
    </row>
    <row r="21" spans="2:11">
      <c r="B21" s="9"/>
      <c r="D21" s="2"/>
      <c r="E21" s="14"/>
      <c r="F21" s="14"/>
      <c r="G21" s="14"/>
      <c r="H21" s="14"/>
      <c r="I21" s="2"/>
      <c r="J21" s="2"/>
      <c r="K21" s="2"/>
    </row>
    <row r="22" spans="2:11" ht="16.5">
      <c r="B22" s="9"/>
      <c r="D22" s="2"/>
      <c r="E22" s="14" t="s">
        <v>5</v>
      </c>
      <c r="F22" s="14" t="s">
        <v>6</v>
      </c>
      <c r="G22" s="14" t="s">
        <v>7</v>
      </c>
      <c r="H22" s="14" t="s">
        <v>8</v>
      </c>
      <c r="I22" s="2" t="s">
        <v>9</v>
      </c>
      <c r="J22" s="2" t="s">
        <v>14</v>
      </c>
      <c r="K22" s="2"/>
    </row>
    <row r="23" spans="2:11">
      <c r="B23" s="9">
        <v>-5</v>
      </c>
      <c r="C23" s="1" t="s">
        <v>4</v>
      </c>
      <c r="D23" s="2" t="s">
        <v>17</v>
      </c>
      <c r="E23" s="11">
        <v>1.5070911973252117E-2</v>
      </c>
      <c r="F23" s="11">
        <v>4.2633734566757717E-2</v>
      </c>
      <c r="G23" s="11">
        <v>0</v>
      </c>
      <c r="H23" s="11">
        <v>6.4880839677866245E-2</v>
      </c>
      <c r="I23" s="11">
        <v>0.87741451378208846</v>
      </c>
      <c r="J23" s="11">
        <v>0</v>
      </c>
      <c r="K23" s="2"/>
    </row>
    <row r="24" spans="2:11">
      <c r="B24" s="9"/>
      <c r="C24" s="15"/>
      <c r="D24" s="2"/>
      <c r="E24" s="14"/>
      <c r="F24" s="14"/>
      <c r="G24" s="14"/>
      <c r="H24" s="14"/>
      <c r="I24" s="2"/>
      <c r="J24" s="2"/>
      <c r="K24" s="2"/>
    </row>
    <row r="25" spans="2:11">
      <c r="B25" s="9">
        <v>-6</v>
      </c>
      <c r="C25" s="1" t="s">
        <v>4</v>
      </c>
      <c r="E25" s="2"/>
      <c r="F25" s="2"/>
      <c r="G25" s="2"/>
      <c r="H25" s="2"/>
      <c r="I25" s="2"/>
      <c r="J25" s="2"/>
      <c r="K25" s="2"/>
    </row>
    <row r="26" spans="2:11">
      <c r="B26" s="9"/>
      <c r="D26" s="2"/>
      <c r="E26" s="14"/>
      <c r="F26" s="2"/>
      <c r="G26" s="2"/>
      <c r="H26" s="2"/>
      <c r="I26" s="2"/>
      <c r="J26" s="2"/>
      <c r="K26" s="2"/>
    </row>
    <row r="27" spans="2:11" ht="18">
      <c r="B27" s="9">
        <v>-7</v>
      </c>
      <c r="C27" s="1" t="s">
        <v>4</v>
      </c>
      <c r="D27" s="17" t="s">
        <v>18</v>
      </c>
      <c r="E27" s="11" t="e">
        <f>'Index &amp; TB Model'!$O$63</f>
        <v>#DIV/0!</v>
      </c>
      <c r="F27" s="2"/>
      <c r="G27" s="2"/>
      <c r="H27" s="2"/>
      <c r="I27" s="2"/>
      <c r="J27" s="2"/>
      <c r="K27" s="2"/>
    </row>
    <row r="28" spans="2:11">
      <c r="B28" s="9"/>
      <c r="D28" s="17"/>
      <c r="E28" s="14"/>
      <c r="F28" s="2"/>
      <c r="G28" s="2"/>
      <c r="H28" s="2"/>
      <c r="I28" s="2"/>
      <c r="J28" s="2"/>
      <c r="K28" s="2"/>
    </row>
    <row r="29" spans="2:11" ht="16.5">
      <c r="B29" s="9"/>
      <c r="D29" s="2"/>
      <c r="E29" s="14" t="s">
        <v>5</v>
      </c>
      <c r="F29" s="14" t="s">
        <v>6</v>
      </c>
      <c r="G29" s="14" t="s">
        <v>7</v>
      </c>
      <c r="H29" s="14" t="s">
        <v>8</v>
      </c>
      <c r="I29" s="2" t="s">
        <v>9</v>
      </c>
      <c r="J29" s="2" t="s">
        <v>14</v>
      </c>
      <c r="K29" s="2"/>
    </row>
    <row r="30" spans="2:11">
      <c r="B30" s="9">
        <v>-8</v>
      </c>
      <c r="C30" s="1" t="s">
        <v>4</v>
      </c>
      <c r="D30" s="2" t="s">
        <v>17</v>
      </c>
      <c r="E30" s="11" t="e">
        <f>'Index &amp; TB Model'!Q63</f>
        <v>#DIV/0!</v>
      </c>
      <c r="F30" s="11" t="e">
        <f>'Index &amp; TB Model'!R63</f>
        <v>#DIV/0!</v>
      </c>
      <c r="G30" s="11" t="e">
        <f>'Index &amp; TB Model'!S63</f>
        <v>#DIV/0!</v>
      </c>
      <c r="H30" s="11" t="e">
        <f>'Index &amp; TB Model'!T63</f>
        <v>#DIV/0!</v>
      </c>
      <c r="I30" s="11" t="e">
        <f>'Index &amp; TB Model'!U63</f>
        <v>#DIV/0!</v>
      </c>
      <c r="J30" s="11" t="e">
        <f>'Index &amp; TB Model'!$N$63</f>
        <v>#DIV/0!</v>
      </c>
      <c r="K30" s="2"/>
    </row>
    <row r="31" spans="2:11">
      <c r="B31" s="9"/>
      <c r="D31" s="2"/>
      <c r="E31" s="2"/>
      <c r="F31" s="2"/>
      <c r="G31" s="2"/>
      <c r="H31" s="2"/>
      <c r="I31" s="2"/>
      <c r="J31" s="2"/>
      <c r="K31" s="2"/>
    </row>
    <row r="32" spans="2:11">
      <c r="B32" s="9"/>
      <c r="D32" s="2"/>
      <c r="E32" s="2"/>
      <c r="F32" s="2"/>
      <c r="G32" s="2"/>
      <c r="H32" s="2"/>
      <c r="I32" s="2"/>
      <c r="J32" s="2"/>
      <c r="K32" s="2"/>
    </row>
    <row r="33" spans="2:11">
      <c r="B33" s="9">
        <v>-9</v>
      </c>
      <c r="C33" s="1" t="s">
        <v>4</v>
      </c>
      <c r="D33" s="2" t="s">
        <v>19</v>
      </c>
      <c r="E33" s="11" t="e">
        <f>'Index &amp; TB Model'!$P$69</f>
        <v>#DIV/0!</v>
      </c>
      <c r="F33" s="2"/>
      <c r="G33" s="2"/>
      <c r="H33" s="2"/>
      <c r="I33" s="2"/>
      <c r="J33" s="2"/>
      <c r="K33" s="2"/>
    </row>
    <row r="34" spans="2:11">
      <c r="B34" s="9"/>
      <c r="D34" s="2"/>
      <c r="E34" s="14"/>
      <c r="F34" s="2"/>
      <c r="G34" s="2"/>
      <c r="H34" s="2"/>
      <c r="I34" s="2"/>
      <c r="J34" s="2"/>
      <c r="K34" s="2"/>
    </row>
    <row r="35" spans="2:11" ht="16.5">
      <c r="B35" s="9"/>
      <c r="D35" s="16"/>
      <c r="E35" s="14" t="s">
        <v>5</v>
      </c>
      <c r="F35" s="2" t="s">
        <v>6</v>
      </c>
      <c r="G35" s="2" t="s">
        <v>7</v>
      </c>
      <c r="H35" s="2" t="s">
        <v>8</v>
      </c>
      <c r="I35" s="2" t="s">
        <v>9</v>
      </c>
      <c r="J35" s="2" t="s">
        <v>14</v>
      </c>
      <c r="K35" s="2"/>
    </row>
    <row r="36" spans="2:11">
      <c r="B36" s="9">
        <v>-10</v>
      </c>
      <c r="C36" s="1" t="s">
        <v>4</v>
      </c>
      <c r="D36" s="2" t="s">
        <v>17</v>
      </c>
      <c r="E36" s="11" t="e">
        <f>'Expected Return x 0.5'!Q63</f>
        <v>#DIV/0!</v>
      </c>
      <c r="F36" s="11" t="e">
        <f>'Expected Return x 0.5'!R63</f>
        <v>#DIV/0!</v>
      </c>
      <c r="G36" s="11" t="e">
        <f>'Expected Return x 0.5'!S63</f>
        <v>#DIV/0!</v>
      </c>
      <c r="H36" s="11" t="e">
        <f>'Expected Return x 0.5'!T63</f>
        <v>#DIV/0!</v>
      </c>
      <c r="I36" s="11" t="e">
        <f>'Expected Return x 0.5'!U63</f>
        <v>#DIV/0!</v>
      </c>
      <c r="J36" s="11" t="e">
        <f>'Expected Return x 0.5'!$N$63</f>
        <v>#DIV/0!</v>
      </c>
      <c r="K36" s="2"/>
    </row>
    <row r="37" spans="2:11">
      <c r="B37" s="9"/>
      <c r="D37" s="2"/>
      <c r="E37" s="14"/>
      <c r="F37" s="2"/>
      <c r="G37" s="2"/>
      <c r="H37" s="2"/>
      <c r="I37" s="2"/>
      <c r="J37" s="2"/>
      <c r="K37" s="2"/>
    </row>
    <row r="38" spans="2:11" ht="18">
      <c r="B38" s="9">
        <v>-11</v>
      </c>
      <c r="C38" s="1" t="s">
        <v>4</v>
      </c>
      <c r="D38" s="17" t="s">
        <v>18</v>
      </c>
      <c r="E38" s="11" t="e">
        <f>'Benchmark risk = 0.04'!$O$63</f>
        <v>#DIV/0!</v>
      </c>
      <c r="F38" s="2"/>
      <c r="G38" s="2"/>
      <c r="H38" s="2"/>
      <c r="I38" s="2"/>
      <c r="J38" s="2"/>
      <c r="K38" s="2"/>
    </row>
    <row r="39" spans="2:11">
      <c r="B39" s="9"/>
      <c r="D39" s="2" t="s">
        <v>20</v>
      </c>
      <c r="E39" s="14">
        <f>'Benchmark risk = 0.04'!$AA$61</f>
        <v>2.5262538166680244</v>
      </c>
      <c r="F39" s="2"/>
      <c r="G39" s="2"/>
      <c r="H39" s="2"/>
      <c r="I39" s="2"/>
      <c r="J39" s="2"/>
      <c r="K39" s="2"/>
    </row>
    <row r="40" spans="2:11">
      <c r="B40" s="9"/>
      <c r="D40" s="2" t="s">
        <v>21</v>
      </c>
      <c r="E40" s="11" t="e">
        <f>'Benchmark risk = 0.04'!$AA$62</f>
        <v>#DIV/0!</v>
      </c>
      <c r="F40" s="2"/>
      <c r="G40" s="2"/>
      <c r="H40" s="2"/>
      <c r="I40" s="2"/>
      <c r="J40" s="2"/>
      <c r="K40" s="2"/>
    </row>
    <row r="41" spans="2:11">
      <c r="B41" s="9"/>
      <c r="D41" s="2"/>
      <c r="E41" s="14"/>
      <c r="F41" s="2"/>
      <c r="G41" s="2"/>
      <c r="H41" s="2"/>
      <c r="I41" s="2"/>
      <c r="J41" s="2"/>
      <c r="K41" s="2"/>
    </row>
    <row r="42" spans="2:11">
      <c r="B42" s="9">
        <v>-12</v>
      </c>
      <c r="C42" s="1" t="s">
        <v>4</v>
      </c>
      <c r="D42" s="2" t="s">
        <v>22</v>
      </c>
      <c r="E42" s="18" t="e">
        <f>'Benchmark risk = 0.04'!$N$80</f>
        <v>#DIV/0!</v>
      </c>
      <c r="F42" s="2"/>
      <c r="G42" s="2"/>
      <c r="H42" s="14"/>
      <c r="I42" s="2"/>
      <c r="J42" s="2"/>
      <c r="K42" s="2"/>
    </row>
    <row r="43" spans="2:11">
      <c r="B43" s="9"/>
      <c r="D43" s="2" t="s">
        <v>23</v>
      </c>
      <c r="E43" s="96" t="e">
        <f>'Benchmark risk = 0.04'!O81</f>
        <v>#DIV/0!</v>
      </c>
      <c r="F43" s="2"/>
      <c r="G43" s="2"/>
      <c r="H43" s="19"/>
      <c r="I43" s="2"/>
      <c r="J43" s="2"/>
      <c r="K43" s="2"/>
    </row>
    <row r="44" spans="2:11">
      <c r="B44" s="9"/>
      <c r="D44" s="2" t="s">
        <v>24</v>
      </c>
      <c r="E44" s="97" t="e">
        <f>'Benchmark risk = 0.04'!O82</f>
        <v>#DIV/0!</v>
      </c>
      <c r="F44" s="2"/>
      <c r="G44" s="2"/>
      <c r="H44" s="19"/>
      <c r="I44" s="2"/>
      <c r="J44" s="2"/>
      <c r="K44" s="2"/>
    </row>
    <row r="45" spans="2:11">
      <c r="B45" s="9"/>
      <c r="D45" s="2" t="s">
        <v>25</v>
      </c>
      <c r="E45" s="97" t="e">
        <f>'Benchmark risk = 0.04'!O83</f>
        <v>#DIV/0!</v>
      </c>
      <c r="F45" s="2"/>
      <c r="G45" s="2"/>
      <c r="H45" s="19"/>
      <c r="I45" s="2"/>
      <c r="J45" s="2"/>
      <c r="K45" s="2"/>
    </row>
    <row r="46" spans="2:11">
      <c r="B46" s="9"/>
      <c r="D46" s="2" t="s">
        <v>26</v>
      </c>
      <c r="E46" s="97" t="e">
        <f>'Benchmark risk = 0.04'!O84</f>
        <v>#DIV/0!</v>
      </c>
      <c r="F46" s="2"/>
      <c r="G46" s="2"/>
      <c r="H46" s="19"/>
      <c r="I46" s="2"/>
      <c r="J46" s="2"/>
      <c r="K46" s="2"/>
    </row>
    <row r="47" spans="2:11">
      <c r="B47" s="9"/>
      <c r="D47" s="2" t="s">
        <v>27</v>
      </c>
      <c r="E47" s="97" t="e">
        <f>'Benchmark risk = 0.04'!O85</f>
        <v>#DIV/0!</v>
      </c>
      <c r="F47" s="2"/>
      <c r="G47" s="2"/>
      <c r="H47" s="19"/>
      <c r="I47" s="2"/>
      <c r="J47" s="2"/>
      <c r="K47" s="2"/>
    </row>
    <row r="48" spans="2:11">
      <c r="B48" s="9"/>
      <c r="D48" s="2" t="s">
        <v>28</v>
      </c>
      <c r="E48" s="97" t="e">
        <f>'Benchmark risk = 0.04'!O86</f>
        <v>#DIV/0!</v>
      </c>
      <c r="F48" s="2"/>
      <c r="G48" s="2"/>
      <c r="H48" s="19"/>
      <c r="I48" s="2"/>
      <c r="J48" s="2"/>
      <c r="K48" s="2"/>
    </row>
    <row r="49" spans="2:10">
      <c r="B49" s="9"/>
      <c r="D49" s="2" t="s">
        <v>29</v>
      </c>
      <c r="E49" s="97" t="e">
        <f>'Benchmark risk = 0.04'!O87</f>
        <v>#DIV/0!</v>
      </c>
      <c r="F49" s="2"/>
      <c r="G49" s="2"/>
      <c r="H49" s="19"/>
      <c r="I49" s="2"/>
      <c r="J49" s="2"/>
    </row>
  </sheetData>
  <mergeCells count="1">
    <mergeCell ref="C1:E1"/>
  </mergeCells>
  <phoneticPr fontId="17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2090F-E770-42AC-9658-C91EC3351768}">
  <dimension ref="A1:O134"/>
  <sheetViews>
    <sheetView workbookViewId="0">
      <selection activeCell="F1" sqref="F1"/>
    </sheetView>
  </sheetViews>
  <sheetFormatPr defaultRowHeight="16.5"/>
  <cols>
    <col min="1" max="1" width="10.375" bestFit="1" customWidth="1"/>
    <col min="2" max="5" width="13.5" bestFit="1" customWidth="1"/>
    <col min="6" max="6" width="14.875" bestFit="1" customWidth="1"/>
    <col min="7" max="7" width="19.25" bestFit="1" customWidth="1"/>
    <col min="8" max="8" width="11" customWidth="1"/>
    <col min="10" max="10" width="12.25" bestFit="1" customWidth="1"/>
    <col min="11" max="12" width="10.125" bestFit="1" customWidth="1"/>
    <col min="13" max="13" width="12.5" bestFit="1" customWidth="1"/>
    <col min="14" max="14" width="14.875" bestFit="1" customWidth="1"/>
    <col min="15" max="15" width="19.25" bestFit="1" customWidth="1"/>
  </cols>
  <sheetData>
    <row r="1" spans="1:15">
      <c r="A1" s="99" t="s">
        <v>132</v>
      </c>
      <c r="B1" s="25" t="s">
        <v>133</v>
      </c>
      <c r="C1" s="25" t="s">
        <v>131</v>
      </c>
      <c r="D1" s="25" t="s">
        <v>134</v>
      </c>
      <c r="E1" s="25" t="s">
        <v>135</v>
      </c>
      <c r="F1" s="25" t="s">
        <v>136</v>
      </c>
      <c r="G1" s="25" t="s">
        <v>137</v>
      </c>
      <c r="H1" s="25" t="s">
        <v>146</v>
      </c>
      <c r="J1" s="25"/>
      <c r="K1" s="25"/>
      <c r="L1" s="25"/>
      <c r="M1" s="25"/>
      <c r="N1" s="25"/>
      <c r="O1" s="25"/>
    </row>
    <row r="2" spans="1:15">
      <c r="A2" s="22">
        <v>44932</v>
      </c>
      <c r="B2">
        <v>1.3697999999999999</v>
      </c>
      <c r="C2" s="34">
        <v>-2.9462752999999999</v>
      </c>
      <c r="D2">
        <v>2.423</v>
      </c>
      <c r="E2">
        <v>5.3334000000000001</v>
      </c>
      <c r="F2">
        <v>1.6950000000000001</v>
      </c>
      <c r="G2">
        <v>4.4196</v>
      </c>
      <c r="H2">
        <v>0.98</v>
      </c>
    </row>
    <row r="3" spans="1:15">
      <c r="A3" s="22">
        <v>44939</v>
      </c>
      <c r="B3">
        <v>1.0810999999999999</v>
      </c>
      <c r="C3" s="34">
        <v>-0.5357172</v>
      </c>
      <c r="D3">
        <v>-1.0752999999999999</v>
      </c>
      <c r="E3">
        <v>-3.7974999999999999</v>
      </c>
      <c r="F3">
        <v>1.6667000000000001</v>
      </c>
      <c r="G3">
        <v>2.2742</v>
      </c>
      <c r="H3">
        <v>0.98</v>
      </c>
    </row>
    <row r="4" spans="1:15">
      <c r="A4" s="22">
        <v>44943</v>
      </c>
      <c r="B4">
        <v>0.66849999999999998</v>
      </c>
      <c r="C4" s="34">
        <v>-0.35906839999999995</v>
      </c>
      <c r="D4">
        <v>0</v>
      </c>
      <c r="E4">
        <v>2.1928999999999998</v>
      </c>
      <c r="F4">
        <v>3.6886000000000001</v>
      </c>
      <c r="G4">
        <v>0.86470000000000002</v>
      </c>
      <c r="H4">
        <v>0.98</v>
      </c>
    </row>
    <row r="5" spans="1:15">
      <c r="A5" s="22">
        <v>44960</v>
      </c>
      <c r="B5">
        <v>3.1871999999999998</v>
      </c>
      <c r="C5" s="34">
        <v>2.7027099999999997</v>
      </c>
      <c r="D5">
        <v>4.7824999999999998</v>
      </c>
      <c r="E5">
        <v>6.867</v>
      </c>
      <c r="F5">
        <v>12.2531</v>
      </c>
      <c r="G5">
        <v>7.7771999999999997</v>
      </c>
      <c r="H5">
        <v>0.98</v>
      </c>
    </row>
    <row r="6" spans="1:15">
      <c r="A6" s="22">
        <v>44967</v>
      </c>
      <c r="B6">
        <v>1.6732</v>
      </c>
      <c r="C6" s="34">
        <v>55.263149899999995</v>
      </c>
      <c r="D6">
        <v>-1.4521999999999999</v>
      </c>
      <c r="E6">
        <v>-3.2128999999999999</v>
      </c>
      <c r="F6">
        <v>0.35220000000000001</v>
      </c>
      <c r="G6">
        <v>-0.56820000000000004</v>
      </c>
      <c r="H6">
        <v>0.98</v>
      </c>
    </row>
    <row r="7" spans="1:15">
      <c r="A7" s="22">
        <v>44974</v>
      </c>
      <c r="B7">
        <v>-0.25319999999999998</v>
      </c>
      <c r="C7" s="34">
        <v>-3.5028252000000002</v>
      </c>
      <c r="D7">
        <v>0.84209999999999996</v>
      </c>
      <c r="E7">
        <v>0.82989999999999997</v>
      </c>
      <c r="F7">
        <v>4.9123000000000001</v>
      </c>
      <c r="G7">
        <v>-1E-4</v>
      </c>
      <c r="H7">
        <v>0.98</v>
      </c>
    </row>
    <row r="8" spans="1:15">
      <c r="A8" s="22">
        <v>44981</v>
      </c>
      <c r="B8">
        <v>3.9340000000000002</v>
      </c>
      <c r="C8" s="34">
        <v>-16.276347699999999</v>
      </c>
      <c r="D8">
        <v>1.2525999999999999</v>
      </c>
      <c r="E8">
        <v>1.6462000000000001</v>
      </c>
      <c r="F8">
        <v>4.3478000000000003</v>
      </c>
      <c r="G8">
        <v>1.4285000000000001</v>
      </c>
      <c r="H8">
        <v>0.98</v>
      </c>
    </row>
    <row r="9" spans="1:15">
      <c r="A9" s="22">
        <v>44988</v>
      </c>
      <c r="B9">
        <v>-1.8315999999999999</v>
      </c>
      <c r="C9" s="34">
        <v>10.489509700000001</v>
      </c>
      <c r="D9">
        <v>0.41239999999999999</v>
      </c>
      <c r="E9">
        <v>-2.0243000000000002</v>
      </c>
      <c r="F9">
        <v>-1E-4</v>
      </c>
      <c r="G9">
        <v>0.16900000000000001</v>
      </c>
      <c r="H9">
        <v>1.1000000000000001</v>
      </c>
    </row>
    <row r="10" spans="1:15">
      <c r="A10" s="22">
        <v>44995</v>
      </c>
      <c r="B10">
        <v>2.4874999999999998</v>
      </c>
      <c r="C10" s="34">
        <v>-5.6962020999999998</v>
      </c>
      <c r="D10">
        <v>-0.4108</v>
      </c>
      <c r="E10">
        <v>-0.82640000000000002</v>
      </c>
      <c r="F10">
        <v>-3.5255999999999998</v>
      </c>
      <c r="G10">
        <v>-0.89990000000000003</v>
      </c>
      <c r="H10">
        <v>1.1000000000000001</v>
      </c>
    </row>
    <row r="11" spans="1:15">
      <c r="A11" s="22">
        <v>45002</v>
      </c>
      <c r="B11">
        <v>-2.5484</v>
      </c>
      <c r="C11" s="34">
        <v>-5.3691345000000004</v>
      </c>
      <c r="D11">
        <v>-1.0308999999999999</v>
      </c>
      <c r="E11">
        <v>-1.6667000000000001</v>
      </c>
      <c r="F11">
        <v>-5.3155999999999999</v>
      </c>
      <c r="G11">
        <v>0.90810000000000002</v>
      </c>
      <c r="H11">
        <v>1.1000000000000001</v>
      </c>
    </row>
    <row r="12" spans="1:15">
      <c r="A12" s="22">
        <v>45009</v>
      </c>
      <c r="B12">
        <v>2.3660999999999999</v>
      </c>
      <c r="C12" s="34">
        <v>9.9290976000000004</v>
      </c>
      <c r="D12">
        <v>10.416499999999999</v>
      </c>
      <c r="E12">
        <v>23.7288</v>
      </c>
      <c r="F12">
        <v>1.4035</v>
      </c>
      <c r="G12">
        <v>3.4870999999999999</v>
      </c>
      <c r="H12">
        <v>1.1000000000000001</v>
      </c>
    </row>
    <row r="13" spans="1:15">
      <c r="A13" s="22">
        <v>45016</v>
      </c>
      <c r="B13">
        <v>0.60829999999999995</v>
      </c>
      <c r="C13" s="34">
        <v>-5.8064505999999998</v>
      </c>
      <c r="D13">
        <v>-2.0754000000000001</v>
      </c>
      <c r="E13">
        <v>-7.5343</v>
      </c>
      <c r="F13">
        <v>-1.038</v>
      </c>
      <c r="G13">
        <v>0</v>
      </c>
      <c r="H13">
        <v>1.1000000000000001</v>
      </c>
    </row>
    <row r="14" spans="1:15">
      <c r="A14" s="22">
        <v>45023</v>
      </c>
      <c r="B14">
        <v>0.4133</v>
      </c>
      <c r="C14" s="34">
        <v>0.13100000000000001</v>
      </c>
      <c r="D14">
        <v>3.4681999999999999</v>
      </c>
      <c r="E14">
        <v>-0.37040000000000001</v>
      </c>
      <c r="F14">
        <v>5.2447999999999997</v>
      </c>
      <c r="G14">
        <v>-0.1087</v>
      </c>
      <c r="H14">
        <v>1.1000000000000001</v>
      </c>
    </row>
    <row r="15" spans="1:15">
      <c r="A15" s="22">
        <v>45030</v>
      </c>
      <c r="B15">
        <v>1.0389999999999999</v>
      </c>
      <c r="C15" s="34">
        <v>-2.3287681999999998</v>
      </c>
      <c r="D15">
        <v>22.346299999999999</v>
      </c>
      <c r="E15">
        <v>4.0891999999999999</v>
      </c>
      <c r="F15">
        <v>4.319</v>
      </c>
      <c r="G15">
        <v>2.0131000000000001</v>
      </c>
      <c r="H15">
        <v>1.1000000000000001</v>
      </c>
    </row>
    <row r="16" spans="1:15">
      <c r="A16" s="22">
        <v>45037</v>
      </c>
      <c r="B16">
        <v>-1.671</v>
      </c>
      <c r="C16" s="34">
        <v>-1.8232915999999999</v>
      </c>
      <c r="D16">
        <v>-4.8707000000000003</v>
      </c>
      <c r="E16">
        <v>-8.2142999999999997</v>
      </c>
      <c r="F16">
        <v>2.5478000000000001</v>
      </c>
      <c r="G16">
        <v>-5.3334000000000001</v>
      </c>
      <c r="H16">
        <v>1.1000000000000001</v>
      </c>
    </row>
    <row r="17" spans="1:8">
      <c r="A17" s="22">
        <v>45044</v>
      </c>
      <c r="B17">
        <v>-0.39219999999999999</v>
      </c>
      <c r="C17" s="34">
        <v>0.57143169999999999</v>
      </c>
      <c r="D17">
        <v>24.16</v>
      </c>
      <c r="E17">
        <v>-1E-4</v>
      </c>
      <c r="F17">
        <v>-2.4845000000000002</v>
      </c>
      <c r="G17">
        <v>0.73240000000000005</v>
      </c>
      <c r="H17">
        <v>1.1000000000000001</v>
      </c>
    </row>
    <row r="18" spans="1:8">
      <c r="A18" s="22">
        <v>45051</v>
      </c>
      <c r="B18">
        <v>1.0499000000000001</v>
      </c>
      <c r="C18" s="34">
        <v>-0.56818489999999999</v>
      </c>
      <c r="D18">
        <v>-11.340199999999999</v>
      </c>
      <c r="E18">
        <v>4.6692</v>
      </c>
      <c r="F18">
        <v>-4.1402000000000001</v>
      </c>
      <c r="G18">
        <v>1.5101</v>
      </c>
      <c r="H18">
        <v>1.1000000000000001</v>
      </c>
    </row>
    <row r="19" spans="1:8">
      <c r="A19" s="22">
        <v>45058</v>
      </c>
      <c r="B19">
        <v>-1.4286000000000001</v>
      </c>
      <c r="C19" s="34">
        <v>0.71427779999999996</v>
      </c>
      <c r="D19">
        <v>-3.6337999999999999</v>
      </c>
      <c r="E19">
        <v>1.1153</v>
      </c>
      <c r="F19">
        <v>-3.6543999999999999</v>
      </c>
      <c r="G19">
        <v>-2.7547999999999999</v>
      </c>
      <c r="H19">
        <v>1.1000000000000001</v>
      </c>
    </row>
    <row r="20" spans="1:8">
      <c r="A20" s="22">
        <v>45065</v>
      </c>
      <c r="B20">
        <v>1.054</v>
      </c>
      <c r="C20" s="34">
        <v>-2.4113315000000002</v>
      </c>
      <c r="D20">
        <v>22.925899999999999</v>
      </c>
      <c r="E20">
        <v>8.0883000000000003</v>
      </c>
      <c r="F20">
        <v>2.0689000000000002</v>
      </c>
      <c r="G20">
        <v>2.2663000000000002</v>
      </c>
      <c r="H20">
        <v>1.1000000000000001</v>
      </c>
    </row>
    <row r="21" spans="1:8">
      <c r="A21" s="22">
        <v>45072</v>
      </c>
      <c r="B21">
        <v>0.91259999999999997</v>
      </c>
      <c r="C21" s="34">
        <v>3.6337223000000001</v>
      </c>
      <c r="D21">
        <v>0.8589</v>
      </c>
      <c r="E21">
        <v>10.8843</v>
      </c>
      <c r="F21">
        <v>1E-4</v>
      </c>
      <c r="G21">
        <v>0.72019999999999995</v>
      </c>
      <c r="H21">
        <v>1.1000000000000001</v>
      </c>
    </row>
    <row r="22" spans="1:8">
      <c r="A22" s="22">
        <v>45079</v>
      </c>
      <c r="B22">
        <v>2.0672000000000001</v>
      </c>
      <c r="C22" s="34">
        <v>7.9943744999999993</v>
      </c>
      <c r="D22">
        <v>12.408799999999999</v>
      </c>
      <c r="E22">
        <v>0.61350000000000005</v>
      </c>
      <c r="F22">
        <v>0.67569999999999997</v>
      </c>
      <c r="G22">
        <v>2.8601999999999999</v>
      </c>
      <c r="H22">
        <v>1.1000000000000001</v>
      </c>
    </row>
    <row r="23" spans="1:8">
      <c r="A23" s="22">
        <v>45086</v>
      </c>
      <c r="B23">
        <v>3.1644999999999999</v>
      </c>
      <c r="C23" s="34">
        <v>-2.5973953000000001</v>
      </c>
      <c r="D23">
        <v>-4.1124999999999998</v>
      </c>
      <c r="E23">
        <v>3.3536000000000001</v>
      </c>
      <c r="F23">
        <v>0.67120000000000002</v>
      </c>
      <c r="G23">
        <v>2.0855999999999999</v>
      </c>
      <c r="H23">
        <v>1.1000000000000001</v>
      </c>
    </row>
    <row r="24" spans="1:8">
      <c r="A24" s="22">
        <v>45093</v>
      </c>
      <c r="B24">
        <v>-2.4540000000000002</v>
      </c>
      <c r="C24" s="34">
        <v>-5.3333290999999994</v>
      </c>
      <c r="D24">
        <v>5.7561999999999998</v>
      </c>
      <c r="E24">
        <v>1E-4</v>
      </c>
      <c r="F24">
        <v>-2</v>
      </c>
      <c r="G24">
        <v>2.1476999999999999</v>
      </c>
      <c r="H24">
        <v>1.1000000000000001</v>
      </c>
    </row>
    <row r="25" spans="1:8">
      <c r="A25" s="22">
        <v>45098</v>
      </c>
      <c r="B25">
        <v>-0.88049999999999995</v>
      </c>
      <c r="C25" s="34">
        <v>-2.8169048999999999</v>
      </c>
      <c r="D25">
        <v>-2.1345999999999998</v>
      </c>
      <c r="E25">
        <v>3.5398999999999998</v>
      </c>
      <c r="F25">
        <v>-0.68030000000000002</v>
      </c>
      <c r="G25">
        <v>-1.4358</v>
      </c>
      <c r="H25">
        <v>1.1000000000000001</v>
      </c>
    </row>
    <row r="26" spans="1:8">
      <c r="A26" s="22">
        <v>45107</v>
      </c>
      <c r="B26">
        <v>0.50760000000000005</v>
      </c>
      <c r="C26" s="34">
        <v>-3.7681062999999999</v>
      </c>
      <c r="D26">
        <v>-8.1395</v>
      </c>
      <c r="E26">
        <v>-1.1395</v>
      </c>
      <c r="F26">
        <v>6.8493000000000004</v>
      </c>
      <c r="G26">
        <v>0.9365</v>
      </c>
      <c r="H26">
        <v>1.1000000000000001</v>
      </c>
    </row>
    <row r="27" spans="1:8">
      <c r="A27" s="22">
        <v>45114</v>
      </c>
      <c r="B27">
        <v>0.37890000000000001</v>
      </c>
      <c r="C27" s="34">
        <v>2.4096202</v>
      </c>
      <c r="D27">
        <v>21.394200000000001</v>
      </c>
      <c r="E27">
        <v>0.57640000000000002</v>
      </c>
      <c r="F27">
        <v>5.1283000000000003</v>
      </c>
      <c r="G27">
        <v>-2.1648999999999998</v>
      </c>
      <c r="H27">
        <v>1.1000000000000001</v>
      </c>
    </row>
    <row r="28" spans="1:8">
      <c r="A28" s="22">
        <v>45121</v>
      </c>
      <c r="B28">
        <v>-1.5094000000000001</v>
      </c>
      <c r="C28" s="34">
        <v>9.7210336000000002</v>
      </c>
      <c r="D28">
        <v>22.376200000000001</v>
      </c>
      <c r="E28">
        <v>11.0799</v>
      </c>
      <c r="F28">
        <v>6.0975999999999999</v>
      </c>
      <c r="G28">
        <v>2.4237000000000002</v>
      </c>
      <c r="H28">
        <v>1.1000000000000001</v>
      </c>
    </row>
    <row r="29" spans="1:8">
      <c r="A29" s="22">
        <v>45128</v>
      </c>
      <c r="B29">
        <v>2.6819000000000002</v>
      </c>
      <c r="C29" s="34">
        <v>-1.2328851000000001</v>
      </c>
      <c r="D29">
        <v>14.401300000000001</v>
      </c>
      <c r="E29">
        <v>0.5363</v>
      </c>
      <c r="F29">
        <v>4.0228999999999999</v>
      </c>
      <c r="G29">
        <v>-1.3889</v>
      </c>
      <c r="H29">
        <v>1.1000000000000001</v>
      </c>
    </row>
    <row r="30" spans="1:8">
      <c r="A30" s="22">
        <v>45135</v>
      </c>
      <c r="B30">
        <v>-0.37309999999999999</v>
      </c>
      <c r="C30" s="34">
        <v>-0.97086800000000006</v>
      </c>
      <c r="D30">
        <v>3.8189000000000002</v>
      </c>
      <c r="E30">
        <v>13.066599999999999</v>
      </c>
      <c r="F30">
        <v>5.2487000000000004</v>
      </c>
      <c r="G30">
        <v>-0.2087</v>
      </c>
      <c r="H30">
        <v>1.1000000000000001</v>
      </c>
    </row>
    <row r="31" spans="1:8">
      <c r="A31" s="22">
        <v>45142</v>
      </c>
      <c r="B31">
        <v>0.49940000000000001</v>
      </c>
      <c r="C31" s="34">
        <v>-3.7815158000000002</v>
      </c>
      <c r="D31">
        <v>-7.2206999999999999</v>
      </c>
      <c r="E31">
        <v>-10.141500000000001</v>
      </c>
      <c r="F31">
        <v>-4.7244999999999999</v>
      </c>
      <c r="G31">
        <v>-3.45</v>
      </c>
      <c r="H31">
        <v>1.1000000000000001</v>
      </c>
    </row>
    <row r="32" spans="1:8">
      <c r="A32" s="22">
        <v>45149</v>
      </c>
      <c r="B32">
        <v>0.37280000000000002</v>
      </c>
      <c r="C32" s="34">
        <v>-1.8922832000000001</v>
      </c>
      <c r="D32">
        <v>-20.264299999999999</v>
      </c>
      <c r="E32">
        <v>3.1495000000000002</v>
      </c>
      <c r="F32">
        <v>-5.7851999999999997</v>
      </c>
      <c r="G32">
        <v>-2.4363000000000001</v>
      </c>
      <c r="H32">
        <v>1.1000000000000001</v>
      </c>
    </row>
    <row r="33" spans="1:8">
      <c r="A33" s="22">
        <v>45156</v>
      </c>
      <c r="B33">
        <v>-1.9802</v>
      </c>
      <c r="C33" s="34">
        <v>-4.7477802999999996</v>
      </c>
      <c r="D33">
        <v>10.3131</v>
      </c>
      <c r="E33">
        <v>0.2545</v>
      </c>
      <c r="F33">
        <v>-3.5087000000000002</v>
      </c>
      <c r="G33">
        <v>-0.94330000000000003</v>
      </c>
      <c r="H33">
        <v>1.1000000000000001</v>
      </c>
    </row>
    <row r="34" spans="1:8">
      <c r="A34" s="22">
        <v>45163</v>
      </c>
      <c r="B34">
        <v>0.37880000000000003</v>
      </c>
      <c r="C34" s="34">
        <v>3.2710337999999997</v>
      </c>
      <c r="D34">
        <v>-12.687900000000001</v>
      </c>
      <c r="E34">
        <v>-3.0457000000000001</v>
      </c>
      <c r="F34">
        <v>-0.30309999999999998</v>
      </c>
      <c r="G34">
        <v>-0.89629999999999999</v>
      </c>
      <c r="H34">
        <v>1.1000000000000001</v>
      </c>
    </row>
    <row r="35" spans="1:8">
      <c r="A35" s="22">
        <v>45170</v>
      </c>
      <c r="B35">
        <v>0.75470000000000004</v>
      </c>
      <c r="C35" s="34">
        <v>-2.8657576000000002</v>
      </c>
      <c r="D35">
        <v>-4.9713000000000003</v>
      </c>
      <c r="E35">
        <v>0.26179999999999998</v>
      </c>
      <c r="F35">
        <v>8.5106999999999999</v>
      </c>
      <c r="G35">
        <v>4.1266999999999996</v>
      </c>
      <c r="H35">
        <v>1.1000000000000001</v>
      </c>
    </row>
    <row r="36" spans="1:8">
      <c r="A36" s="22">
        <v>45177</v>
      </c>
      <c r="B36">
        <v>1.1235999999999999</v>
      </c>
      <c r="C36" s="34">
        <v>-9.6273312999999998</v>
      </c>
      <c r="D36">
        <v>28.7728</v>
      </c>
      <c r="E36">
        <v>11.7494</v>
      </c>
      <c r="F36">
        <v>0.84030000000000005</v>
      </c>
      <c r="G36">
        <v>-0.54290000000000005</v>
      </c>
      <c r="H36">
        <v>1.1000000000000001</v>
      </c>
    </row>
    <row r="37" spans="1:8">
      <c r="A37" s="22">
        <v>45184</v>
      </c>
      <c r="B37">
        <v>1.4816</v>
      </c>
      <c r="C37" s="34">
        <v>7.0446699000000006</v>
      </c>
      <c r="D37">
        <v>6.5625</v>
      </c>
      <c r="E37">
        <v>1.6355</v>
      </c>
      <c r="F37">
        <v>5.1814</v>
      </c>
      <c r="G37">
        <v>4.0938999999999997</v>
      </c>
      <c r="H37">
        <v>1.1000000000000001</v>
      </c>
    </row>
    <row r="38" spans="1:8">
      <c r="A38" s="22">
        <v>45191</v>
      </c>
      <c r="B38">
        <v>-1.4598</v>
      </c>
      <c r="C38" s="34">
        <v>-3.6918103000000002</v>
      </c>
      <c r="D38">
        <v>8.2112999999999996</v>
      </c>
      <c r="E38">
        <v>-2.5287000000000002</v>
      </c>
      <c r="F38">
        <v>0</v>
      </c>
      <c r="G38">
        <v>-2.6219999999999999</v>
      </c>
      <c r="H38">
        <v>1.1000000000000001</v>
      </c>
    </row>
    <row r="39" spans="1:8">
      <c r="A39" s="22">
        <v>45197</v>
      </c>
      <c r="B39">
        <v>-0.86419999999999997</v>
      </c>
      <c r="C39" s="34">
        <v>-0.86499999999999999</v>
      </c>
      <c r="D39">
        <v>0.13550000000000001</v>
      </c>
      <c r="E39">
        <v>-3.3018999999999998</v>
      </c>
      <c r="F39">
        <v>1.6304000000000001</v>
      </c>
      <c r="G39">
        <v>-0.75390000000000001</v>
      </c>
      <c r="H39">
        <v>1.1000000000000001</v>
      </c>
    </row>
    <row r="40" spans="1:8">
      <c r="A40" s="22">
        <v>45205</v>
      </c>
      <c r="B40">
        <v>-0.1245</v>
      </c>
      <c r="C40" s="34">
        <v>-2.5000081000000001</v>
      </c>
      <c r="D40">
        <v>2.165</v>
      </c>
      <c r="E40">
        <v>0.24390000000000001</v>
      </c>
      <c r="F40">
        <v>-0.80210000000000004</v>
      </c>
      <c r="G40">
        <v>2.9843000000000002</v>
      </c>
      <c r="H40">
        <v>1.1000000000000001</v>
      </c>
    </row>
    <row r="41" spans="1:8">
      <c r="A41" s="22">
        <v>45212</v>
      </c>
      <c r="B41">
        <v>-0.87280000000000002</v>
      </c>
      <c r="C41" s="34">
        <v>0.8547106000000001</v>
      </c>
      <c r="D41">
        <v>2.649</v>
      </c>
      <c r="E41">
        <v>4.3795999999999999</v>
      </c>
      <c r="F41">
        <v>2.1564000000000001</v>
      </c>
      <c r="G41">
        <v>0.68489999999999995</v>
      </c>
      <c r="H41">
        <v>1.1000000000000001</v>
      </c>
    </row>
    <row r="42" spans="1:8">
      <c r="A42" s="22">
        <v>45219</v>
      </c>
      <c r="B42">
        <v>-1.0063</v>
      </c>
      <c r="C42" s="34">
        <v>-2.8813610999999999</v>
      </c>
      <c r="D42">
        <v>-8.2181999999999995</v>
      </c>
      <c r="E42">
        <v>-9.7902000000000005</v>
      </c>
      <c r="F42">
        <v>7.1239999999999997</v>
      </c>
      <c r="G42">
        <v>-1.8838999999999999</v>
      </c>
      <c r="H42">
        <v>1.1000000000000001</v>
      </c>
    </row>
    <row r="43" spans="1:8">
      <c r="A43" s="22">
        <v>45226</v>
      </c>
      <c r="B43">
        <v>0.127</v>
      </c>
      <c r="C43" s="34">
        <v>-2.2687585000000001</v>
      </c>
      <c r="D43">
        <v>1.7316</v>
      </c>
      <c r="E43">
        <v>-0.51680000000000004</v>
      </c>
      <c r="F43">
        <v>18.226500000000001</v>
      </c>
      <c r="G43">
        <v>-1.4933000000000001</v>
      </c>
      <c r="H43">
        <v>1.1000000000000001</v>
      </c>
    </row>
    <row r="44" spans="1:8">
      <c r="A44" s="22">
        <v>45233</v>
      </c>
      <c r="B44">
        <v>-0.25380000000000003</v>
      </c>
      <c r="C44" s="34">
        <v>-6.7857189999999994</v>
      </c>
      <c r="D44">
        <v>-1.8440000000000001</v>
      </c>
      <c r="E44">
        <v>5.4546000000000001</v>
      </c>
      <c r="F44">
        <v>-12.5</v>
      </c>
      <c r="G44">
        <v>1.9491000000000001</v>
      </c>
      <c r="H44">
        <v>1.1000000000000001</v>
      </c>
    </row>
    <row r="45" spans="1:8">
      <c r="A45" s="22">
        <v>45240</v>
      </c>
      <c r="B45">
        <v>0.25440000000000002</v>
      </c>
      <c r="C45" s="34">
        <v>0.57471919999999999</v>
      </c>
      <c r="D45">
        <v>-6.7919</v>
      </c>
      <c r="E45">
        <v>7.3891999999999998</v>
      </c>
      <c r="F45">
        <v>18.095199999999998</v>
      </c>
      <c r="G45">
        <v>0.90290000000000004</v>
      </c>
      <c r="H45">
        <v>1.1000000000000001</v>
      </c>
    </row>
    <row r="46" spans="1:8">
      <c r="A46" s="22">
        <v>45247</v>
      </c>
      <c r="B46">
        <v>1.7766999999999999</v>
      </c>
      <c r="C46" s="34">
        <v>-2.8571444000000001</v>
      </c>
      <c r="D46">
        <v>12.093</v>
      </c>
      <c r="E46">
        <v>2.9817</v>
      </c>
      <c r="F46">
        <v>-3.2258</v>
      </c>
      <c r="G46">
        <v>3.1888000000000001</v>
      </c>
      <c r="H46">
        <v>1.1000000000000001</v>
      </c>
    </row>
    <row r="47" spans="1:8">
      <c r="A47" s="22">
        <v>45254</v>
      </c>
      <c r="B47">
        <v>0.74809999999999999</v>
      </c>
      <c r="C47" s="34">
        <v>0.98038740000000002</v>
      </c>
      <c r="D47">
        <v>-0.55330000000000001</v>
      </c>
      <c r="E47">
        <v>-4.4543999999999997</v>
      </c>
      <c r="F47">
        <v>0.83340000000000003</v>
      </c>
      <c r="G47">
        <v>0.47499999999999998</v>
      </c>
      <c r="H47">
        <v>1.1000000000000001</v>
      </c>
    </row>
    <row r="48" spans="1:8">
      <c r="A48" s="22">
        <v>45261</v>
      </c>
      <c r="B48">
        <v>0.37130000000000002</v>
      </c>
      <c r="C48" s="34">
        <v>7.7669924000000004</v>
      </c>
      <c r="D48">
        <v>8.3450000000000006</v>
      </c>
      <c r="E48">
        <v>0.69930000000000003</v>
      </c>
      <c r="F48">
        <v>-2.4792999999999998</v>
      </c>
      <c r="G48">
        <v>2.2059000000000002</v>
      </c>
      <c r="H48">
        <v>1.1000000000000001</v>
      </c>
    </row>
    <row r="49" spans="1:8">
      <c r="A49" s="22">
        <v>45268</v>
      </c>
      <c r="B49">
        <v>0.7399</v>
      </c>
      <c r="C49" s="34">
        <v>-1.2612683</v>
      </c>
      <c r="D49">
        <v>-4.4930000000000003</v>
      </c>
      <c r="E49">
        <v>-3.4723000000000002</v>
      </c>
      <c r="F49">
        <v>13.3474</v>
      </c>
      <c r="G49">
        <v>0.97629999999999995</v>
      </c>
      <c r="H49">
        <v>1.1000000000000001</v>
      </c>
    </row>
    <row r="50" spans="1:8">
      <c r="A50" s="22">
        <v>45275</v>
      </c>
      <c r="B50">
        <v>18.237400000000001</v>
      </c>
      <c r="C50" s="34">
        <v>-2.0072853000000004</v>
      </c>
      <c r="D50">
        <v>-6.7203999999999997</v>
      </c>
      <c r="E50">
        <v>3.3573</v>
      </c>
      <c r="F50">
        <v>-2.4298999999999999</v>
      </c>
      <c r="G50">
        <v>2.4937</v>
      </c>
      <c r="H50">
        <v>1.1000000000000001</v>
      </c>
    </row>
    <row r="51" spans="1:8">
      <c r="A51" s="22">
        <v>45282</v>
      </c>
      <c r="B51">
        <v>2.3809999999999998</v>
      </c>
      <c r="C51" s="34">
        <v>-4.0968429000000004</v>
      </c>
      <c r="D51">
        <v>0.86439999999999995</v>
      </c>
      <c r="E51">
        <v>-1.1600999999999999</v>
      </c>
      <c r="F51">
        <v>-0.3831</v>
      </c>
      <c r="G51">
        <v>-1.0924</v>
      </c>
      <c r="H51">
        <v>1.1000000000000001</v>
      </c>
    </row>
    <row r="52" spans="1:8">
      <c r="A52" s="22">
        <v>45289</v>
      </c>
      <c r="B52">
        <v>-9.1000999999999994</v>
      </c>
      <c r="C52" s="34">
        <v>3.8835001</v>
      </c>
      <c r="D52">
        <v>-1.0001</v>
      </c>
      <c r="E52">
        <v>2.1126</v>
      </c>
      <c r="F52">
        <v>-2.8847</v>
      </c>
      <c r="G52">
        <v>0.4017</v>
      </c>
      <c r="H52">
        <v>1.1000000000000001</v>
      </c>
    </row>
    <row r="53" spans="1:8">
      <c r="A53" s="22">
        <v>45296</v>
      </c>
      <c r="B53">
        <v>-5.3392999999999997</v>
      </c>
      <c r="C53" s="34">
        <v>-2.2429934</v>
      </c>
      <c r="D53">
        <v>-3.3189000000000002</v>
      </c>
      <c r="E53">
        <v>3.6781999999999999</v>
      </c>
      <c r="F53">
        <v>0.39600000000000002</v>
      </c>
      <c r="G53">
        <v>-2.4998999999999998</v>
      </c>
      <c r="H53">
        <v>1.1000000000000001</v>
      </c>
    </row>
    <row r="54" spans="1:8">
      <c r="A54" s="22">
        <v>45303</v>
      </c>
      <c r="B54">
        <v>0.1174</v>
      </c>
      <c r="C54" s="34">
        <v>-1.5296386</v>
      </c>
      <c r="D54">
        <v>2.2389000000000001</v>
      </c>
      <c r="E54">
        <v>11.53</v>
      </c>
      <c r="F54">
        <v>-0.39450000000000002</v>
      </c>
      <c r="G54">
        <v>1.0257000000000001</v>
      </c>
      <c r="H54">
        <v>1.1000000000000001</v>
      </c>
    </row>
    <row r="55" spans="1:8">
      <c r="A55" s="22">
        <v>45310</v>
      </c>
      <c r="B55">
        <v>0.46949999999999997</v>
      </c>
      <c r="C55" s="34">
        <v>0.97086910000000004</v>
      </c>
      <c r="D55">
        <v>3.3576000000000001</v>
      </c>
      <c r="E55">
        <v>4.7713000000000001</v>
      </c>
      <c r="F55">
        <v>14.2575</v>
      </c>
      <c r="G55">
        <v>0.76139999999999997</v>
      </c>
      <c r="H55">
        <v>1.1000000000000001</v>
      </c>
    </row>
    <row r="56" spans="1:8">
      <c r="A56" s="22">
        <v>45317</v>
      </c>
      <c r="B56">
        <v>0</v>
      </c>
      <c r="C56" s="34">
        <v>-0.96153390000000005</v>
      </c>
      <c r="D56">
        <v>-1.2713000000000001</v>
      </c>
      <c r="E56">
        <v>-1.1385000000000001</v>
      </c>
      <c r="F56">
        <v>17.677600000000002</v>
      </c>
      <c r="G56">
        <v>1.8137000000000001</v>
      </c>
      <c r="H56">
        <v>1.1000000000000001</v>
      </c>
    </row>
    <row r="57" spans="1:8">
      <c r="A57" s="22">
        <v>45324</v>
      </c>
      <c r="B57">
        <v>-1.5187999999999999</v>
      </c>
      <c r="C57" s="34">
        <v>20.0000079</v>
      </c>
      <c r="D57">
        <v>10.5867</v>
      </c>
      <c r="E57">
        <v>6.9097999999999997</v>
      </c>
      <c r="F57">
        <v>1.62</v>
      </c>
      <c r="G57">
        <v>3.1667000000000001</v>
      </c>
      <c r="H57">
        <v>1.1000000000000001</v>
      </c>
    </row>
    <row r="58" spans="1:8">
      <c r="A58" s="22">
        <v>45327</v>
      </c>
      <c r="B58">
        <v>0</v>
      </c>
      <c r="C58" s="34">
        <v>1.6181217000000001</v>
      </c>
      <c r="D58">
        <v>0.12939999999999999</v>
      </c>
      <c r="E58">
        <v>-1.2566999999999999</v>
      </c>
      <c r="F58">
        <v>8.4057999999999993</v>
      </c>
      <c r="G58">
        <v>-0.43169999999999997</v>
      </c>
      <c r="H58">
        <v>1.1000000000000001</v>
      </c>
    </row>
    <row r="59" spans="1:8">
      <c r="A59" s="22">
        <v>45338</v>
      </c>
      <c r="B59">
        <v>-1E-4</v>
      </c>
      <c r="C59" s="34">
        <v>-4.4585977000000003</v>
      </c>
      <c r="D59">
        <v>11.3695</v>
      </c>
      <c r="E59">
        <v>11.0909</v>
      </c>
      <c r="F59">
        <v>7.4866999999999999</v>
      </c>
      <c r="G59">
        <v>1.3006</v>
      </c>
      <c r="H59">
        <v>1.1000000000000001</v>
      </c>
    </row>
    <row r="60" spans="1:8">
      <c r="A60" s="22">
        <v>45345</v>
      </c>
      <c r="B60">
        <v>-1.4234</v>
      </c>
      <c r="C60" s="34">
        <v>-3.6666745000000001</v>
      </c>
      <c r="D60">
        <v>16.589200000000002</v>
      </c>
      <c r="E60">
        <v>11.292899999999999</v>
      </c>
      <c r="F60">
        <v>-1.1194999999999999</v>
      </c>
      <c r="G60">
        <v>0.52310000000000001</v>
      </c>
      <c r="H60">
        <v>1.1000000000000001</v>
      </c>
    </row>
    <row r="61" spans="1:8">
      <c r="A61" s="22">
        <v>45352</v>
      </c>
      <c r="B61">
        <v>-0.12039999999999999</v>
      </c>
      <c r="C61" s="34">
        <v>3.8062367999999998</v>
      </c>
      <c r="D61">
        <v>19.900600000000001</v>
      </c>
      <c r="E61">
        <v>-4.1176000000000004</v>
      </c>
      <c r="F61">
        <v>15.5975</v>
      </c>
      <c r="G61">
        <v>2.3178999999999998</v>
      </c>
      <c r="H61">
        <v>1.23</v>
      </c>
    </row>
    <row r="62" spans="1:8">
      <c r="A62" s="22">
        <v>45359</v>
      </c>
      <c r="B62">
        <v>5.7830000000000004</v>
      </c>
      <c r="C62" s="34">
        <v>-4.1666733999999996</v>
      </c>
      <c r="D62">
        <v>0</v>
      </c>
      <c r="E62">
        <v>-11.3498</v>
      </c>
      <c r="F62">
        <v>-5.5494000000000003</v>
      </c>
      <c r="G62">
        <v>-0.55469999999999997</v>
      </c>
      <c r="H62">
        <v>1.23</v>
      </c>
    </row>
    <row r="63" spans="1:8">
      <c r="A63" s="22">
        <v>45366</v>
      </c>
      <c r="B63">
        <v>3.4169</v>
      </c>
      <c r="C63" s="34">
        <v>-3.9999962999999998</v>
      </c>
      <c r="D63">
        <v>-1.6717</v>
      </c>
      <c r="E63">
        <v>8.1315000000000008</v>
      </c>
      <c r="F63">
        <v>-13.8248</v>
      </c>
      <c r="G63">
        <v>0.41830000000000001</v>
      </c>
      <c r="H63">
        <v>1.23</v>
      </c>
    </row>
    <row r="64" spans="1:8">
      <c r="A64" s="22">
        <v>45373</v>
      </c>
      <c r="B64">
        <v>2.2025999999999999</v>
      </c>
      <c r="C64" s="34">
        <v>0.54347709999999994</v>
      </c>
      <c r="D64">
        <v>-4.2371999999999996</v>
      </c>
      <c r="E64">
        <v>0.16009999999999999</v>
      </c>
      <c r="F64">
        <v>15.507899999999999</v>
      </c>
      <c r="G64">
        <v>1.4353</v>
      </c>
      <c r="H64">
        <v>1.23</v>
      </c>
    </row>
    <row r="65" spans="1:8">
      <c r="A65" s="22">
        <v>45380</v>
      </c>
      <c r="B65">
        <v>1.7241</v>
      </c>
      <c r="C65" s="34">
        <v>-7.2072090000000006</v>
      </c>
      <c r="D65">
        <v>-14.8673</v>
      </c>
      <c r="E65">
        <v>-0.31940000000000002</v>
      </c>
      <c r="F65">
        <v>-2.0832999999999999</v>
      </c>
      <c r="G65">
        <v>1.1868000000000001</v>
      </c>
      <c r="H65">
        <v>1.23</v>
      </c>
    </row>
    <row r="66" spans="1:8">
      <c r="A66" s="22">
        <v>45385</v>
      </c>
      <c r="B66">
        <v>-0.42359999999999998</v>
      </c>
      <c r="C66" s="34">
        <v>2.9126230999999998</v>
      </c>
      <c r="D66">
        <v>7.5884</v>
      </c>
      <c r="E66">
        <v>3.8462000000000001</v>
      </c>
      <c r="F66">
        <v>-1.5366</v>
      </c>
      <c r="G66">
        <v>0.27060000000000001</v>
      </c>
      <c r="H66">
        <v>1.23</v>
      </c>
    </row>
    <row r="67" spans="1:8">
      <c r="A67" s="22">
        <v>45394</v>
      </c>
      <c r="B67">
        <v>-0.20710000000000001</v>
      </c>
      <c r="C67" s="34">
        <v>1.1320730999999999</v>
      </c>
      <c r="D67">
        <v>4.3478000000000003</v>
      </c>
      <c r="E67">
        <v>25.925799999999999</v>
      </c>
      <c r="F67">
        <v>-5.8822999999999999</v>
      </c>
      <c r="G67">
        <v>0.40479999999999999</v>
      </c>
      <c r="H67">
        <v>1.23</v>
      </c>
    </row>
    <row r="68" spans="1:8">
      <c r="A68" s="22">
        <v>45401</v>
      </c>
      <c r="B68">
        <v>-1.0204</v>
      </c>
      <c r="C68" s="34">
        <v>15.858208500000002</v>
      </c>
      <c r="D68">
        <v>-2.3148</v>
      </c>
      <c r="E68">
        <v>-2.5735000000000001</v>
      </c>
      <c r="F68">
        <v>1.1479999999999999</v>
      </c>
      <c r="G68">
        <v>-6.2276999999999996</v>
      </c>
      <c r="H68">
        <v>1.23</v>
      </c>
    </row>
    <row r="69" spans="1:8">
      <c r="A69" s="22">
        <v>45408</v>
      </c>
      <c r="B69">
        <v>3.3218999999999999</v>
      </c>
      <c r="C69" s="34">
        <v>-0.16103239999999999</v>
      </c>
      <c r="D69">
        <v>12.3222</v>
      </c>
      <c r="E69">
        <v>1.1321000000000001</v>
      </c>
      <c r="F69">
        <v>-6.6833999999999998</v>
      </c>
      <c r="G69">
        <v>0.86</v>
      </c>
      <c r="H69">
        <v>1.23</v>
      </c>
    </row>
    <row r="70" spans="1:8">
      <c r="A70" s="22">
        <v>45415</v>
      </c>
      <c r="B70">
        <v>5.6539999999999999</v>
      </c>
      <c r="C70" s="34">
        <v>0.80646079999999987</v>
      </c>
      <c r="D70">
        <v>0.84379999999999999</v>
      </c>
      <c r="E70">
        <v>1.1193</v>
      </c>
      <c r="F70">
        <v>9.1890999999999998</v>
      </c>
      <c r="G70">
        <v>0.9</v>
      </c>
      <c r="H70">
        <v>1.23</v>
      </c>
    </row>
    <row r="71" spans="1:8">
      <c r="A71" s="22">
        <v>45422</v>
      </c>
      <c r="B71">
        <v>-2.7282999999999999</v>
      </c>
      <c r="C71" s="34">
        <v>1.2799951000000001</v>
      </c>
      <c r="D71">
        <v>6.2760999999999996</v>
      </c>
      <c r="E71">
        <v>5.9039999999999999</v>
      </c>
      <c r="F71">
        <v>-4.2079000000000004</v>
      </c>
      <c r="G71">
        <v>-1.5963000000000001</v>
      </c>
      <c r="H71">
        <v>1.23</v>
      </c>
    </row>
    <row r="72" spans="1:8">
      <c r="A72" s="22">
        <v>45429</v>
      </c>
      <c r="B72">
        <v>1.8339000000000001</v>
      </c>
      <c r="C72" s="34">
        <v>-3.3175349000000001</v>
      </c>
      <c r="D72">
        <v>10.2362</v>
      </c>
      <c r="E72">
        <v>2.2067000000000001</v>
      </c>
      <c r="F72">
        <v>5.1680000000000001</v>
      </c>
      <c r="G72">
        <v>1.145</v>
      </c>
      <c r="H72">
        <v>1.23</v>
      </c>
    </row>
    <row r="73" spans="1:8">
      <c r="A73" s="22">
        <v>45436</v>
      </c>
      <c r="B73">
        <v>-1.4829000000000001</v>
      </c>
      <c r="C73" s="34">
        <v>5.7189465000000004</v>
      </c>
      <c r="D73">
        <v>11.4285</v>
      </c>
      <c r="E73">
        <v>15.681800000000001</v>
      </c>
      <c r="F73">
        <v>3.3170999999999999</v>
      </c>
      <c r="G73">
        <v>2.8302999999999998</v>
      </c>
      <c r="H73">
        <v>1.23</v>
      </c>
    </row>
    <row r="74" spans="1:8">
      <c r="A74" s="22">
        <v>45443</v>
      </c>
      <c r="B74">
        <v>1.6129</v>
      </c>
      <c r="C74" s="34">
        <v>0.92737389999999997</v>
      </c>
      <c r="D74">
        <v>-8.3332999999999995</v>
      </c>
      <c r="E74">
        <v>-5.3045</v>
      </c>
      <c r="F74">
        <v>-5.3507999999999996</v>
      </c>
      <c r="G74">
        <v>0.77990000000000004</v>
      </c>
      <c r="H74">
        <v>1.23</v>
      </c>
    </row>
    <row r="75" spans="1:8">
      <c r="A75" s="22">
        <v>45450</v>
      </c>
      <c r="B75">
        <v>-2.5396999999999998</v>
      </c>
      <c r="C75" s="34">
        <v>-3.0627968999999999</v>
      </c>
      <c r="D75">
        <v>7.3426999999999998</v>
      </c>
      <c r="E75">
        <v>3.0084</v>
      </c>
      <c r="F75">
        <v>8.4169999999999998</v>
      </c>
      <c r="G75">
        <v>0.77380000000000004</v>
      </c>
      <c r="H75">
        <v>1.23</v>
      </c>
    </row>
    <row r="76" spans="1:8">
      <c r="A76" s="22">
        <v>45457</v>
      </c>
      <c r="B76">
        <v>0.43419999999999997</v>
      </c>
      <c r="C76" s="34">
        <v>0.63191870000000006</v>
      </c>
      <c r="D76">
        <v>-0.65149999999999997</v>
      </c>
      <c r="E76">
        <v>8.1571999999999996</v>
      </c>
      <c r="F76">
        <v>7.9953000000000003</v>
      </c>
      <c r="G76">
        <v>4.6521999999999997</v>
      </c>
      <c r="H76">
        <v>1.23</v>
      </c>
    </row>
    <row r="77" spans="1:8">
      <c r="A77" s="22">
        <v>45464</v>
      </c>
      <c r="B77">
        <v>1.5135000000000001</v>
      </c>
      <c r="C77" s="34">
        <v>-0.62795060000000003</v>
      </c>
      <c r="D77">
        <v>5.2458999999999998</v>
      </c>
      <c r="E77">
        <v>-1.6759999999999999</v>
      </c>
      <c r="F77">
        <v>-5.3647</v>
      </c>
      <c r="G77">
        <v>1.4675</v>
      </c>
      <c r="H77">
        <v>1.23</v>
      </c>
    </row>
    <row r="78" spans="1:8">
      <c r="A78" s="22">
        <v>45471</v>
      </c>
      <c r="B78">
        <v>5.8573000000000004</v>
      </c>
      <c r="C78" s="34">
        <v>0.1579797</v>
      </c>
      <c r="D78">
        <v>-2.1806999999999999</v>
      </c>
      <c r="E78">
        <v>0.37880000000000003</v>
      </c>
      <c r="F78">
        <v>-6.8026</v>
      </c>
      <c r="G78">
        <v>1.2761</v>
      </c>
      <c r="H78">
        <v>1.23</v>
      </c>
    </row>
    <row r="79" spans="1:8">
      <c r="A79" s="22">
        <v>45478</v>
      </c>
      <c r="B79">
        <v>6.1368</v>
      </c>
      <c r="C79" s="34">
        <v>0.94637019999999994</v>
      </c>
      <c r="D79">
        <v>5.4138999999999999</v>
      </c>
      <c r="E79">
        <v>9.8112999999999992</v>
      </c>
      <c r="F79">
        <v>-0.36499999999999999</v>
      </c>
      <c r="G79">
        <v>2.8559999999999999</v>
      </c>
      <c r="H79">
        <v>1.23</v>
      </c>
    </row>
    <row r="80" spans="1:8">
      <c r="A80" s="22">
        <v>45485</v>
      </c>
      <c r="B80">
        <v>-7.6776999999999997</v>
      </c>
      <c r="C80" s="34">
        <v>-1.0937498000000001</v>
      </c>
      <c r="D80">
        <v>7.8550000000000004</v>
      </c>
      <c r="E80">
        <v>3.4702999999999999</v>
      </c>
      <c r="F80">
        <v>-2.0756999999999999</v>
      </c>
      <c r="G80">
        <v>0.85760000000000003</v>
      </c>
      <c r="H80">
        <v>1.23</v>
      </c>
    </row>
    <row r="81" spans="1:8">
      <c r="A81" s="22">
        <v>45492</v>
      </c>
      <c r="B81">
        <v>2.1560000000000001</v>
      </c>
      <c r="C81" s="34">
        <v>-0.78988559999999997</v>
      </c>
      <c r="D81">
        <v>-7.2828999999999997</v>
      </c>
      <c r="E81">
        <v>-0.84040000000000004</v>
      </c>
      <c r="F81">
        <v>-9.9750999999999994</v>
      </c>
      <c r="G81">
        <v>-3.5628000000000002</v>
      </c>
      <c r="H81">
        <v>1.23</v>
      </c>
    </row>
    <row r="82" spans="1:8">
      <c r="A82" s="22">
        <v>45499</v>
      </c>
      <c r="B82">
        <v>6.0301999999999998</v>
      </c>
      <c r="C82" s="34">
        <v>-5.5732536000000001</v>
      </c>
      <c r="D82">
        <v>-0.30209999999999998</v>
      </c>
      <c r="E82">
        <v>-2.7119</v>
      </c>
      <c r="F82">
        <v>-0.83099999999999996</v>
      </c>
      <c r="G82">
        <v>-3.4424999999999999</v>
      </c>
      <c r="H82">
        <v>1.23</v>
      </c>
    </row>
    <row r="83" spans="1:8">
      <c r="A83" s="22">
        <v>45506</v>
      </c>
      <c r="B83">
        <v>-2.0000000000000001E-4</v>
      </c>
      <c r="C83" s="34">
        <v>-6.5767215999999999</v>
      </c>
      <c r="D83">
        <v>-6.3635000000000002</v>
      </c>
      <c r="E83">
        <v>-6.7945000000000002</v>
      </c>
      <c r="F83">
        <v>1.2569999999999999</v>
      </c>
      <c r="G83">
        <v>-3.4346999999999999</v>
      </c>
      <c r="H83">
        <v>1.23</v>
      </c>
    </row>
    <row r="84" spans="1:8">
      <c r="A84" s="22">
        <v>45513</v>
      </c>
      <c r="B84">
        <v>-8.5307999999999993</v>
      </c>
      <c r="C84" s="34">
        <v>-6.1371951999999999</v>
      </c>
      <c r="D84">
        <v>-6.7961</v>
      </c>
      <c r="E84">
        <v>7.1028000000000002</v>
      </c>
      <c r="F84">
        <v>-8.1379999999999999</v>
      </c>
      <c r="G84">
        <v>4.4999999999999998E-2</v>
      </c>
      <c r="H84">
        <v>1.23</v>
      </c>
    </row>
    <row r="85" spans="1:8">
      <c r="A85" s="22">
        <v>45520</v>
      </c>
      <c r="B85">
        <v>7.7720000000000002</v>
      </c>
      <c r="C85" s="34">
        <v>1.9230833999999999</v>
      </c>
      <c r="D85">
        <v>6.2499000000000002</v>
      </c>
      <c r="E85">
        <v>16.230399999999999</v>
      </c>
      <c r="F85">
        <v>-0.45040000000000002</v>
      </c>
      <c r="G85">
        <v>6.6607000000000003</v>
      </c>
      <c r="H85">
        <v>1.23</v>
      </c>
    </row>
    <row r="86" spans="1:8">
      <c r="A86" s="22">
        <v>45527</v>
      </c>
      <c r="B86">
        <v>-1.9232</v>
      </c>
      <c r="C86" s="34">
        <v>1.8867910000000001</v>
      </c>
      <c r="D86">
        <v>12.4184</v>
      </c>
      <c r="E86">
        <v>21.171199999999999</v>
      </c>
      <c r="F86">
        <v>-0.30159999999999998</v>
      </c>
      <c r="G86">
        <v>2.9535</v>
      </c>
      <c r="H86">
        <v>1.23</v>
      </c>
    </row>
    <row r="87" spans="1:8">
      <c r="A87" s="22">
        <v>45534</v>
      </c>
      <c r="B87">
        <v>1.4705999999999999</v>
      </c>
      <c r="C87" s="34">
        <v>2.8195513999999999</v>
      </c>
      <c r="D87">
        <v>9.8834999999999997</v>
      </c>
      <c r="E87">
        <v>-4.8327</v>
      </c>
      <c r="F87">
        <v>11.951700000000001</v>
      </c>
      <c r="G87">
        <v>1.0656000000000001</v>
      </c>
      <c r="H87">
        <v>1.23</v>
      </c>
    </row>
    <row r="88" spans="1:8">
      <c r="A88" s="22">
        <v>45541</v>
      </c>
      <c r="B88">
        <v>-2.4154</v>
      </c>
      <c r="C88" s="34">
        <v>-6.6666603000000002</v>
      </c>
      <c r="D88">
        <v>-9.5237999999999996</v>
      </c>
      <c r="E88">
        <v>-4.5571999999999999</v>
      </c>
      <c r="F88">
        <v>-7.8461999999999996</v>
      </c>
      <c r="G88">
        <v>-5.1905999999999999</v>
      </c>
      <c r="H88">
        <v>1.23</v>
      </c>
    </row>
    <row r="89" spans="1:8">
      <c r="A89" s="22">
        <v>45548</v>
      </c>
      <c r="B89">
        <v>-0.495</v>
      </c>
      <c r="C89" s="34">
        <v>0.1984062</v>
      </c>
      <c r="D89">
        <v>-4.9707999999999997</v>
      </c>
      <c r="E89">
        <v>7.367</v>
      </c>
      <c r="F89">
        <v>-1.4792000000000001</v>
      </c>
      <c r="G89">
        <v>0.68420000000000003</v>
      </c>
      <c r="H89">
        <v>1.23</v>
      </c>
    </row>
    <row r="90" spans="1:8">
      <c r="A90" s="22">
        <v>45555</v>
      </c>
      <c r="B90">
        <v>3.4824999999999999</v>
      </c>
      <c r="C90" s="34">
        <v>-0.79208449999999997</v>
      </c>
      <c r="D90">
        <v>9.8461999999999996</v>
      </c>
      <c r="E90">
        <v>1.3977999999999999</v>
      </c>
      <c r="F90">
        <v>6.0060000000000002</v>
      </c>
      <c r="G90">
        <v>1.1045</v>
      </c>
      <c r="H90">
        <v>1.23</v>
      </c>
    </row>
    <row r="91" spans="1:8">
      <c r="A91" s="22">
        <v>45562</v>
      </c>
      <c r="B91">
        <v>-0.96150000000000002</v>
      </c>
      <c r="C91" s="34">
        <v>-1.1975971999999999</v>
      </c>
      <c r="D91">
        <v>-1.6806000000000001</v>
      </c>
      <c r="E91">
        <v>-4.8872</v>
      </c>
      <c r="F91">
        <v>-4.6742999999999997</v>
      </c>
      <c r="G91">
        <v>2.5209999999999999</v>
      </c>
      <c r="H91">
        <v>1.23</v>
      </c>
    </row>
    <row r="92" spans="1:8">
      <c r="A92" s="22">
        <v>45569</v>
      </c>
      <c r="B92">
        <v>-1.4561999999999999</v>
      </c>
      <c r="C92" s="34">
        <v>-2.6262642999999999</v>
      </c>
      <c r="D92">
        <v>10.8263</v>
      </c>
      <c r="E92">
        <v>-3.8208000000000002</v>
      </c>
      <c r="F92">
        <v>-2.2288000000000001</v>
      </c>
      <c r="G92">
        <v>-0.65569999999999995</v>
      </c>
      <c r="H92">
        <v>1.23</v>
      </c>
    </row>
    <row r="93" spans="1:8">
      <c r="A93" s="22">
        <v>45576</v>
      </c>
      <c r="B93">
        <v>0.98519999999999996</v>
      </c>
      <c r="C93" s="34">
        <v>5.6016646000000003</v>
      </c>
      <c r="D93">
        <v>26.478100000000001</v>
      </c>
      <c r="E93">
        <v>7.5342000000000002</v>
      </c>
      <c r="F93">
        <v>-3.9512999999999998</v>
      </c>
      <c r="G93">
        <v>1.5265</v>
      </c>
      <c r="H93">
        <v>1.23</v>
      </c>
    </row>
    <row r="94" spans="1:8">
      <c r="A94" s="22">
        <v>45583</v>
      </c>
      <c r="B94">
        <v>1.9513</v>
      </c>
      <c r="C94" s="34">
        <v>-2.7504939999999998</v>
      </c>
      <c r="D94">
        <v>-5.8943000000000003</v>
      </c>
      <c r="E94">
        <v>5.3502999999999998</v>
      </c>
      <c r="F94">
        <v>1.4241999999999999</v>
      </c>
      <c r="G94">
        <v>-0.40639999999999998</v>
      </c>
      <c r="H94">
        <v>1.23</v>
      </c>
    </row>
    <row r="95" spans="1:8">
      <c r="A95" s="22">
        <v>45590</v>
      </c>
      <c r="B95">
        <v>1.4355</v>
      </c>
      <c r="C95" s="34">
        <v>0.38</v>
      </c>
      <c r="D95">
        <v>0.86399999999999999</v>
      </c>
      <c r="E95">
        <v>-1.6929000000000001</v>
      </c>
      <c r="F95">
        <v>-0.77129999999999999</v>
      </c>
      <c r="G95">
        <v>-0.24490000000000001</v>
      </c>
      <c r="H95">
        <v>1.23</v>
      </c>
    </row>
    <row r="96" spans="1:8">
      <c r="A96" s="22">
        <v>45597</v>
      </c>
      <c r="B96">
        <v>0.94350000000000001</v>
      </c>
      <c r="C96" s="34">
        <v>-2.0202076</v>
      </c>
      <c r="D96">
        <v>-11.349</v>
      </c>
      <c r="E96">
        <v>-2.9521000000000002</v>
      </c>
      <c r="F96">
        <v>-3.8216999999999999</v>
      </c>
      <c r="G96">
        <v>-2.5356999999999998</v>
      </c>
      <c r="H96">
        <v>1.23</v>
      </c>
    </row>
    <row r="97" spans="1:8">
      <c r="A97" s="22">
        <v>45604</v>
      </c>
      <c r="B97">
        <v>13.084099999999999</v>
      </c>
      <c r="C97" s="34">
        <v>11.752583399999999</v>
      </c>
      <c r="D97">
        <v>2.8986000000000001</v>
      </c>
      <c r="E97">
        <v>6.5904999999999996</v>
      </c>
      <c r="F97">
        <v>-0.33119999999999999</v>
      </c>
      <c r="G97">
        <v>2.1819999999999999</v>
      </c>
      <c r="H97">
        <v>1.23</v>
      </c>
    </row>
    <row r="98" spans="1:8">
      <c r="A98" s="22">
        <v>45611</v>
      </c>
      <c r="B98">
        <v>23.966999999999999</v>
      </c>
      <c r="C98" s="34">
        <v>-1.8450162999999999</v>
      </c>
      <c r="D98">
        <v>-4.4600999999999997</v>
      </c>
      <c r="E98">
        <v>-5.9452999999999996</v>
      </c>
      <c r="F98">
        <v>0</v>
      </c>
      <c r="G98">
        <v>-4.9279999999999999</v>
      </c>
      <c r="H98">
        <v>1.23</v>
      </c>
    </row>
    <row r="99" spans="1:8">
      <c r="A99" s="22">
        <v>45618</v>
      </c>
      <c r="B99">
        <v>18</v>
      </c>
      <c r="C99" s="34">
        <v>1.1278123</v>
      </c>
      <c r="D99">
        <v>1.2283999999999999</v>
      </c>
      <c r="E99">
        <v>-5.8154000000000003</v>
      </c>
      <c r="F99">
        <v>-0.1661</v>
      </c>
      <c r="G99">
        <v>1.5328999999999999</v>
      </c>
      <c r="H99">
        <v>1.23</v>
      </c>
    </row>
    <row r="100" spans="1:8">
      <c r="A100" s="22">
        <v>45625</v>
      </c>
      <c r="B100">
        <v>11.8643</v>
      </c>
      <c r="C100" s="34">
        <v>0.74349940000000003</v>
      </c>
      <c r="D100">
        <v>0.48549999999999999</v>
      </c>
      <c r="E100">
        <v>4.6978999999999997</v>
      </c>
      <c r="F100">
        <v>-0.49930000000000002</v>
      </c>
      <c r="G100">
        <v>-1.6717</v>
      </c>
      <c r="H100">
        <v>1.23</v>
      </c>
    </row>
    <row r="101" spans="1:8">
      <c r="A101" s="22">
        <v>45632</v>
      </c>
      <c r="B101">
        <v>14.6464</v>
      </c>
      <c r="C101" s="34">
        <v>0.36900620000000001</v>
      </c>
      <c r="D101">
        <v>7.2464000000000004</v>
      </c>
      <c r="E101">
        <v>12.051299999999999</v>
      </c>
      <c r="F101">
        <v>-0.16719999999999999</v>
      </c>
      <c r="G101">
        <v>2.4607999999999999</v>
      </c>
      <c r="H101">
        <v>1.23</v>
      </c>
    </row>
    <row r="102" spans="1:8">
      <c r="A102" s="22">
        <v>45639</v>
      </c>
      <c r="B102">
        <v>-15.1983</v>
      </c>
      <c r="C102" s="34">
        <v>0.18381749999999999</v>
      </c>
      <c r="D102">
        <v>10.135199999999999</v>
      </c>
      <c r="E102">
        <v>-1.4873000000000001</v>
      </c>
      <c r="F102">
        <v>0.50260000000000005</v>
      </c>
      <c r="G102">
        <v>-1.7903</v>
      </c>
      <c r="H102">
        <v>1.23</v>
      </c>
    </row>
    <row r="103" spans="1:8">
      <c r="A103" s="22">
        <v>45646</v>
      </c>
      <c r="B103">
        <v>-1.0390999999999999</v>
      </c>
      <c r="C103" s="34">
        <v>-1.4678853000000001</v>
      </c>
      <c r="D103">
        <v>-2.6585000000000001</v>
      </c>
      <c r="E103">
        <v>1.2776000000000001</v>
      </c>
      <c r="F103">
        <v>-0.16669999999999999</v>
      </c>
      <c r="G103">
        <v>-0.17780000000000001</v>
      </c>
      <c r="H103">
        <v>1.23</v>
      </c>
    </row>
    <row r="104" spans="1:8">
      <c r="A104" s="22">
        <v>45653</v>
      </c>
      <c r="B104">
        <v>10.498699999999999</v>
      </c>
      <c r="C104" s="34">
        <v>-3.9106186000000003</v>
      </c>
      <c r="D104">
        <v>2.9413</v>
      </c>
      <c r="E104">
        <v>6.0780000000000003</v>
      </c>
      <c r="F104">
        <v>-3.8397000000000001</v>
      </c>
      <c r="G104">
        <v>0.44540000000000002</v>
      </c>
      <c r="H104">
        <v>1.23</v>
      </c>
    </row>
    <row r="105" spans="1:8">
      <c r="A105" s="22">
        <v>45657</v>
      </c>
      <c r="B105">
        <v>-0.23749999999999999</v>
      </c>
      <c r="C105" s="34">
        <v>-1.7441825000000002</v>
      </c>
      <c r="D105">
        <v>1.0204</v>
      </c>
      <c r="E105">
        <v>0.1082</v>
      </c>
      <c r="F105">
        <v>1.0416000000000001</v>
      </c>
      <c r="G105">
        <v>-1E-4</v>
      </c>
      <c r="H105">
        <v>1.23</v>
      </c>
    </row>
    <row r="106" spans="1:8">
      <c r="A106" s="22">
        <v>45660</v>
      </c>
      <c r="B106">
        <v>-0.71430000000000005</v>
      </c>
      <c r="C106" s="34">
        <v>-0.39448</v>
      </c>
      <c r="D106">
        <v>1.0101</v>
      </c>
      <c r="E106">
        <v>-3.4558</v>
      </c>
      <c r="F106">
        <v>-1.0308999999999999</v>
      </c>
      <c r="G106">
        <v>-1.6852</v>
      </c>
      <c r="H106">
        <v>1.23</v>
      </c>
    </row>
    <row r="107" spans="1:8">
      <c r="A107" s="22">
        <v>45667</v>
      </c>
      <c r="B107">
        <v>-7.9135999999999997</v>
      </c>
      <c r="C107" s="34">
        <v>-0.59405559999999991</v>
      </c>
      <c r="D107">
        <v>22.600100000000001</v>
      </c>
      <c r="E107">
        <v>6.0403000000000002</v>
      </c>
      <c r="F107">
        <v>-12.152799999999999</v>
      </c>
      <c r="G107">
        <v>-0.72170000000000001</v>
      </c>
      <c r="H107">
        <v>1.23</v>
      </c>
    </row>
    <row r="108" spans="1:8">
      <c r="A108" s="22">
        <v>45674</v>
      </c>
      <c r="B108">
        <v>-4.9480000000000004</v>
      </c>
      <c r="C108" s="34">
        <v>2.7888397</v>
      </c>
      <c r="D108">
        <v>8.3195999999999994</v>
      </c>
      <c r="E108">
        <v>-5.1688000000000001</v>
      </c>
      <c r="F108">
        <v>-7.1146000000000003</v>
      </c>
      <c r="G108">
        <v>-0.86329999999999996</v>
      </c>
      <c r="H108">
        <v>1.23</v>
      </c>
    </row>
    <row r="109" spans="1:8">
      <c r="A109" s="22">
        <v>45679</v>
      </c>
      <c r="B109">
        <v>12.0549</v>
      </c>
      <c r="C109" s="34">
        <v>-2.117</v>
      </c>
      <c r="D109">
        <v>7.6806999999999999</v>
      </c>
      <c r="E109">
        <v>-2.0023</v>
      </c>
      <c r="F109">
        <v>12.7659</v>
      </c>
      <c r="G109">
        <v>2.1082000000000001</v>
      </c>
      <c r="H109">
        <v>1.23</v>
      </c>
    </row>
    <row r="110" spans="1:8">
      <c r="A110" s="22">
        <v>45695</v>
      </c>
      <c r="B110">
        <v>-11.002599999999999</v>
      </c>
      <c r="C110" s="34">
        <v>2.7131813</v>
      </c>
      <c r="D110">
        <v>-6.2937000000000003</v>
      </c>
      <c r="E110">
        <v>-3.6320999999999999</v>
      </c>
      <c r="F110">
        <v>2.2639999999999998</v>
      </c>
      <c r="G110">
        <v>-0.98740000000000006</v>
      </c>
      <c r="H110">
        <v>1.23</v>
      </c>
    </row>
    <row r="111" spans="1:8">
      <c r="A111" s="22">
        <v>45702</v>
      </c>
      <c r="B111">
        <v>-3.5714000000000001</v>
      </c>
      <c r="C111" s="34">
        <v>34.905663500000003</v>
      </c>
      <c r="D111">
        <v>-1.7910999999999999</v>
      </c>
      <c r="E111">
        <v>2.0024999999999999</v>
      </c>
      <c r="F111">
        <v>-6.2729999999999997</v>
      </c>
      <c r="G111">
        <v>-1.2239</v>
      </c>
      <c r="H111">
        <v>1.23</v>
      </c>
    </row>
    <row r="112" spans="1:8">
      <c r="A112" s="22">
        <v>45709</v>
      </c>
      <c r="B112">
        <v>4.8433000000000002</v>
      </c>
      <c r="C112" s="34">
        <v>-1.6783218</v>
      </c>
      <c r="D112">
        <v>-4.8632</v>
      </c>
      <c r="E112">
        <v>-0.23080000000000001</v>
      </c>
      <c r="F112">
        <v>4.7244999999999999</v>
      </c>
      <c r="G112">
        <v>3.5337999999999998</v>
      </c>
      <c r="H112">
        <v>1.23</v>
      </c>
    </row>
    <row r="113" spans="1:8">
      <c r="A113" s="22">
        <v>45715</v>
      </c>
      <c r="B113">
        <v>-4.8914</v>
      </c>
      <c r="C113" s="34">
        <v>-8.2503601999999994</v>
      </c>
      <c r="D113">
        <v>-0.95850000000000002</v>
      </c>
      <c r="E113">
        <v>-9.6065000000000005</v>
      </c>
      <c r="F113">
        <v>2.8195999999999999</v>
      </c>
      <c r="G113">
        <v>-1.1082000000000001</v>
      </c>
      <c r="H113">
        <v>1.23</v>
      </c>
    </row>
    <row r="114" spans="1:8">
      <c r="A114" s="22">
        <v>45723</v>
      </c>
      <c r="B114">
        <v>8.8571000000000009</v>
      </c>
      <c r="C114" s="34">
        <v>-3.1007716000000003</v>
      </c>
      <c r="D114">
        <v>-2.4194</v>
      </c>
      <c r="E114">
        <v>-5.7618999999999998</v>
      </c>
      <c r="F114">
        <v>0.18290000000000001</v>
      </c>
      <c r="G114">
        <v>-1.1207</v>
      </c>
      <c r="H114">
        <v>1.23</v>
      </c>
    </row>
    <row r="115" spans="1:8">
      <c r="A115" s="22">
        <v>45730</v>
      </c>
      <c r="B115">
        <v>1.5749</v>
      </c>
      <c r="C115" s="34">
        <v>0.79999900000000002</v>
      </c>
      <c r="D115">
        <v>-0.99170000000000003</v>
      </c>
      <c r="E115">
        <v>-4.8913000000000002</v>
      </c>
      <c r="F115">
        <v>3.1021000000000001</v>
      </c>
      <c r="G115">
        <v>-4.0797999999999996</v>
      </c>
      <c r="H115">
        <v>1.23</v>
      </c>
    </row>
    <row r="116" spans="1:8">
      <c r="A116" s="22">
        <v>45737</v>
      </c>
      <c r="B116">
        <v>-1.2919</v>
      </c>
      <c r="C116" s="34">
        <v>2.6984056999999999</v>
      </c>
      <c r="D116">
        <v>-5.0083000000000002</v>
      </c>
      <c r="E116">
        <v>2.8572000000000002</v>
      </c>
      <c r="F116">
        <v>-1.2390000000000001</v>
      </c>
      <c r="G116">
        <v>1.9376</v>
      </c>
      <c r="H116">
        <v>1.23</v>
      </c>
    </row>
    <row r="117" spans="1:8">
      <c r="A117" s="22">
        <v>45744</v>
      </c>
      <c r="B117">
        <v>-5.2355999999999998</v>
      </c>
      <c r="C117" s="34">
        <v>-3.8639832999999997</v>
      </c>
      <c r="D117">
        <v>-3.8664000000000001</v>
      </c>
      <c r="E117">
        <v>0.83340000000000003</v>
      </c>
      <c r="F117">
        <v>-1.9714</v>
      </c>
      <c r="G117">
        <v>-5.0995999999999997</v>
      </c>
      <c r="H117">
        <v>1.23</v>
      </c>
    </row>
    <row r="118" spans="1:8">
      <c r="A118" s="22">
        <v>45749</v>
      </c>
      <c r="B118">
        <v>-3.5912000000000002</v>
      </c>
      <c r="C118" s="34">
        <v>2.8938911000000003</v>
      </c>
      <c r="D118">
        <v>-20.658100000000001</v>
      </c>
      <c r="E118">
        <v>-6.8871000000000002</v>
      </c>
      <c r="F118">
        <v>-1.4624999999999999</v>
      </c>
      <c r="G118">
        <v>-1.9540999999999999</v>
      </c>
      <c r="H118">
        <v>1.23</v>
      </c>
    </row>
    <row r="119" spans="1:8">
      <c r="A119" s="22">
        <v>45758</v>
      </c>
      <c r="B119">
        <v>-12.321</v>
      </c>
      <c r="C119" s="34">
        <v>-10.156250399999999</v>
      </c>
      <c r="D119">
        <v>-26.728100000000001</v>
      </c>
      <c r="E119">
        <v>-14.6449</v>
      </c>
      <c r="F119">
        <v>-22.0779</v>
      </c>
      <c r="G119">
        <v>-14.050800000000001</v>
      </c>
      <c r="H119">
        <v>1.23</v>
      </c>
    </row>
    <row r="120" spans="1:8">
      <c r="A120" s="22">
        <v>45765</v>
      </c>
      <c r="B120">
        <v>2.6145</v>
      </c>
      <c r="C120" s="34">
        <v>10.990624499999999</v>
      </c>
      <c r="D120">
        <v>7.8616000000000001</v>
      </c>
      <c r="E120">
        <v>7.9722</v>
      </c>
      <c r="F120">
        <v>20.238199999999999</v>
      </c>
      <c r="G120">
        <v>3.7681</v>
      </c>
      <c r="H120">
        <v>1.23</v>
      </c>
    </row>
    <row r="121" spans="1:8">
      <c r="A121" s="22">
        <v>45772</v>
      </c>
      <c r="B121">
        <v>4.4585999999999997</v>
      </c>
      <c r="C121" s="34">
        <v>5.1779947999999996</v>
      </c>
      <c r="D121">
        <v>-1.7493000000000001</v>
      </c>
      <c r="E121">
        <v>4.0128000000000004</v>
      </c>
      <c r="F121">
        <v>2.3761999999999999</v>
      </c>
      <c r="G121">
        <v>3.5754000000000001</v>
      </c>
      <c r="H121">
        <v>1.23</v>
      </c>
    </row>
    <row r="122" spans="1:8">
      <c r="A122" s="22">
        <v>45779</v>
      </c>
      <c r="B122">
        <v>11.5853</v>
      </c>
      <c r="C122" s="34">
        <v>3.5384661999999998</v>
      </c>
      <c r="D122">
        <v>13.353199999999999</v>
      </c>
      <c r="E122">
        <v>4.3209</v>
      </c>
      <c r="F122">
        <v>8.7041000000000004</v>
      </c>
      <c r="G122">
        <v>1.5102</v>
      </c>
      <c r="H122">
        <v>1.23</v>
      </c>
    </row>
    <row r="123" spans="1:8">
      <c r="A123" s="22">
        <v>45786</v>
      </c>
      <c r="B123">
        <v>3.5518999999999998</v>
      </c>
      <c r="C123" s="34">
        <v>-7.8751898999999996</v>
      </c>
      <c r="D123">
        <v>20.418900000000001</v>
      </c>
      <c r="E123">
        <v>-0.88749999999999996</v>
      </c>
      <c r="F123">
        <v>-1.9572000000000001</v>
      </c>
      <c r="G123">
        <v>-0.63770000000000004</v>
      </c>
      <c r="H123">
        <v>1.23</v>
      </c>
    </row>
    <row r="124" spans="1:8">
      <c r="A124" s="22">
        <v>45793</v>
      </c>
      <c r="B124">
        <v>8.1792999999999996</v>
      </c>
      <c r="C124" s="34">
        <v>-0.64516379999999995</v>
      </c>
      <c r="D124">
        <v>-0.65229999999999999</v>
      </c>
      <c r="E124">
        <v>2.5373999999999999</v>
      </c>
      <c r="F124">
        <v>-1E-4</v>
      </c>
      <c r="G124">
        <v>5.0801999999999996</v>
      </c>
      <c r="H124">
        <v>1.23</v>
      </c>
    </row>
    <row r="125" spans="1:8">
      <c r="A125" s="22">
        <v>45800</v>
      </c>
      <c r="B125">
        <v>-1.7074</v>
      </c>
      <c r="C125" s="34">
        <v>4.7077948000000003</v>
      </c>
      <c r="D125">
        <v>2.8445999999999998</v>
      </c>
      <c r="E125">
        <v>3.0567000000000002</v>
      </c>
      <c r="F125">
        <v>2.7223999999999999</v>
      </c>
      <c r="G125">
        <v>-2.5445000000000002</v>
      </c>
      <c r="H125">
        <v>1.23</v>
      </c>
    </row>
    <row r="126" spans="1:8">
      <c r="A126" s="22">
        <v>45806</v>
      </c>
      <c r="B126">
        <v>0.49630000000000002</v>
      </c>
      <c r="C126" s="34">
        <v>60.465116299999998</v>
      </c>
      <c r="D126">
        <v>0.63829999999999998</v>
      </c>
      <c r="E126">
        <v>12.2882</v>
      </c>
      <c r="F126">
        <v>2.8456000000000001</v>
      </c>
      <c r="G126">
        <v>1.3055000000000001</v>
      </c>
      <c r="H126">
        <v>1.23</v>
      </c>
    </row>
    <row r="127" spans="1:8">
      <c r="A127" s="22">
        <v>45814</v>
      </c>
      <c r="B127">
        <v>-3.9506000000000001</v>
      </c>
      <c r="C127" s="34">
        <v>38.164251199999995</v>
      </c>
      <c r="D127">
        <v>1.9029</v>
      </c>
      <c r="E127">
        <v>3.5219999999999998</v>
      </c>
      <c r="F127">
        <v>21.052600000000002</v>
      </c>
      <c r="G127">
        <v>-0.25779999999999997</v>
      </c>
      <c r="H127">
        <v>1.23</v>
      </c>
    </row>
    <row r="128" spans="1:8">
      <c r="A128" s="22">
        <v>45821</v>
      </c>
      <c r="B128">
        <v>1.9581</v>
      </c>
      <c r="C128" s="34">
        <v>-10.4895105</v>
      </c>
      <c r="D128">
        <v>1.8671</v>
      </c>
      <c r="E128">
        <v>7.7763999999999998</v>
      </c>
      <c r="F128">
        <v>-0.14499999999999999</v>
      </c>
      <c r="G128">
        <v>3.4108999999999998</v>
      </c>
      <c r="H128">
        <v>1.23</v>
      </c>
    </row>
    <row r="129" spans="1:8">
      <c r="A129" s="22">
        <v>45828</v>
      </c>
      <c r="B129">
        <v>-2.6953</v>
      </c>
      <c r="C129" s="34">
        <v>32.421875</v>
      </c>
      <c r="D129">
        <v>5.9062999999999999</v>
      </c>
      <c r="E129">
        <v>-2.2547999999999999</v>
      </c>
      <c r="F129">
        <v>-7.4021999999999997</v>
      </c>
      <c r="G129">
        <v>-2.5987</v>
      </c>
      <c r="H129">
        <v>1.23</v>
      </c>
    </row>
    <row r="130" spans="1:8">
      <c r="A130" s="22">
        <v>45835</v>
      </c>
      <c r="B130">
        <v>25.207699999999999</v>
      </c>
      <c r="C130" s="34">
        <v>6.7846608000000002</v>
      </c>
      <c r="D130">
        <v>9.4229000000000003</v>
      </c>
      <c r="E130">
        <v>5.7670000000000003</v>
      </c>
      <c r="F130">
        <v>11.7555</v>
      </c>
      <c r="G130">
        <v>3.8994</v>
      </c>
      <c r="H130">
        <v>1.23</v>
      </c>
    </row>
    <row r="131" spans="1:8">
      <c r="A131" s="22">
        <v>45842</v>
      </c>
      <c r="B131">
        <v>4.8673000000000002</v>
      </c>
      <c r="C131" s="34">
        <v>-11.878453</v>
      </c>
      <c r="D131">
        <v>-2.4605000000000001</v>
      </c>
      <c r="E131">
        <v>13.958500000000001</v>
      </c>
      <c r="F131">
        <v>-2.9453999999999998</v>
      </c>
      <c r="G131">
        <v>0.24690000000000001</v>
      </c>
      <c r="H131">
        <v>1.23</v>
      </c>
    </row>
    <row r="132" spans="1:8">
      <c r="A132" s="22">
        <v>45849</v>
      </c>
      <c r="B132">
        <v>4.0084</v>
      </c>
      <c r="C132" s="34">
        <v>7.8369906</v>
      </c>
      <c r="D132">
        <v>4.6847000000000003</v>
      </c>
      <c r="E132">
        <v>-0.44600000000000001</v>
      </c>
      <c r="F132">
        <v>-5.2023000000000001</v>
      </c>
      <c r="G132">
        <v>9.8500000000000004E-2</v>
      </c>
      <c r="H132">
        <v>1.23</v>
      </c>
    </row>
    <row r="133" spans="1:8">
      <c r="A133" s="22">
        <v>45856</v>
      </c>
      <c r="B133">
        <v>-9.5335000000000001</v>
      </c>
      <c r="C133" s="34">
        <v>-13.372093</v>
      </c>
      <c r="D133">
        <v>2.0655000000000001</v>
      </c>
      <c r="E133">
        <v>9.7561</v>
      </c>
      <c r="F133">
        <v>-1.8292999999999999</v>
      </c>
      <c r="G133">
        <v>1.9684999999999999</v>
      </c>
      <c r="H133">
        <v>1.23</v>
      </c>
    </row>
    <row r="134" spans="1:8" ht="17.25" thickBot="1">
      <c r="A134" s="23">
        <v>45863</v>
      </c>
      <c r="B134" s="24">
        <v>-0.22420000000000001</v>
      </c>
      <c r="C134" s="100">
        <v>-5.7046979999999996</v>
      </c>
      <c r="D134" s="24">
        <v>0.16869999999999999</v>
      </c>
      <c r="E134" s="24">
        <v>-10.222200000000001</v>
      </c>
      <c r="F134" s="24">
        <v>-5.2796000000000003</v>
      </c>
      <c r="G134" s="24">
        <v>-1.8341000000000001</v>
      </c>
      <c r="H134">
        <v>1.23</v>
      </c>
    </row>
  </sheetData>
  <phoneticPr fontId="17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C1680-900B-42CA-8363-68EA1E1A31AA}">
  <dimension ref="A1:AG107"/>
  <sheetViews>
    <sheetView tabSelected="1" workbookViewId="0">
      <selection activeCell="R4" sqref="R4"/>
    </sheetView>
  </sheetViews>
  <sheetFormatPr defaultRowHeight="16.5"/>
  <cols>
    <col min="1" max="1" width="15" bestFit="1" customWidth="1"/>
    <col min="13" max="13" width="17.125" bestFit="1" customWidth="1"/>
    <col min="14" max="14" width="13.125" customWidth="1"/>
    <col min="15" max="15" width="9.5" customWidth="1"/>
    <col min="16" max="16" width="11.875" bestFit="1" customWidth="1"/>
    <col min="17" max="17" width="14.5" customWidth="1"/>
    <col min="18" max="18" width="14.625" customWidth="1"/>
    <col min="19" max="20" width="19.25" bestFit="1" customWidth="1"/>
    <col min="21" max="21" width="14.875" bestFit="1" customWidth="1"/>
    <col min="23" max="23" width="20.875" customWidth="1"/>
  </cols>
  <sheetData>
    <row r="1" spans="1:21">
      <c r="A1" s="31" t="s">
        <v>133</v>
      </c>
    </row>
    <row r="2" spans="1:21">
      <c r="A2" t="s">
        <v>38</v>
      </c>
      <c r="L2" s="26" t="s">
        <v>73</v>
      </c>
      <c r="M2" s="101" t="s">
        <v>70</v>
      </c>
      <c r="N2" s="1"/>
      <c r="O2" s="1"/>
      <c r="P2" s="1" t="s">
        <v>69</v>
      </c>
      <c r="Q2" s="1" t="s">
        <v>69</v>
      </c>
      <c r="R2" s="1" t="s">
        <v>69</v>
      </c>
    </row>
    <row r="3" spans="1:21" ht="17.25" thickBot="1">
      <c r="M3" s="1"/>
      <c r="N3" s="1" t="s">
        <v>68</v>
      </c>
      <c r="O3" s="1" t="s">
        <v>63</v>
      </c>
      <c r="P3" s="1" t="s">
        <v>66</v>
      </c>
      <c r="Q3" s="1" t="s">
        <v>138</v>
      </c>
      <c r="R3" s="1" t="s">
        <v>65</v>
      </c>
    </row>
    <row r="4" spans="1:21" ht="17.25" thickBot="1">
      <c r="A4" s="29" t="s">
        <v>39</v>
      </c>
      <c r="B4" s="29"/>
      <c r="M4" s="83" t="s">
        <v>140</v>
      </c>
      <c r="N4" s="102" t="e">
        <f>(_xlfn.VAR.S('raw data'!J2:J134)*52)^0.5</f>
        <v>#DIV/0!</v>
      </c>
      <c r="O4" s="103">
        <f>B19</f>
        <v>0.61649251441942576</v>
      </c>
      <c r="P4" s="103" t="e">
        <f>O4*$N$9</f>
        <v>#DIV/0!</v>
      </c>
      <c r="Q4" s="103">
        <f>B8</f>
        <v>5.5130971908068267E-2</v>
      </c>
      <c r="R4" s="103">
        <f>Q4*52^0.5</f>
        <v>0.39755509216140977</v>
      </c>
    </row>
    <row r="5" spans="1:21" ht="17.25" thickBot="1">
      <c r="A5" t="s">
        <v>40</v>
      </c>
      <c r="B5">
        <v>0.28875584976630858</v>
      </c>
      <c r="M5" s="83" t="s">
        <v>141</v>
      </c>
      <c r="N5" s="102" t="e">
        <f>(_xlfn.VAR.S('raw data'!K2:K134)*52)^0.5</f>
        <v>#DIV/0!</v>
      </c>
      <c r="O5" s="103">
        <f>B41</f>
        <v>0.28003707136490191</v>
      </c>
      <c r="P5" s="103" t="e">
        <f>O5*$N$9</f>
        <v>#DIV/0!</v>
      </c>
      <c r="Q5" s="103">
        <f>B30</f>
        <v>0.10238170662287222</v>
      </c>
      <c r="R5" s="103">
        <f>Q5*52^0.5</f>
        <v>0.73828498579655366</v>
      </c>
    </row>
    <row r="6" spans="1:21" ht="17.25" thickBot="1">
      <c r="A6" t="s">
        <v>41</v>
      </c>
      <c r="B6">
        <v>8.3379940774262987E-2</v>
      </c>
      <c r="M6" s="83" t="s">
        <v>142</v>
      </c>
      <c r="N6" s="102" t="e">
        <f>(_xlfn.VAR.S('raw data'!L2:L134)*52)^0.5</f>
        <v>#DIV/0!</v>
      </c>
      <c r="O6" s="103">
        <f>B63</f>
        <v>1.2184656565905647</v>
      </c>
      <c r="P6" s="103" t="e">
        <f>O6*$N$9</f>
        <v>#DIV/0!</v>
      </c>
      <c r="Q6" s="103">
        <f>B52</f>
        <v>8.6574361036601516E-2</v>
      </c>
      <c r="R6" s="103">
        <f>Q6*52^0.5</f>
        <v>0.62429659571599694</v>
      </c>
    </row>
    <row r="7" spans="1:21" ht="17.25" thickBot="1">
      <c r="A7" t="s">
        <v>42</v>
      </c>
      <c r="B7">
        <v>7.6382841085516892E-2</v>
      </c>
      <c r="M7" s="83" t="s">
        <v>143</v>
      </c>
      <c r="N7" s="102" t="e">
        <f>(_xlfn.VAR.S('raw data'!M2:M134)*52)^0.5</f>
        <v>#DIV/0!</v>
      </c>
      <c r="O7" s="103">
        <f>B85</f>
        <v>1.2467366471639847</v>
      </c>
      <c r="P7" s="103" t="e">
        <f>O7*$N$9</f>
        <v>#DIV/0!</v>
      </c>
      <c r="Q7" s="103">
        <f>B74</f>
        <v>5.8283276804669382E-2</v>
      </c>
      <c r="R7" s="103">
        <f>Q7*52^0.5</f>
        <v>0.42028668604259284</v>
      </c>
    </row>
    <row r="8" spans="1:21" ht="17.25" thickBot="1">
      <c r="A8" t="s">
        <v>43</v>
      </c>
      <c r="B8" s="33">
        <v>5.5130971908068267E-2</v>
      </c>
      <c r="M8" s="83" t="s">
        <v>144</v>
      </c>
      <c r="N8" s="102" t="e">
        <f>(_xlfn.VAR.S('raw data'!N2:N134)*52)^0.5</f>
        <v>#DIV/0!</v>
      </c>
      <c r="O8" s="103">
        <f>B107</f>
        <v>0.90489322466678301</v>
      </c>
      <c r="P8" s="103" t="e">
        <f>O8*$N$9</f>
        <v>#DIV/0!</v>
      </c>
      <c r="Q8" s="103">
        <f>B96</f>
        <v>6.3699122023896534E-2</v>
      </c>
      <c r="R8" s="103">
        <f>Q8*52^0.5</f>
        <v>0.45934090131839284</v>
      </c>
    </row>
    <row r="9" spans="1:21" ht="17.25" thickBot="1">
      <c r="A9" s="24" t="s">
        <v>44</v>
      </c>
      <c r="B9" s="24">
        <v>133</v>
      </c>
      <c r="M9" s="83" t="s">
        <v>145</v>
      </c>
      <c r="N9" s="102" t="e">
        <f>(_xlfn.VAR.S('raw data'!O2:O134)*52)^0.5</f>
        <v>#DIV/0!</v>
      </c>
      <c r="O9" s="103">
        <v>1</v>
      </c>
      <c r="P9" s="103" t="e">
        <f>O9*N9</f>
        <v>#DIV/0!</v>
      </c>
      <c r="Q9" s="103">
        <v>0</v>
      </c>
      <c r="R9" s="103">
        <v>0</v>
      </c>
    </row>
    <row r="10" spans="1:21">
      <c r="M10" s="30"/>
      <c r="N10" s="30"/>
    </row>
    <row r="11" spans="1:21" ht="17.25" thickBot="1">
      <c r="A11" t="s">
        <v>45</v>
      </c>
      <c r="L11" s="26" t="s">
        <v>74</v>
      </c>
      <c r="M11" s="30" t="s">
        <v>72</v>
      </c>
    </row>
    <row r="12" spans="1:21">
      <c r="A12" s="28"/>
      <c r="B12" s="28" t="s">
        <v>50</v>
      </c>
      <c r="C12" s="28" t="s">
        <v>51</v>
      </c>
      <c r="D12" s="28" t="s">
        <v>52</v>
      </c>
      <c r="E12" s="28" t="s">
        <v>53</v>
      </c>
      <c r="F12" s="28" t="s">
        <v>54</v>
      </c>
      <c r="M12" s="30"/>
      <c r="O12" s="25" t="s">
        <v>133</v>
      </c>
      <c r="P12" s="25" t="s">
        <v>131</v>
      </c>
      <c r="Q12" s="25" t="s">
        <v>134</v>
      </c>
      <c r="R12" s="25" t="s">
        <v>135</v>
      </c>
      <c r="S12" s="25" t="s">
        <v>136</v>
      </c>
      <c r="T12" s="25" t="s">
        <v>137</v>
      </c>
      <c r="U12" s="30"/>
    </row>
    <row r="13" spans="1:21" ht="17.25" thickBot="1">
      <c r="A13" t="s">
        <v>46</v>
      </c>
      <c r="B13">
        <v>1</v>
      </c>
      <c r="C13">
        <v>3.6218863483173769E-2</v>
      </c>
      <c r="D13">
        <v>3.6218863483173769E-2</v>
      </c>
      <c r="E13">
        <v>11.916357417112216</v>
      </c>
      <c r="F13">
        <v>7.4961282905392326E-4</v>
      </c>
      <c r="N13" s="26" t="s">
        <v>63</v>
      </c>
      <c r="O13" s="34">
        <v>0.61649251441942576</v>
      </c>
      <c r="P13" s="34">
        <v>0.28003707136490191</v>
      </c>
      <c r="Q13" s="34">
        <v>1.2184656565905647</v>
      </c>
      <c r="R13" s="34">
        <v>1.2467366471639847</v>
      </c>
      <c r="S13" s="34">
        <v>0.90489322466678301</v>
      </c>
      <c r="T13" s="34">
        <v>1</v>
      </c>
      <c r="U13" s="34"/>
    </row>
    <row r="14" spans="1:21" ht="17.25" thickBot="1">
      <c r="A14" t="s">
        <v>47</v>
      </c>
      <c r="B14">
        <v>131</v>
      </c>
      <c r="C14">
        <v>0.39816455232219583</v>
      </c>
      <c r="D14">
        <v>3.0394240635282124E-3</v>
      </c>
      <c r="M14" s="25" t="s">
        <v>133</v>
      </c>
      <c r="N14" s="34">
        <v>0.61649251441942576</v>
      </c>
      <c r="O14" s="34" t="e">
        <f>O4*O4*N9*N9+R4*R4</f>
        <v>#DIV/0!</v>
      </c>
      <c r="P14" s="34">
        <v>6.481148170468012E-3</v>
      </c>
      <c r="Q14" s="34">
        <v>2.8200039453704313E-2</v>
      </c>
      <c r="R14" s="34">
        <v>2.8854340250163809E-2</v>
      </c>
      <c r="S14" s="34">
        <v>2.0942752468211506E-2</v>
      </c>
      <c r="T14" s="34">
        <v>2.3143893552660253E-2</v>
      </c>
      <c r="U14" s="34"/>
    </row>
    <row r="15" spans="1:21" ht="17.25" thickBot="1">
      <c r="A15" s="24" t="s">
        <v>48</v>
      </c>
      <c r="B15" s="24">
        <v>132</v>
      </c>
      <c r="C15" s="24">
        <v>0.4343834158053696</v>
      </c>
      <c r="D15" s="24"/>
      <c r="E15" s="24"/>
      <c r="F15" s="24"/>
      <c r="M15" s="25" t="s">
        <v>131</v>
      </c>
      <c r="N15" s="34">
        <v>0.28003707136490191</v>
      </c>
      <c r="O15" s="34" t="e">
        <f>$O$4*O5*$N$9*$N$9</f>
        <v>#DIV/0!</v>
      </c>
      <c r="P15" s="34" t="e">
        <f>O5*O5*N9*N9+R5*R5</f>
        <v>#DIV/0!</v>
      </c>
      <c r="Q15" s="34">
        <v>1.2809655066821047E-2</v>
      </c>
      <c r="R15" s="34">
        <v>1.3106866264924228E-2</v>
      </c>
      <c r="S15" s="34">
        <v>9.5130872319529689E-3</v>
      </c>
      <c r="T15" s="34">
        <v>1.0512938955262991E-2</v>
      </c>
      <c r="U15" s="34"/>
    </row>
    <row r="16" spans="1:21" ht="17.25" thickBot="1">
      <c r="M16" s="25" t="s">
        <v>134</v>
      </c>
      <c r="N16" s="34">
        <v>1.2184656565905647</v>
      </c>
      <c r="O16" s="34" t="e">
        <f>$O$4*O6*$N$9*$N$9</f>
        <v>#DIV/0!</v>
      </c>
      <c r="P16" s="34" t="e">
        <f>$O$5*O6*$N$9*$N$9</f>
        <v>#DIV/0!</v>
      </c>
      <c r="Q16" s="34" t="e">
        <f>O6*O6*N9*N9+R6*R6</f>
        <v>#DIV/0!</v>
      </c>
      <c r="R16" s="34">
        <v>5.702911522212567E-2</v>
      </c>
      <c r="S16" s="34">
        <v>4.1392270044064185E-2</v>
      </c>
      <c r="T16" s="34">
        <v>4.5742711864492559E-2</v>
      </c>
      <c r="U16" s="34"/>
    </row>
    <row r="17" spans="1:21" ht="17.25" thickBot="1">
      <c r="A17" s="28"/>
      <c r="B17" s="28" t="s">
        <v>55</v>
      </c>
      <c r="C17" s="28" t="s">
        <v>43</v>
      </c>
      <c r="D17" s="28" t="s">
        <v>56</v>
      </c>
      <c r="E17" s="28" t="s">
        <v>57</v>
      </c>
      <c r="F17" s="28" t="s">
        <v>58</v>
      </c>
      <c r="G17" s="28" t="s">
        <v>59</v>
      </c>
      <c r="H17" s="28" t="s">
        <v>60</v>
      </c>
      <c r="I17" s="28" t="s">
        <v>61</v>
      </c>
      <c r="M17" s="25" t="s">
        <v>135</v>
      </c>
      <c r="N17" s="34">
        <v>1.2467366471639847</v>
      </c>
      <c r="O17" s="34" t="e">
        <f>$O$4*O7*$N$9*$N$9</f>
        <v>#DIV/0!</v>
      </c>
      <c r="P17" s="34" t="e">
        <f>$O$5*O7*$N$9*$N$9</f>
        <v>#DIV/0!</v>
      </c>
      <c r="Q17" s="34" t="e">
        <f>$O$6*O7*$N$9*$N$9</f>
        <v>#DIV/0!</v>
      </c>
      <c r="R17" s="34" t="e">
        <f>O7*O7*N9*N9+R7*R7</f>
        <v>#DIV/0!</v>
      </c>
      <c r="S17" s="34">
        <v>4.2352658603149691E-2</v>
      </c>
      <c r="T17" s="34">
        <v>4.6804039911720628E-2</v>
      </c>
      <c r="U17" s="34"/>
    </row>
    <row r="18" spans="1:21" ht="17.25" thickBot="1">
      <c r="A18" t="s">
        <v>49</v>
      </c>
      <c r="B18">
        <v>9.5280535021348856E-3</v>
      </c>
      <c r="C18">
        <v>4.8077260387204947E-3</v>
      </c>
      <c r="D18">
        <v>1.9818212238796029</v>
      </c>
      <c r="E18">
        <v>4.9592546593806949E-2</v>
      </c>
      <c r="F18">
        <v>1.722456627657569E-5</v>
      </c>
      <c r="G18">
        <v>1.9038882437993197E-2</v>
      </c>
      <c r="H18">
        <v>1.722456627657569E-5</v>
      </c>
      <c r="I18">
        <v>1.9038882437993197E-2</v>
      </c>
      <c r="M18" s="25" t="s">
        <v>136</v>
      </c>
      <c r="N18" s="34">
        <v>0.90489322466678301</v>
      </c>
      <c r="O18" s="34" t="e">
        <f>$O$4*O8*$N$9*$N$9</f>
        <v>#DIV/0!</v>
      </c>
      <c r="P18" s="34" t="e">
        <f>$O$5*O8*$N$9*$N$9</f>
        <v>#DIV/0!</v>
      </c>
      <c r="Q18" s="34" t="e">
        <f>$O$6*O8*$N$9*$N$9</f>
        <v>#DIV/0!</v>
      </c>
      <c r="R18" s="34" t="e">
        <f>$O$7*O8*$N$9*$N$9</f>
        <v>#DIV/0!</v>
      </c>
      <c r="S18" s="34" t="e">
        <f>O8*O8*N9*N9+R8*R8</f>
        <v>#DIV/0!</v>
      </c>
      <c r="T18" s="34" t="e">
        <f>$O$8*P8*O8*O8</f>
        <v>#DIV/0!</v>
      </c>
      <c r="U18" s="34"/>
    </row>
    <row r="19" spans="1:21" ht="17.25" thickBot="1">
      <c r="A19" s="24" t="s">
        <v>62</v>
      </c>
      <c r="B19" s="32">
        <v>0.61649251441942576</v>
      </c>
      <c r="C19" s="24">
        <v>0.17858955175297175</v>
      </c>
      <c r="D19" s="24">
        <v>3.4520077371164981</v>
      </c>
      <c r="E19" s="24">
        <v>7.4961282905393562E-4</v>
      </c>
      <c r="F19" s="24">
        <v>0.26319978043781794</v>
      </c>
      <c r="G19" s="24">
        <v>0.96978524840103364</v>
      </c>
      <c r="H19" s="24">
        <v>0.26319978043781794</v>
      </c>
      <c r="I19" s="24">
        <v>0.96978524840103364</v>
      </c>
      <c r="M19" s="25" t="s">
        <v>137</v>
      </c>
      <c r="N19" s="34">
        <v>1</v>
      </c>
      <c r="O19" s="34" t="e">
        <f>$O$4*O9*$N$9*$N$9</f>
        <v>#DIV/0!</v>
      </c>
      <c r="P19" s="34" t="e">
        <f>$O$5*O9*$N$9*$N$9</f>
        <v>#DIV/0!</v>
      </c>
      <c r="Q19" s="34" t="e">
        <f>$O$6*O9*$N$9*$N$9</f>
        <v>#DIV/0!</v>
      </c>
      <c r="R19" s="34" t="e">
        <f>$O$7*O9*$N$9*$N$9</f>
        <v>#DIV/0!</v>
      </c>
      <c r="S19" s="34" t="e">
        <f>$O$8*O9*N9*N9</f>
        <v>#DIV/0!</v>
      </c>
      <c r="T19" s="34" t="e">
        <f>O9*O9*N9*N9+R9*R9</f>
        <v>#DIV/0!</v>
      </c>
      <c r="U19" s="34"/>
    </row>
    <row r="20" spans="1:21">
      <c r="N20" s="26" t="s">
        <v>71</v>
      </c>
      <c r="T20" s="26" t="s">
        <v>71</v>
      </c>
      <c r="U20" s="26"/>
    </row>
    <row r="21" spans="1:21" ht="17.25" thickBot="1">
      <c r="L21" s="26" t="s">
        <v>75</v>
      </c>
      <c r="N21" s="27" t="s">
        <v>76</v>
      </c>
      <c r="O21" s="26" t="s">
        <v>78</v>
      </c>
    </row>
    <row r="22" spans="1:21" ht="17.25" thickBot="1">
      <c r="M22" s="25" t="s">
        <v>133</v>
      </c>
      <c r="N22" s="34">
        <v>0.2334</v>
      </c>
      <c r="O22" s="35">
        <f t="shared" ref="O22:O28" si="0">N22-$N$28</f>
        <v>0.22109999999999999</v>
      </c>
    </row>
    <row r="23" spans="1:21" ht="17.25" thickBot="1">
      <c r="A23" s="31" t="s">
        <v>131</v>
      </c>
      <c r="M23" s="25" t="s">
        <v>131</v>
      </c>
      <c r="N23" s="34">
        <v>0.2</v>
      </c>
      <c r="O23" s="35">
        <f t="shared" si="0"/>
        <v>0.18770000000000001</v>
      </c>
    </row>
    <row r="24" spans="1:21" ht="17.25" thickBot="1">
      <c r="A24" t="s">
        <v>38</v>
      </c>
      <c r="M24" s="25" t="s">
        <v>134</v>
      </c>
      <c r="N24" s="34">
        <v>0.3468</v>
      </c>
      <c r="O24" s="35">
        <f t="shared" si="0"/>
        <v>0.33450000000000002</v>
      </c>
    </row>
    <row r="25" spans="1:21" ht="17.25" thickBot="1">
      <c r="M25" s="25" t="s">
        <v>135</v>
      </c>
      <c r="N25" s="34">
        <v>0.23880000000000001</v>
      </c>
      <c r="O25" s="35">
        <f t="shared" si="0"/>
        <v>0.22650000000000001</v>
      </c>
    </row>
    <row r="26" spans="1:21" ht="17.25" thickBot="1">
      <c r="A26" s="29" t="s">
        <v>39</v>
      </c>
      <c r="B26" s="29"/>
      <c r="M26" s="25" t="s">
        <v>136</v>
      </c>
      <c r="N26" s="34">
        <v>0.2</v>
      </c>
      <c r="O26" s="35">
        <f t="shared" si="0"/>
        <v>0.18770000000000001</v>
      </c>
    </row>
    <row r="27" spans="1:21">
      <c r="A27" t="s">
        <v>40</v>
      </c>
      <c r="B27">
        <v>7.3573007291364678E-2</v>
      </c>
      <c r="M27" s="25" t="s">
        <v>137</v>
      </c>
      <c r="N27" s="34">
        <v>0.08</v>
      </c>
      <c r="O27" s="35">
        <f t="shared" si="0"/>
        <v>6.7699999999999996E-2</v>
      </c>
    </row>
    <row r="28" spans="1:21">
      <c r="A28" t="s">
        <v>41</v>
      </c>
      <c r="B28">
        <v>5.4129874018951996E-3</v>
      </c>
      <c r="M28" s="30" t="s">
        <v>77</v>
      </c>
      <c r="N28" s="34">
        <v>1.23E-2</v>
      </c>
      <c r="O28" s="35">
        <f t="shared" si="0"/>
        <v>0</v>
      </c>
    </row>
    <row r="29" spans="1:21" ht="17.25" thickBot="1">
      <c r="A29" t="s">
        <v>42</v>
      </c>
      <c r="B29">
        <v>-2.1792798698460586E-3</v>
      </c>
    </row>
    <row r="30" spans="1:21">
      <c r="A30" t="s">
        <v>43</v>
      </c>
      <c r="B30" s="33">
        <v>0.10238170662287222</v>
      </c>
      <c r="N30" s="25" t="s">
        <v>133</v>
      </c>
      <c r="O30" s="25" t="s">
        <v>131</v>
      </c>
      <c r="P30" s="25" t="s">
        <v>134</v>
      </c>
      <c r="Q30" s="25" t="s">
        <v>135</v>
      </c>
      <c r="R30" s="25" t="s">
        <v>136</v>
      </c>
      <c r="S30" s="25" t="s">
        <v>137</v>
      </c>
    </row>
    <row r="31" spans="1:21" ht="17.25" thickBot="1">
      <c r="A31" s="24" t="s">
        <v>44</v>
      </c>
      <c r="B31" s="24">
        <v>133</v>
      </c>
      <c r="M31" s="36" t="s">
        <v>79</v>
      </c>
      <c r="N31" s="34">
        <f t="shared" ref="N31:S31" si="1">N32-O13*$S$32</f>
        <v>0.17936345677380489</v>
      </c>
      <c r="O31" s="34">
        <f t="shared" si="1"/>
        <v>0.16874149026859614</v>
      </c>
      <c r="P31" s="34">
        <f t="shared" si="1"/>
        <v>0.25200987504881878</v>
      </c>
      <c r="Q31" s="34">
        <f t="shared" si="1"/>
        <v>0.14209592898699824</v>
      </c>
      <c r="R31" s="34">
        <f t="shared" si="1"/>
        <v>0.12643872869005879</v>
      </c>
      <c r="S31" s="34">
        <f t="shared" si="1"/>
        <v>0</v>
      </c>
    </row>
    <row r="32" spans="1:21">
      <c r="M32" s="37" t="s">
        <v>80</v>
      </c>
      <c r="N32" s="35">
        <f>O22</f>
        <v>0.22109999999999999</v>
      </c>
      <c r="O32" s="35">
        <f>O23</f>
        <v>0.18770000000000001</v>
      </c>
      <c r="P32" s="35">
        <f>O24</f>
        <v>0.33450000000000002</v>
      </c>
      <c r="Q32" s="35">
        <f>O25</f>
        <v>0.22650000000000001</v>
      </c>
      <c r="R32" s="35">
        <f>O26</f>
        <v>0.18770000000000001</v>
      </c>
      <c r="S32" s="35">
        <f>O27</f>
        <v>6.7699999999999996E-2</v>
      </c>
    </row>
    <row r="33" spans="1:33" ht="17.25" thickBot="1">
      <c r="A33" t="s">
        <v>45</v>
      </c>
    </row>
    <row r="34" spans="1:33">
      <c r="A34" s="28"/>
      <c r="B34" s="28" t="s">
        <v>50</v>
      </c>
      <c r="C34" s="28" t="s">
        <v>51</v>
      </c>
      <c r="D34" s="28" t="s">
        <v>52</v>
      </c>
      <c r="E34" s="28" t="s">
        <v>53</v>
      </c>
      <c r="F34" s="28" t="s">
        <v>54</v>
      </c>
    </row>
    <row r="35" spans="1:33">
      <c r="A35" t="s">
        <v>46</v>
      </c>
      <c r="B35">
        <v>1</v>
      </c>
      <c r="C35">
        <v>7.4732628464231343E-3</v>
      </c>
      <c r="D35">
        <v>7.4732628464231343E-3</v>
      </c>
      <c r="E35">
        <v>0.71296059637449394</v>
      </c>
      <c r="F35">
        <v>0.40000207506869689</v>
      </c>
      <c r="M35" s="3"/>
      <c r="N35" s="1"/>
      <c r="O35" s="38"/>
      <c r="P35" s="1"/>
      <c r="Q35" s="1"/>
      <c r="R35" s="1"/>
      <c r="S35" s="1"/>
      <c r="T35" s="1"/>
      <c r="U35" s="1"/>
      <c r="V35" s="1"/>
      <c r="W35" s="105" t="s">
        <v>89</v>
      </c>
      <c r="X35" s="106"/>
      <c r="Y35" s="1"/>
      <c r="Z35" s="1"/>
      <c r="AA35" s="1"/>
      <c r="AB35" s="1"/>
      <c r="AC35" s="1"/>
      <c r="AD35" s="1"/>
      <c r="AE35" s="1"/>
      <c r="AF35" s="1"/>
      <c r="AG35" s="1"/>
    </row>
    <row r="36" spans="1:33">
      <c r="A36" t="s">
        <v>47</v>
      </c>
      <c r="B36">
        <v>131</v>
      </c>
      <c r="C36">
        <v>1.3731438144825558</v>
      </c>
      <c r="D36">
        <v>1.0482013851011877E-2</v>
      </c>
      <c r="L36" s="26" t="s">
        <v>104</v>
      </c>
      <c r="M36" s="1"/>
      <c r="N36" s="1"/>
      <c r="O36" s="1"/>
      <c r="P36" s="1"/>
      <c r="Q36" s="1"/>
      <c r="R36" s="1"/>
      <c r="S36" s="1"/>
      <c r="T36" s="1"/>
      <c r="U36" s="1"/>
      <c r="V36" s="1"/>
      <c r="W36" s="39"/>
      <c r="X36" s="40"/>
      <c r="Y36" s="1"/>
      <c r="Z36" s="1"/>
      <c r="AA36" s="1"/>
      <c r="AB36" s="1"/>
      <c r="AC36" s="1"/>
      <c r="AD36" s="1"/>
      <c r="AE36" s="1"/>
      <c r="AF36" s="1"/>
      <c r="AG36" s="1"/>
    </row>
    <row r="37" spans="1:33" ht="17.25" thickBot="1">
      <c r="A37" s="24" t="s">
        <v>48</v>
      </c>
      <c r="B37" s="24">
        <v>132</v>
      </c>
      <c r="C37" s="24">
        <v>1.380617077328979</v>
      </c>
      <c r="D37" s="24"/>
      <c r="E37" s="24"/>
      <c r="F37" s="24"/>
      <c r="M37" s="1"/>
      <c r="N37" s="1"/>
      <c r="O37" s="1"/>
      <c r="P37" s="1"/>
      <c r="Q37" s="1"/>
      <c r="R37" s="1"/>
      <c r="S37" s="1"/>
      <c r="T37" s="1"/>
      <c r="U37" s="1"/>
      <c r="V37" s="1"/>
      <c r="W37" s="40"/>
      <c r="X37" s="40"/>
      <c r="Y37" s="1" t="s">
        <v>83</v>
      </c>
      <c r="Z37" s="1"/>
      <c r="AA37" s="1"/>
      <c r="AB37" s="1"/>
      <c r="AC37" s="1" t="s">
        <v>84</v>
      </c>
      <c r="AD37" s="1"/>
      <c r="AE37" s="1"/>
      <c r="AF37" s="1"/>
      <c r="AG37" s="1"/>
    </row>
    <row r="38" spans="1:33" ht="17.25" thickBot="1">
      <c r="M38" s="3" t="s">
        <v>90</v>
      </c>
      <c r="N38" s="1"/>
      <c r="O38" s="1"/>
      <c r="P38" s="1"/>
      <c r="Q38" s="1"/>
      <c r="R38" s="1"/>
      <c r="S38" s="1"/>
      <c r="T38" s="1"/>
      <c r="U38" s="1"/>
      <c r="V38" s="1"/>
      <c r="W38" s="41" t="s">
        <v>81</v>
      </c>
      <c r="X38" s="41"/>
      <c r="Y38" s="15"/>
      <c r="Z38" s="15"/>
      <c r="AA38" s="15"/>
      <c r="AB38" s="15"/>
      <c r="AC38" s="15"/>
      <c r="AD38" s="15"/>
      <c r="AE38" s="15"/>
      <c r="AF38" s="15"/>
      <c r="AG38" s="15"/>
    </row>
    <row r="39" spans="1:33" ht="17.25" thickBot="1">
      <c r="A39" s="28"/>
      <c r="B39" s="28" t="s">
        <v>55</v>
      </c>
      <c r="C39" s="28" t="s">
        <v>43</v>
      </c>
      <c r="D39" s="28" t="s">
        <v>56</v>
      </c>
      <c r="E39" s="28" t="s">
        <v>57</v>
      </c>
      <c r="F39" s="28" t="s">
        <v>58</v>
      </c>
      <c r="G39" s="28" t="s">
        <v>59</v>
      </c>
      <c r="H39" s="28" t="s">
        <v>60</v>
      </c>
      <c r="I39" s="28" t="s">
        <v>61</v>
      </c>
      <c r="M39" s="3" t="s">
        <v>85</v>
      </c>
      <c r="N39" s="1"/>
      <c r="O39" s="42">
        <f>M41</f>
        <v>0.34653683645655825</v>
      </c>
      <c r="P39" s="42">
        <f>M42</f>
        <v>9.9906529882625328E-2</v>
      </c>
      <c r="Q39" s="42">
        <f>M43</f>
        <v>0.18861822709063586</v>
      </c>
      <c r="R39" s="42">
        <f>M44</f>
        <v>0.20371829992383769</v>
      </c>
      <c r="S39" s="42">
        <f>M45</f>
        <v>0.16122008991957901</v>
      </c>
      <c r="T39" s="42">
        <f>M46</f>
        <v>0</v>
      </c>
      <c r="U39" s="1"/>
      <c r="V39" s="1"/>
      <c r="W39" s="43" t="s">
        <v>67</v>
      </c>
      <c r="X39">
        <v>0</v>
      </c>
      <c r="Y39" s="15"/>
      <c r="Z39" s="15"/>
      <c r="AA39" s="15"/>
      <c r="AB39" s="15"/>
      <c r="AC39" s="15"/>
      <c r="AD39" s="15"/>
      <c r="AE39" s="15"/>
      <c r="AF39" s="15"/>
      <c r="AG39" s="15"/>
    </row>
    <row r="40" spans="1:33" ht="17.25" thickBot="1">
      <c r="A40" t="s">
        <v>49</v>
      </c>
      <c r="B40">
        <v>1.0397561247779111E-2</v>
      </c>
      <c r="C40">
        <v>8.9282517572919808E-3</v>
      </c>
      <c r="D40">
        <v>1.1645685550126987</v>
      </c>
      <c r="E40">
        <v>0.24631008532007384</v>
      </c>
      <c r="F40">
        <v>-7.2646504664472793E-3</v>
      </c>
      <c r="G40">
        <v>2.80597729620055E-2</v>
      </c>
      <c r="H40">
        <v>-7.2646504664472793E-3</v>
      </c>
      <c r="I40">
        <v>2.80597729620055E-2</v>
      </c>
      <c r="M40" s="1"/>
      <c r="N40" s="1"/>
      <c r="O40" s="25" t="s">
        <v>133</v>
      </c>
      <c r="P40" s="25" t="s">
        <v>131</v>
      </c>
      <c r="Q40" s="25" t="s">
        <v>134</v>
      </c>
      <c r="R40" s="25" t="s">
        <v>135</v>
      </c>
      <c r="S40" s="25" t="s">
        <v>136</v>
      </c>
      <c r="T40" s="25" t="s">
        <v>137</v>
      </c>
      <c r="U40" s="30"/>
      <c r="V40" s="1"/>
      <c r="W40" s="44" t="s">
        <v>82</v>
      </c>
      <c r="X40" s="43"/>
      <c r="Y40" s="15"/>
      <c r="Z40" s="15"/>
      <c r="AA40" s="15"/>
      <c r="AB40" s="15"/>
      <c r="AC40" s="15"/>
      <c r="AD40" s="15"/>
      <c r="AE40" s="15"/>
      <c r="AF40" s="15"/>
      <c r="AG40" s="15"/>
    </row>
    <row r="41" spans="1:33" ht="17.25" thickBot="1">
      <c r="A41" s="24" t="s">
        <v>62</v>
      </c>
      <c r="B41" s="32">
        <v>0.28003707136490191</v>
      </c>
      <c r="C41" s="24">
        <v>0.33165210879961199</v>
      </c>
      <c r="D41" s="24">
        <v>0.84436994047308633</v>
      </c>
      <c r="E41" s="24">
        <v>0.40000207506868712</v>
      </c>
      <c r="F41" s="24">
        <v>-0.37604991187951869</v>
      </c>
      <c r="G41" s="24">
        <v>0.93612405460932258</v>
      </c>
      <c r="H41" s="24">
        <v>-0.37604991187951869</v>
      </c>
      <c r="I41" s="24">
        <v>0.93612405460932258</v>
      </c>
      <c r="M41" s="13">
        <v>0.34653683645655825</v>
      </c>
      <c r="N41" s="25" t="s">
        <v>133</v>
      </c>
      <c r="O41" s="15" t="e">
        <f t="shared" ref="O41:T46" si="2">O14</f>
        <v>#DIV/0!</v>
      </c>
      <c r="P41" s="15">
        <f t="shared" si="2"/>
        <v>6.481148170468012E-3</v>
      </c>
      <c r="Q41" s="15">
        <f t="shared" si="2"/>
        <v>2.8200039453704313E-2</v>
      </c>
      <c r="R41" s="15">
        <f t="shared" si="2"/>
        <v>2.8854340250163809E-2</v>
      </c>
      <c r="S41" s="15">
        <f t="shared" si="2"/>
        <v>2.0942752468211506E-2</v>
      </c>
      <c r="T41" s="15">
        <f t="shared" si="2"/>
        <v>2.3143893552660253E-2</v>
      </c>
      <c r="U41" s="1"/>
      <c r="V41" s="1"/>
      <c r="W41" s="25" t="s">
        <v>133</v>
      </c>
      <c r="X41" s="45"/>
      <c r="Y41" s="13"/>
      <c r="Z41" s="13"/>
      <c r="AA41" s="13"/>
      <c r="AB41" s="13"/>
      <c r="AC41" s="13"/>
      <c r="AD41" s="13"/>
      <c r="AE41" s="13"/>
      <c r="AF41" s="13"/>
      <c r="AG41" s="13"/>
    </row>
    <row r="42" spans="1:33" ht="17.25" thickBot="1">
      <c r="M42" s="13">
        <v>9.9906529882625328E-2</v>
      </c>
      <c r="N42" s="25" t="s">
        <v>131</v>
      </c>
      <c r="O42" s="15" t="e">
        <f t="shared" si="2"/>
        <v>#DIV/0!</v>
      </c>
      <c r="P42" s="15" t="e">
        <f t="shared" si="2"/>
        <v>#DIV/0!</v>
      </c>
      <c r="Q42" s="15">
        <f t="shared" si="2"/>
        <v>1.2809655066821047E-2</v>
      </c>
      <c r="R42" s="15">
        <f t="shared" si="2"/>
        <v>1.3106866264924228E-2</v>
      </c>
      <c r="S42" s="15">
        <f t="shared" si="2"/>
        <v>9.5130872319529689E-3</v>
      </c>
      <c r="T42" s="15">
        <f t="shared" si="2"/>
        <v>1.0512938955262991E-2</v>
      </c>
      <c r="U42" s="1"/>
      <c r="V42" s="1"/>
      <c r="W42" s="25" t="s">
        <v>131</v>
      </c>
      <c r="X42" s="45"/>
      <c r="Y42" s="13"/>
      <c r="Z42" s="13"/>
      <c r="AA42" s="13"/>
      <c r="AB42" s="13"/>
      <c r="AC42" s="13"/>
      <c r="AD42" s="13"/>
      <c r="AE42" s="13"/>
      <c r="AF42" s="13"/>
      <c r="AG42" s="13"/>
    </row>
    <row r="43" spans="1:33" ht="17.25" thickBot="1">
      <c r="M43" s="13">
        <v>0.18861822709063586</v>
      </c>
      <c r="N43" s="25" t="s">
        <v>134</v>
      </c>
      <c r="O43" s="15" t="e">
        <f t="shared" si="2"/>
        <v>#DIV/0!</v>
      </c>
      <c r="P43" s="15" t="e">
        <f t="shared" si="2"/>
        <v>#DIV/0!</v>
      </c>
      <c r="Q43" s="15" t="e">
        <f t="shared" si="2"/>
        <v>#DIV/0!</v>
      </c>
      <c r="R43" s="15">
        <f t="shared" si="2"/>
        <v>5.702911522212567E-2</v>
      </c>
      <c r="S43" s="15">
        <f t="shared" si="2"/>
        <v>4.1392270044064185E-2</v>
      </c>
      <c r="T43" s="15">
        <f t="shared" si="2"/>
        <v>4.5742711864492559E-2</v>
      </c>
      <c r="U43" s="1"/>
      <c r="V43" s="1"/>
      <c r="W43" s="25" t="s">
        <v>134</v>
      </c>
      <c r="X43" s="45"/>
      <c r="Y43" s="13"/>
      <c r="Z43" s="13"/>
      <c r="AA43" s="13"/>
      <c r="AB43" s="13"/>
      <c r="AC43" s="13"/>
      <c r="AD43" s="13"/>
      <c r="AE43" s="13"/>
      <c r="AF43" s="13"/>
      <c r="AG43" s="13"/>
    </row>
    <row r="44" spans="1:33" ht="17.25" thickBot="1">
      <c r="M44" s="13">
        <v>0.20371829992383769</v>
      </c>
      <c r="N44" s="25" t="s">
        <v>135</v>
      </c>
      <c r="O44" s="15" t="e">
        <f t="shared" si="2"/>
        <v>#DIV/0!</v>
      </c>
      <c r="P44" s="15" t="e">
        <f t="shared" si="2"/>
        <v>#DIV/0!</v>
      </c>
      <c r="Q44" s="15" t="e">
        <f t="shared" si="2"/>
        <v>#DIV/0!</v>
      </c>
      <c r="R44" s="15" t="e">
        <f t="shared" si="2"/>
        <v>#DIV/0!</v>
      </c>
      <c r="S44" s="15">
        <f t="shared" si="2"/>
        <v>4.2352658603149691E-2</v>
      </c>
      <c r="T44" s="15">
        <f t="shared" si="2"/>
        <v>4.6804039911720628E-2</v>
      </c>
      <c r="U44" s="1"/>
      <c r="V44" s="1"/>
      <c r="W44" s="25" t="s">
        <v>135</v>
      </c>
      <c r="X44" s="45"/>
      <c r="Y44" s="13"/>
      <c r="Z44" s="13"/>
      <c r="AA44" s="13"/>
      <c r="AB44" s="13"/>
      <c r="AC44" s="13"/>
      <c r="AD44" s="13"/>
      <c r="AE44" s="13"/>
      <c r="AF44" s="13"/>
      <c r="AG44" s="13"/>
    </row>
    <row r="45" spans="1:33" ht="17.25" thickBot="1">
      <c r="A45" s="31" t="s">
        <v>134</v>
      </c>
      <c r="M45" s="13">
        <v>0.16122008991957901</v>
      </c>
      <c r="N45" s="25" t="s">
        <v>136</v>
      </c>
      <c r="O45" s="15" t="e">
        <f t="shared" si="2"/>
        <v>#DIV/0!</v>
      </c>
      <c r="P45" s="15" t="e">
        <f t="shared" si="2"/>
        <v>#DIV/0!</v>
      </c>
      <c r="Q45" s="15" t="e">
        <f t="shared" si="2"/>
        <v>#DIV/0!</v>
      </c>
      <c r="R45" s="15" t="e">
        <f t="shared" si="2"/>
        <v>#DIV/0!</v>
      </c>
      <c r="S45" s="15" t="e">
        <f t="shared" si="2"/>
        <v>#DIV/0!</v>
      </c>
      <c r="T45" s="15" t="e">
        <f t="shared" si="2"/>
        <v>#DIV/0!</v>
      </c>
      <c r="U45" s="1"/>
      <c r="V45" s="1"/>
      <c r="W45" s="25" t="s">
        <v>136</v>
      </c>
      <c r="X45" s="45"/>
      <c r="Y45" s="13"/>
      <c r="Z45" s="13"/>
      <c r="AA45" s="13"/>
      <c r="AB45" s="13"/>
      <c r="AC45" s="13"/>
      <c r="AD45" s="13"/>
      <c r="AE45" s="13"/>
      <c r="AF45" s="13"/>
      <c r="AG45" s="13"/>
    </row>
    <row r="46" spans="1:33">
      <c r="A46" t="s">
        <v>38</v>
      </c>
      <c r="M46" s="13">
        <v>0</v>
      </c>
      <c r="N46" s="25" t="s">
        <v>137</v>
      </c>
      <c r="O46" s="48" t="e">
        <f t="shared" si="2"/>
        <v>#DIV/0!</v>
      </c>
      <c r="P46" s="48" t="e">
        <f t="shared" si="2"/>
        <v>#DIV/0!</v>
      </c>
      <c r="Q46" s="48" t="e">
        <f t="shared" si="2"/>
        <v>#DIV/0!</v>
      </c>
      <c r="R46" s="48" t="e">
        <f t="shared" si="2"/>
        <v>#DIV/0!</v>
      </c>
      <c r="S46" s="15" t="e">
        <f t="shared" si="2"/>
        <v>#DIV/0!</v>
      </c>
      <c r="T46" s="15" t="e">
        <f t="shared" si="2"/>
        <v>#DIV/0!</v>
      </c>
      <c r="U46" s="1"/>
      <c r="V46" s="1"/>
      <c r="W46" s="25" t="s">
        <v>137</v>
      </c>
      <c r="X46" s="45"/>
      <c r="Y46" s="13"/>
      <c r="Z46" s="13"/>
      <c r="AA46" s="13"/>
      <c r="AB46" s="13"/>
      <c r="AC46" s="13"/>
      <c r="AD46" s="13"/>
      <c r="AE46" s="13"/>
      <c r="AF46" s="13"/>
      <c r="AG46" s="13"/>
    </row>
    <row r="47" spans="1:33" ht="17.25" thickBot="1">
      <c r="M47" s="49">
        <f>SUM(M41:M46)</f>
        <v>0.99999998327323614</v>
      </c>
      <c r="O47" s="42" t="e">
        <f t="shared" ref="O47:T47" si="3">O39*SUMPRODUCT($M$41:$M$46,O41:O46)</f>
        <v>#DIV/0!</v>
      </c>
      <c r="P47" s="42" t="e">
        <f t="shared" si="3"/>
        <v>#DIV/0!</v>
      </c>
      <c r="Q47" s="42" t="e">
        <f t="shared" si="3"/>
        <v>#DIV/0!</v>
      </c>
      <c r="R47" s="42" t="e">
        <f t="shared" si="3"/>
        <v>#DIV/0!</v>
      </c>
      <c r="S47" s="42" t="e">
        <f t="shared" si="3"/>
        <v>#DIV/0!</v>
      </c>
      <c r="T47" s="42" t="e">
        <f t="shared" si="3"/>
        <v>#DIV/0!</v>
      </c>
      <c r="U47" s="1"/>
      <c r="V47" s="1"/>
      <c r="W47" s="46" t="s">
        <v>86</v>
      </c>
      <c r="X47" s="46">
        <v>0</v>
      </c>
      <c r="Y47" s="15">
        <f>Y39*$AC$40</f>
        <v>0</v>
      </c>
      <c r="Z47" s="15">
        <f>Z39*$AC$40</f>
        <v>0</v>
      </c>
      <c r="AA47" s="15">
        <f>AA39*$AC$40</f>
        <v>0</v>
      </c>
      <c r="AB47" s="15">
        <f t="shared" ref="AB47:AG47" si="4">AB39*$AC$40</f>
        <v>0</v>
      </c>
      <c r="AC47" s="15">
        <f>AC39*$AC$40</f>
        <v>0</v>
      </c>
      <c r="AD47" s="15">
        <f t="shared" si="4"/>
        <v>0</v>
      </c>
      <c r="AE47" s="15">
        <f t="shared" si="4"/>
        <v>0</v>
      </c>
      <c r="AF47" s="15">
        <f t="shared" si="4"/>
        <v>0</v>
      </c>
      <c r="AG47" s="15">
        <f t="shared" si="4"/>
        <v>0</v>
      </c>
    </row>
    <row r="48" spans="1:33">
      <c r="A48" s="29" t="s">
        <v>39</v>
      </c>
      <c r="B48" s="29"/>
      <c r="M48" s="42">
        <f>SUMPRODUCT(M41:M46,O22:O27)</f>
        <v>0.23486775297198573</v>
      </c>
      <c r="N48" s="40" t="s">
        <v>139</v>
      </c>
      <c r="O48" s="1"/>
      <c r="P48" s="1"/>
      <c r="Q48" s="1"/>
      <c r="R48" s="1"/>
      <c r="S48" s="1"/>
      <c r="T48" s="1"/>
      <c r="U48" s="1"/>
      <c r="V48" s="1"/>
      <c r="W48" s="40" t="s">
        <v>87</v>
      </c>
      <c r="X48" s="47"/>
      <c r="Y48" s="1"/>
      <c r="Z48" s="1"/>
      <c r="AA48" s="1"/>
      <c r="AB48" s="1"/>
      <c r="AC48" s="1"/>
      <c r="AD48" s="1"/>
      <c r="AE48" s="1"/>
      <c r="AF48" s="1"/>
      <c r="AG48" s="1"/>
    </row>
    <row r="49" spans="1:33">
      <c r="A49" t="s">
        <v>40</v>
      </c>
      <c r="B49">
        <v>0.35489221073179011</v>
      </c>
      <c r="M49" s="42" t="e">
        <f>SUM(O47:T47)^0.5</f>
        <v>#DIV/0!</v>
      </c>
      <c r="N49" s="40" t="s">
        <v>67</v>
      </c>
      <c r="O49" s="1"/>
      <c r="P49" s="1"/>
      <c r="R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</row>
    <row r="50" spans="1:33">
      <c r="A50" t="s">
        <v>41</v>
      </c>
      <c r="B50">
        <v>0.12594848123809732</v>
      </c>
      <c r="M50" s="42" t="e">
        <f>M48/M49</f>
        <v>#DIV/0!</v>
      </c>
      <c r="N50" s="39" t="s">
        <v>82</v>
      </c>
      <c r="W50" s="1"/>
      <c r="X50" s="1"/>
      <c r="Y50" s="1"/>
      <c r="Z50" s="1" t="s">
        <v>88</v>
      </c>
      <c r="AA50" s="1"/>
      <c r="AB50" s="1"/>
      <c r="AC50" s="1"/>
      <c r="AD50" s="1"/>
      <c r="AE50" s="1"/>
      <c r="AF50" s="1"/>
      <c r="AG50" s="1"/>
    </row>
    <row r="51" spans="1:33">
      <c r="A51" t="s">
        <v>42</v>
      </c>
      <c r="B51">
        <v>0.11927633223991486</v>
      </c>
    </row>
    <row r="52" spans="1:33">
      <c r="A52" t="s">
        <v>43</v>
      </c>
      <c r="B52" s="33">
        <v>8.6574361036601516E-2</v>
      </c>
      <c r="N52" s="34"/>
      <c r="O52" s="34"/>
      <c r="P52" s="34"/>
      <c r="Q52" s="34"/>
      <c r="R52" s="34"/>
      <c r="S52" s="34"/>
      <c r="T52" s="34"/>
      <c r="U52" s="34"/>
    </row>
    <row r="53" spans="1:33" ht="17.25" thickBot="1">
      <c r="A53" s="24" t="s">
        <v>44</v>
      </c>
      <c r="B53" s="24">
        <v>133</v>
      </c>
      <c r="L53" s="26" t="s">
        <v>105</v>
      </c>
      <c r="M53" s="50" t="s">
        <v>91</v>
      </c>
      <c r="N53" s="50"/>
      <c r="O53" s="50"/>
      <c r="P53" s="50"/>
      <c r="Q53" s="50"/>
      <c r="R53" s="51"/>
      <c r="S53" s="50"/>
      <c r="T53" s="34"/>
      <c r="U53" s="34"/>
    </row>
    <row r="54" spans="1:33" ht="17.25" thickBot="1">
      <c r="M54" s="50"/>
      <c r="N54" s="50"/>
      <c r="O54" s="50"/>
      <c r="P54" s="50"/>
      <c r="Q54" s="50"/>
      <c r="R54" s="50"/>
      <c r="S54" s="50"/>
      <c r="T54" s="34"/>
      <c r="U54" s="34"/>
    </row>
    <row r="55" spans="1:33" ht="17.25" thickBot="1">
      <c r="A55" t="s">
        <v>45</v>
      </c>
      <c r="M55" s="50"/>
      <c r="N55" s="25" t="s">
        <v>137</v>
      </c>
      <c r="O55" s="53" t="s">
        <v>93</v>
      </c>
      <c r="P55" s="52"/>
      <c r="Q55" s="25" t="s">
        <v>133</v>
      </c>
      <c r="R55" s="25" t="s">
        <v>131</v>
      </c>
      <c r="S55" s="25" t="s">
        <v>134</v>
      </c>
      <c r="T55" s="25" t="s">
        <v>135</v>
      </c>
      <c r="U55" s="25" t="s">
        <v>136</v>
      </c>
    </row>
    <row r="56" spans="1:33">
      <c r="A56" s="28"/>
      <c r="B56" s="28" t="s">
        <v>50</v>
      </c>
      <c r="C56" s="28" t="s">
        <v>51</v>
      </c>
      <c r="D56" s="28" t="s">
        <v>52</v>
      </c>
      <c r="E56" s="28" t="s">
        <v>53</v>
      </c>
      <c r="F56" s="28" t="s">
        <v>54</v>
      </c>
      <c r="M56" s="50"/>
      <c r="N56" s="52"/>
      <c r="O56" s="36"/>
      <c r="Q56" s="54">
        <f>R4*R4</f>
        <v>0.15805005130346703</v>
      </c>
      <c r="R56" s="55">
        <f>R5*R5</f>
        <v>0.54506472025261743</v>
      </c>
      <c r="S56" s="56">
        <f>R6*R6</f>
        <v>0.38974623942258291</v>
      </c>
      <c r="T56" s="54">
        <f>R7*R7</f>
        <v>0.17664089846466499</v>
      </c>
      <c r="U56" s="55">
        <f>R8*R8</f>
        <v>0.21099406362399351</v>
      </c>
    </row>
    <row r="57" spans="1:33">
      <c r="A57" t="s">
        <v>46</v>
      </c>
      <c r="B57">
        <v>1</v>
      </c>
      <c r="C57">
        <v>0.14148349797881998</v>
      </c>
      <c r="D57">
        <v>0.14148349797881998</v>
      </c>
      <c r="E57">
        <v>18.876748896406017</v>
      </c>
      <c r="F57">
        <v>2.771753272182735E-5</v>
      </c>
      <c r="M57" s="50"/>
      <c r="N57" s="57"/>
      <c r="O57" s="58">
        <f>SUM(Q57:U57)</f>
        <v>3.4947192440511454</v>
      </c>
      <c r="P57" s="57"/>
      <c r="Q57" s="59">
        <f>N31/Q56</f>
        <v>1.1348522527804477</v>
      </c>
      <c r="R57" s="59">
        <f>O31/R56</f>
        <v>0.3095806497811685</v>
      </c>
      <c r="S57" s="59">
        <f>P31/S56</f>
        <v>0.64659988874344654</v>
      </c>
      <c r="T57" s="59">
        <f t="shared" ref="T57" si="5">Q31/T56</f>
        <v>0.80443391208986026</v>
      </c>
      <c r="U57" s="59">
        <f>R31/U56</f>
        <v>0.59925254065622258</v>
      </c>
    </row>
    <row r="58" spans="1:33">
      <c r="A58" t="s">
        <v>47</v>
      </c>
      <c r="B58">
        <v>131</v>
      </c>
      <c r="C58">
        <v>0.98186071854535339</v>
      </c>
      <c r="D58">
        <v>7.4951199888958278E-3</v>
      </c>
      <c r="M58" s="50"/>
      <c r="N58" s="57"/>
      <c r="O58" s="58">
        <f>SUM(Q58:U58)</f>
        <v>1</v>
      </c>
      <c r="Q58" s="59">
        <f>Q57/$O$57</f>
        <v>0.32473345454352015</v>
      </c>
      <c r="R58" s="59">
        <f t="shared" ref="R58:U58" si="6">R57/$O$57</f>
        <v>8.8585270564480789E-2</v>
      </c>
      <c r="S58" s="59">
        <f t="shared" si="6"/>
        <v>0.18502198419633148</v>
      </c>
      <c r="T58" s="59">
        <f t="shared" si="6"/>
        <v>0.23018556167543378</v>
      </c>
      <c r="U58" s="59">
        <f t="shared" si="6"/>
        <v>0.17147372902023383</v>
      </c>
    </row>
    <row r="59" spans="1:33" ht="17.25" thickBot="1">
      <c r="A59" s="24" t="s">
        <v>48</v>
      </c>
      <c r="B59" s="24">
        <v>132</v>
      </c>
      <c r="C59" s="24">
        <v>1.1233442165241734</v>
      </c>
      <c r="D59" s="24"/>
      <c r="E59" s="24"/>
      <c r="F59" s="24"/>
      <c r="M59" s="50"/>
      <c r="N59" s="60"/>
      <c r="O59" s="61"/>
      <c r="Q59" s="62">
        <f>Q58*Q58</f>
        <v>0.10545181649976847</v>
      </c>
      <c r="R59" s="62">
        <f t="shared" ref="R59:U59" si="7">R58*R58</f>
        <v>7.8473501609822669E-3</v>
      </c>
      <c r="S59" s="62">
        <f t="shared" si="7"/>
        <v>3.4233134635947536E-2</v>
      </c>
      <c r="T59" s="62">
        <f t="shared" si="7"/>
        <v>5.2985392803834928E-2</v>
      </c>
      <c r="U59" s="62">
        <f t="shared" si="7"/>
        <v>2.9403239744104581E-2</v>
      </c>
    </row>
    <row r="60" spans="1:33" ht="17.25" thickBot="1">
      <c r="M60" s="63" t="s">
        <v>94</v>
      </c>
      <c r="N60" s="36"/>
      <c r="O60" s="64">
        <f>SUMPRODUCT(Q58:U58,$N$31:$R$31)</f>
        <v>0.17421004415325106</v>
      </c>
      <c r="P60" s="50"/>
      <c r="Q60" s="52"/>
      <c r="R60" s="65"/>
      <c r="S60" s="65"/>
    </row>
    <row r="61" spans="1:33" ht="17.25" thickBot="1">
      <c r="A61" s="28"/>
      <c r="B61" s="28" t="s">
        <v>55</v>
      </c>
      <c r="C61" s="28" t="s">
        <v>43</v>
      </c>
      <c r="D61" s="28" t="s">
        <v>56</v>
      </c>
      <c r="E61" s="28" t="s">
        <v>57</v>
      </c>
      <c r="F61" s="28" t="s">
        <v>58</v>
      </c>
      <c r="G61" s="28" t="s">
        <v>59</v>
      </c>
      <c r="H61" s="28" t="s">
        <v>60</v>
      </c>
      <c r="I61" s="28" t="s">
        <v>61</v>
      </c>
      <c r="M61" s="66" t="s">
        <v>95</v>
      </c>
      <c r="N61" s="67"/>
      <c r="O61" s="58">
        <f>SUMPRODUCT(Q59:U59,Q56:U56)</f>
        <v>4.9849510643751586E-2</v>
      </c>
      <c r="P61" s="50"/>
      <c r="Q61" s="57"/>
      <c r="R61" s="50"/>
      <c r="S61" s="50"/>
    </row>
    <row r="62" spans="1:33">
      <c r="A62" t="s">
        <v>49</v>
      </c>
      <c r="B62">
        <v>2.0243547734925274E-2</v>
      </c>
      <c r="C62">
        <v>7.5497636888266911E-3</v>
      </c>
      <c r="D62">
        <v>2.6813485255021701</v>
      </c>
      <c r="E62">
        <v>8.2761315100783415E-3</v>
      </c>
      <c r="F62">
        <v>5.3083142436061697E-3</v>
      </c>
      <c r="G62">
        <v>3.5178781226244377E-2</v>
      </c>
      <c r="H62">
        <v>5.3083142436061697E-3</v>
      </c>
      <c r="I62">
        <v>3.5178781226244377E-2</v>
      </c>
      <c r="M62" s="57" t="s">
        <v>96</v>
      </c>
      <c r="N62" s="67"/>
      <c r="O62" s="59" t="e">
        <f>(O60/O61)/($S$32/$T$19)</f>
        <v>#DIV/0!</v>
      </c>
      <c r="P62" s="68" t="s">
        <v>97</v>
      </c>
      <c r="Q62" s="50"/>
      <c r="R62" s="50"/>
      <c r="S62" s="50"/>
    </row>
    <row r="63" spans="1:33" ht="17.25" thickBot="1">
      <c r="A63" s="24" t="s">
        <v>62</v>
      </c>
      <c r="B63" s="32">
        <v>1.2184656565905647</v>
      </c>
      <c r="C63" s="24">
        <v>0.28044628628366142</v>
      </c>
      <c r="D63" s="24">
        <v>4.3447380699423137</v>
      </c>
      <c r="E63" s="24">
        <v>2.7717532721826625E-5</v>
      </c>
      <c r="F63" s="24">
        <v>0.66367600488018841</v>
      </c>
      <c r="G63" s="24">
        <v>1.773255308300941</v>
      </c>
      <c r="H63" s="24">
        <v>0.66367600488018841</v>
      </c>
      <c r="I63" s="24">
        <v>1.773255308300941</v>
      </c>
      <c r="M63" s="57" t="s">
        <v>98</v>
      </c>
      <c r="N63" s="69" t="e">
        <f>1-O63</f>
        <v>#DIV/0!</v>
      </c>
      <c r="O63" s="70" t="e">
        <f>O62/(1+(1-O64)*O62)</f>
        <v>#DIV/0!</v>
      </c>
      <c r="P63" s="71" t="s">
        <v>99</v>
      </c>
      <c r="Q63" s="72" t="e">
        <f>$O$63*Q58</f>
        <v>#DIV/0!</v>
      </c>
      <c r="R63" s="72" t="e">
        <f t="shared" ref="R63:U63" si="8">$O$63*R58</f>
        <v>#DIV/0!</v>
      </c>
      <c r="S63" s="72" t="e">
        <f t="shared" si="8"/>
        <v>#DIV/0!</v>
      </c>
      <c r="T63" s="72" t="e">
        <f t="shared" si="8"/>
        <v>#DIV/0!</v>
      </c>
      <c r="U63" s="72" t="e">
        <f t="shared" si="8"/>
        <v>#DIV/0!</v>
      </c>
    </row>
    <row r="64" spans="1:33">
      <c r="M64" s="57" t="s">
        <v>100</v>
      </c>
      <c r="N64" s="73">
        <v>1</v>
      </c>
      <c r="O64" s="74">
        <f>SUMPRODUCT(Q58:U58,O13:S13)</f>
        <v>0.89259202808760418</v>
      </c>
      <c r="P64" s="75" t="e">
        <f>N63*N64+O63*O64</f>
        <v>#DIV/0!</v>
      </c>
      <c r="Q64" s="50"/>
      <c r="R64" s="50"/>
      <c r="S64" s="50"/>
    </row>
    <row r="65" spans="1:21">
      <c r="M65" s="57" t="s">
        <v>80</v>
      </c>
      <c r="N65" s="82">
        <f>$S$32</f>
        <v>6.7699999999999996E-2</v>
      </c>
      <c r="O65" s="59">
        <f>O64*N65+O60</f>
        <v>0.23463852445478187</v>
      </c>
      <c r="P65" s="76" t="e">
        <f>N63*N65+O63*O65</f>
        <v>#DIV/0!</v>
      </c>
      <c r="Q65" s="50"/>
      <c r="R65" s="50"/>
      <c r="S65" s="50"/>
    </row>
    <row r="66" spans="1:21" ht="17.25" thickBot="1">
      <c r="M66" s="57" t="s">
        <v>67</v>
      </c>
      <c r="N66" s="77" t="e">
        <f>$N$9</f>
        <v>#DIV/0!</v>
      </c>
      <c r="O66" s="59" t="e">
        <f>((O64*N66)^2+O61)^0.5</f>
        <v>#DIV/0!</v>
      </c>
      <c r="P66" s="76" t="e">
        <f>((P64^2*$T$19+O63^2*O61))^0.5</f>
        <v>#DIV/0!</v>
      </c>
      <c r="Q66" s="50"/>
      <c r="R66" s="50"/>
      <c r="S66" s="50"/>
    </row>
    <row r="67" spans="1:21">
      <c r="A67" s="31" t="s">
        <v>135</v>
      </c>
      <c r="M67" s="57" t="s">
        <v>101</v>
      </c>
      <c r="N67" s="77" t="e">
        <f>N65/N66</f>
        <v>#DIV/0!</v>
      </c>
      <c r="O67" s="59" t="e">
        <f>O65/O66</f>
        <v>#DIV/0!</v>
      </c>
      <c r="P67" s="76" t="e">
        <f>P65/P66</f>
        <v>#DIV/0!</v>
      </c>
      <c r="Q67" s="50"/>
      <c r="R67" s="50"/>
      <c r="S67" s="50"/>
    </row>
    <row r="68" spans="1:21">
      <c r="A68" t="s">
        <v>38</v>
      </c>
      <c r="M68" s="57" t="s">
        <v>102</v>
      </c>
      <c r="N68" s="78">
        <v>0</v>
      </c>
      <c r="O68" s="59" t="e">
        <f>N66*(O67-N67)</f>
        <v>#DIV/0!</v>
      </c>
      <c r="P68" s="76" t="e">
        <f>N66*(P67-N67)</f>
        <v>#DIV/0!</v>
      </c>
      <c r="Q68" s="50"/>
      <c r="R68" s="50"/>
      <c r="S68" s="50"/>
    </row>
    <row r="69" spans="1:21" ht="17.25" thickBot="1">
      <c r="M69" s="60" t="s">
        <v>103</v>
      </c>
      <c r="N69" s="79"/>
      <c r="O69" s="80"/>
      <c r="P69" s="81" t="e">
        <f>O63*((1-O64)^2*N66^2+O61)^0.5</f>
        <v>#DIV/0!</v>
      </c>
      <c r="Q69" s="50"/>
      <c r="R69" s="50"/>
      <c r="S69" s="50"/>
    </row>
    <row r="70" spans="1:21">
      <c r="A70" s="29" t="s">
        <v>39</v>
      </c>
      <c r="B70" s="29"/>
    </row>
    <row r="71" spans="1:21">
      <c r="A71" t="s">
        <v>40</v>
      </c>
      <c r="B71">
        <v>0.49973696357662828</v>
      </c>
    </row>
    <row r="72" spans="1:21">
      <c r="A72" t="s">
        <v>41</v>
      </c>
      <c r="B72">
        <v>0.24973703276478831</v>
      </c>
    </row>
    <row r="73" spans="1:21">
      <c r="A73" t="s">
        <v>42</v>
      </c>
      <c r="B73">
        <v>0.24400983454161876</v>
      </c>
    </row>
    <row r="74" spans="1:21">
      <c r="A74" t="s">
        <v>43</v>
      </c>
      <c r="B74" s="33">
        <v>5.8283276804669382E-2</v>
      </c>
    </row>
    <row r="75" spans="1:21" ht="17.25" thickBot="1">
      <c r="A75" s="24" t="s">
        <v>44</v>
      </c>
      <c r="B75" s="24">
        <v>133</v>
      </c>
    </row>
    <row r="76" spans="1:21">
      <c r="L76" s="26"/>
      <c r="M76" s="50"/>
      <c r="N76" s="50"/>
      <c r="O76" s="50"/>
      <c r="P76" s="50"/>
      <c r="Q76" s="50"/>
      <c r="R76" s="51"/>
      <c r="S76" s="50"/>
      <c r="T76" s="34"/>
      <c r="U76" s="34"/>
    </row>
    <row r="77" spans="1:21" ht="17.25" thickBot="1">
      <c r="A77" t="s">
        <v>45</v>
      </c>
    </row>
    <row r="78" spans="1:21">
      <c r="A78" s="28"/>
      <c r="B78" s="28" t="s">
        <v>50</v>
      </c>
      <c r="C78" s="28" t="s">
        <v>51</v>
      </c>
      <c r="D78" s="28" t="s">
        <v>52</v>
      </c>
      <c r="E78" s="28" t="s">
        <v>53</v>
      </c>
      <c r="F78" s="28" t="s">
        <v>54</v>
      </c>
    </row>
    <row r="79" spans="1:21">
      <c r="A79" t="s">
        <v>46</v>
      </c>
      <c r="B79">
        <v>1</v>
      </c>
      <c r="C79">
        <v>0.14812509916752636</v>
      </c>
      <c r="D79">
        <v>0.14812509916752636</v>
      </c>
      <c r="E79">
        <v>43.605445984821955</v>
      </c>
      <c r="F79">
        <v>9.1390749472044212E-10</v>
      </c>
    </row>
    <row r="80" spans="1:21">
      <c r="A80" t="s">
        <v>47</v>
      </c>
      <c r="B80">
        <v>131</v>
      </c>
      <c r="C80">
        <v>0.4449991865167523</v>
      </c>
      <c r="D80">
        <v>3.3969403550897122E-3</v>
      </c>
    </row>
    <row r="81" spans="1:9" ht="17.25" thickBot="1">
      <c r="A81" s="24" t="s">
        <v>48</v>
      </c>
      <c r="B81" s="24">
        <v>132</v>
      </c>
      <c r="C81" s="24">
        <v>0.59312428568427866</v>
      </c>
      <c r="D81" s="24"/>
      <c r="E81" s="24"/>
      <c r="F81" s="24"/>
    </row>
    <row r="82" spans="1:9" ht="17.25" thickBot="1"/>
    <row r="83" spans="1:9">
      <c r="A83" s="28"/>
      <c r="B83" s="28" t="s">
        <v>55</v>
      </c>
      <c r="C83" s="28" t="s">
        <v>43</v>
      </c>
      <c r="D83" s="28" t="s">
        <v>56</v>
      </c>
      <c r="E83" s="28" t="s">
        <v>57</v>
      </c>
      <c r="F83" s="28" t="s">
        <v>58</v>
      </c>
      <c r="G83" s="28" t="s">
        <v>59</v>
      </c>
      <c r="H83" s="28" t="s">
        <v>60</v>
      </c>
      <c r="I83" s="28" t="s">
        <v>61</v>
      </c>
    </row>
    <row r="84" spans="1:9">
      <c r="A84" t="s">
        <v>49</v>
      </c>
      <c r="B84">
        <v>1.5483241397286563E-2</v>
      </c>
      <c r="C84">
        <v>5.0826244816256404E-3</v>
      </c>
      <c r="D84">
        <v>3.0463083498024552</v>
      </c>
      <c r="E84">
        <v>2.8020499214775358E-3</v>
      </c>
      <c r="F84">
        <v>5.4285977672988723E-3</v>
      </c>
      <c r="G84">
        <v>2.5537885027274256E-2</v>
      </c>
      <c r="H84">
        <v>5.4285977672988723E-3</v>
      </c>
      <c r="I84">
        <v>2.5537885027274256E-2</v>
      </c>
    </row>
    <row r="85" spans="1:9" ht="17.25" thickBot="1">
      <c r="A85" s="24" t="s">
        <v>62</v>
      </c>
      <c r="B85" s="32">
        <v>1.2467366471639847</v>
      </c>
      <c r="C85" s="24">
        <v>0.18880102996546272</v>
      </c>
      <c r="D85" s="24">
        <v>6.6034419801208166</v>
      </c>
      <c r="E85" s="24">
        <v>9.1390749472045598E-10</v>
      </c>
      <c r="F85" s="24">
        <v>0.87324317343991587</v>
      </c>
      <c r="G85" s="24">
        <v>1.6202301208880536</v>
      </c>
      <c r="H85" s="24">
        <v>0.87324317343991587</v>
      </c>
      <c r="I85" s="24">
        <v>1.6202301208880536</v>
      </c>
    </row>
    <row r="88" spans="1:9" ht="17.25" thickBot="1"/>
    <row r="89" spans="1:9">
      <c r="A89" s="31" t="s">
        <v>136</v>
      </c>
    </row>
    <row r="90" spans="1:9">
      <c r="A90" t="s">
        <v>38</v>
      </c>
    </row>
    <row r="91" spans="1:9" ht="17.25" thickBot="1"/>
    <row r="92" spans="1:9">
      <c r="A92" s="29" t="s">
        <v>39</v>
      </c>
      <c r="B92" s="29"/>
    </row>
    <row r="93" spans="1:9">
      <c r="A93" t="s">
        <v>40</v>
      </c>
      <c r="B93">
        <v>0.3577860348534922</v>
      </c>
    </row>
    <row r="94" spans="1:9">
      <c r="A94" t="s">
        <v>41</v>
      </c>
      <c r="B94">
        <v>0.12801084673618435</v>
      </c>
    </row>
    <row r="95" spans="1:9">
      <c r="A95" t="s">
        <v>42</v>
      </c>
      <c r="B95">
        <v>0.12135444098607888</v>
      </c>
    </row>
    <row r="96" spans="1:9">
      <c r="A96" t="s">
        <v>43</v>
      </c>
      <c r="B96" s="33">
        <v>6.3699122023896534E-2</v>
      </c>
    </row>
    <row r="97" spans="1:9" ht="17.25" thickBot="1">
      <c r="A97" s="24" t="s">
        <v>44</v>
      </c>
      <c r="B97" s="24">
        <v>133</v>
      </c>
    </row>
    <row r="99" spans="1:9" ht="17.25" thickBot="1">
      <c r="A99" t="s">
        <v>45</v>
      </c>
    </row>
    <row r="100" spans="1:9">
      <c r="A100" s="28"/>
      <c r="B100" s="28" t="s">
        <v>50</v>
      </c>
      <c r="C100" s="28" t="s">
        <v>51</v>
      </c>
      <c r="D100" s="28" t="s">
        <v>52</v>
      </c>
      <c r="E100" s="28" t="s">
        <v>53</v>
      </c>
      <c r="F100" s="28" t="s">
        <v>54</v>
      </c>
    </row>
    <row r="101" spans="1:9">
      <c r="A101" t="s">
        <v>46</v>
      </c>
      <c r="B101">
        <v>1</v>
      </c>
      <c r="C101">
        <v>7.8032204427776586E-2</v>
      </c>
      <c r="D101">
        <v>7.8032204427776586E-2</v>
      </c>
      <c r="E101">
        <v>19.23122651201907</v>
      </c>
      <c r="F101">
        <v>2.3570393976719961E-5</v>
      </c>
    </row>
    <row r="102" spans="1:9">
      <c r="A102" t="s">
        <v>47</v>
      </c>
      <c r="B102">
        <v>131</v>
      </c>
      <c r="C102">
        <v>0.53154273720659906</v>
      </c>
      <c r="D102">
        <v>4.0575781466152599E-3</v>
      </c>
    </row>
    <row r="103" spans="1:9" ht="17.25" thickBot="1">
      <c r="A103" s="24" t="s">
        <v>48</v>
      </c>
      <c r="B103" s="24">
        <v>132</v>
      </c>
      <c r="C103" s="24">
        <v>0.60957494163437564</v>
      </c>
      <c r="D103" s="24"/>
      <c r="E103" s="24"/>
      <c r="F103" s="24"/>
    </row>
    <row r="104" spans="1:9" ht="17.25" thickBot="1"/>
    <row r="105" spans="1:9">
      <c r="A105" s="28"/>
      <c r="B105" s="28" t="s">
        <v>55</v>
      </c>
      <c r="C105" s="28" t="s">
        <v>43</v>
      </c>
      <c r="D105" s="28" t="s">
        <v>56</v>
      </c>
      <c r="E105" s="28" t="s">
        <v>57</v>
      </c>
      <c r="F105" s="28" t="s">
        <v>58</v>
      </c>
      <c r="G105" s="28" t="s">
        <v>59</v>
      </c>
      <c r="H105" s="28" t="s">
        <v>60</v>
      </c>
      <c r="I105" s="28" t="s">
        <v>61</v>
      </c>
    </row>
    <row r="106" spans="1:9">
      <c r="A106" t="s">
        <v>49</v>
      </c>
      <c r="B106">
        <v>7.1273368385543125E-3</v>
      </c>
      <c r="C106">
        <v>5.5549161750421266E-3</v>
      </c>
      <c r="D106">
        <v>1.283068297335785</v>
      </c>
      <c r="E106">
        <v>0.20173347319085047</v>
      </c>
      <c r="F106">
        <v>-3.8616124211082528E-3</v>
      </c>
      <c r="G106">
        <v>1.8116286098216878E-2</v>
      </c>
      <c r="H106">
        <v>-3.8616124211082528E-3</v>
      </c>
      <c r="I106">
        <v>1.8116286098216878E-2</v>
      </c>
    </row>
    <row r="107" spans="1:9" ht="17.25" thickBot="1">
      <c r="A107" s="24" t="s">
        <v>62</v>
      </c>
      <c r="B107" s="32">
        <v>0.90489322466678301</v>
      </c>
      <c r="C107" s="24">
        <v>0.20634495013574553</v>
      </c>
      <c r="D107" s="24">
        <v>4.3853422343095501</v>
      </c>
      <c r="E107" s="24">
        <v>2.3570393976719785E-5</v>
      </c>
      <c r="F107" s="24">
        <v>0.49669369193267948</v>
      </c>
      <c r="G107" s="24">
        <v>1.3130927574008866</v>
      </c>
      <c r="H107" s="24">
        <v>0.49669369193267948</v>
      </c>
      <c r="I107" s="24">
        <v>1.3130927574008866</v>
      </c>
    </row>
  </sheetData>
  <mergeCells count="1">
    <mergeCell ref="W35:X35"/>
  </mergeCells>
  <phoneticPr fontId="17" type="noConversion"/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DSMT4" shapeId="3085" r:id="rId3">
          <objectPr defaultSize="0" autoPict="0" r:id="rId4">
            <anchor moveWithCells="1" sizeWithCells="1">
              <from>
                <xdr:col>15</xdr:col>
                <xdr:colOff>0</xdr:colOff>
                <xdr:row>54</xdr:row>
                <xdr:rowOff>180975</xdr:rowOff>
              </from>
              <to>
                <xdr:col>15</xdr:col>
                <xdr:colOff>447675</xdr:colOff>
                <xdr:row>56</xdr:row>
                <xdr:rowOff>19050</xdr:rowOff>
              </to>
            </anchor>
          </objectPr>
        </oleObject>
      </mc:Choice>
      <mc:Fallback>
        <oleObject progId="Equation.DSMT4" shapeId="3085" r:id="rId3"/>
      </mc:Fallback>
    </mc:AlternateContent>
    <mc:AlternateContent xmlns:mc="http://schemas.openxmlformats.org/markup-compatibility/2006">
      <mc:Choice Requires="x14">
        <oleObject progId="Equation.DSMT4" shapeId="3086" r:id="rId5">
          <objectPr defaultSize="0" autoPict="0" r:id="rId6">
            <anchor moveWithCells="1" sizeWithCells="1">
              <from>
                <xdr:col>15</xdr:col>
                <xdr:colOff>0</xdr:colOff>
                <xdr:row>56</xdr:row>
                <xdr:rowOff>0</xdr:rowOff>
              </from>
              <to>
                <xdr:col>15</xdr:col>
                <xdr:colOff>619125</xdr:colOff>
                <xdr:row>57</xdr:row>
                <xdr:rowOff>28575</xdr:rowOff>
              </to>
            </anchor>
          </objectPr>
        </oleObject>
      </mc:Choice>
      <mc:Fallback>
        <oleObject progId="Equation.DSMT4" shapeId="3086" r:id="rId5"/>
      </mc:Fallback>
    </mc:AlternateContent>
    <mc:AlternateContent xmlns:mc="http://schemas.openxmlformats.org/markup-compatibility/2006">
      <mc:Choice Requires="x14">
        <oleObject progId="Equation.DSMT4" shapeId="3087" r:id="rId7">
          <objectPr defaultSize="0" autoPict="0" r:id="rId8">
            <anchor moveWithCells="1" sizeWithCells="1">
              <from>
                <xdr:col>15</xdr:col>
                <xdr:colOff>0</xdr:colOff>
                <xdr:row>57</xdr:row>
                <xdr:rowOff>0</xdr:rowOff>
              </from>
              <to>
                <xdr:col>15</xdr:col>
                <xdr:colOff>219075</xdr:colOff>
                <xdr:row>58</xdr:row>
                <xdr:rowOff>38100</xdr:rowOff>
              </to>
            </anchor>
          </objectPr>
        </oleObject>
      </mc:Choice>
      <mc:Fallback>
        <oleObject progId="Equation.DSMT4" shapeId="3087" r:id="rId7"/>
      </mc:Fallback>
    </mc:AlternateContent>
    <mc:AlternateContent xmlns:mc="http://schemas.openxmlformats.org/markup-compatibility/2006">
      <mc:Choice Requires="x14">
        <oleObject progId="Equation.DSMT4" shapeId="3088" r:id="rId9">
          <objectPr defaultSize="0" autoPict="0" r:id="rId10">
            <anchor moveWithCells="1" sizeWithCells="1">
              <from>
                <xdr:col>15</xdr:col>
                <xdr:colOff>0</xdr:colOff>
                <xdr:row>58</xdr:row>
                <xdr:rowOff>0</xdr:rowOff>
              </from>
              <to>
                <xdr:col>15</xdr:col>
                <xdr:colOff>409575</xdr:colOff>
                <xdr:row>59</xdr:row>
                <xdr:rowOff>38100</xdr:rowOff>
              </to>
            </anchor>
          </objectPr>
        </oleObject>
      </mc:Choice>
      <mc:Fallback>
        <oleObject progId="Equation.DSMT4" shapeId="3088" r:id="rId9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702745-AE39-4F4B-83D4-824167BFC97F}">
  <dimension ref="A1:AG107"/>
  <sheetViews>
    <sheetView topLeftCell="A51" workbookViewId="0">
      <selection activeCell="P51" sqref="P51"/>
    </sheetView>
  </sheetViews>
  <sheetFormatPr defaultRowHeight="16.5"/>
  <cols>
    <col min="13" max="13" width="17.125" bestFit="1" customWidth="1"/>
    <col min="14" max="14" width="17.125" customWidth="1"/>
    <col min="15" max="16" width="10.875" bestFit="1" customWidth="1"/>
    <col min="17" max="17" width="14.5" customWidth="1"/>
    <col min="18" max="18" width="14.625" customWidth="1"/>
    <col min="19" max="20" width="10.875" bestFit="1" customWidth="1"/>
    <col min="21" max="21" width="10.875" customWidth="1"/>
    <col min="23" max="23" width="17.125" customWidth="1"/>
  </cols>
  <sheetData>
    <row r="1" spans="1:21">
      <c r="A1" s="31" t="s">
        <v>32</v>
      </c>
    </row>
    <row r="2" spans="1:21">
      <c r="A2" t="s">
        <v>38</v>
      </c>
      <c r="L2" s="26" t="s">
        <v>73</v>
      </c>
      <c r="M2" s="33" t="s">
        <v>70</v>
      </c>
      <c r="P2" s="26" t="s">
        <v>69</v>
      </c>
      <c r="Q2" s="26" t="s">
        <v>69</v>
      </c>
      <c r="R2" s="26" t="s">
        <v>69</v>
      </c>
    </row>
    <row r="3" spans="1:21" ht="17.25" thickBot="1">
      <c r="N3" s="26" t="s">
        <v>68</v>
      </c>
      <c r="O3" s="26" t="s">
        <v>63</v>
      </c>
      <c r="P3" s="26" t="s">
        <v>66</v>
      </c>
      <c r="Q3" s="26" t="s">
        <v>64</v>
      </c>
      <c r="R3" s="26" t="s">
        <v>65</v>
      </c>
    </row>
    <row r="4" spans="1:21" ht="17.25" thickBot="1">
      <c r="A4" s="29" t="s">
        <v>39</v>
      </c>
      <c r="B4" s="29"/>
      <c r="M4" s="25" t="s">
        <v>32</v>
      </c>
      <c r="N4" s="30" t="e">
        <f>(_xlfn.VAR.S('raw data'!J2:J61)*12)^0.5</f>
        <v>#DIV/0!</v>
      </c>
      <c r="O4">
        <f>B19</f>
        <v>0.18677273322136406</v>
      </c>
      <c r="P4" t="e">
        <f>O4*$N$9</f>
        <v>#DIV/0!</v>
      </c>
      <c r="Q4">
        <f>B8</f>
        <v>6.269498925785133E-2</v>
      </c>
      <c r="R4">
        <f>Q4*12^0.5</f>
        <v>0.21718181354916696</v>
      </c>
    </row>
    <row r="5" spans="1:21" ht="17.25" thickBot="1">
      <c r="A5" t="s">
        <v>40</v>
      </c>
      <c r="B5">
        <v>0.17434634730851037</v>
      </c>
      <c r="M5" s="25" t="s">
        <v>33</v>
      </c>
      <c r="N5" s="30" t="e">
        <f>(_xlfn.VAR.S('raw data'!K2:K61)*12)^0.5</f>
        <v>#DIV/0!</v>
      </c>
      <c r="O5">
        <f>B41</f>
        <v>0.49480220586864637</v>
      </c>
      <c r="P5" t="e">
        <f>O5*$N$9</f>
        <v>#DIV/0!</v>
      </c>
      <c r="Q5">
        <f>B30</f>
        <v>8.9317371703463669E-2</v>
      </c>
      <c r="R5">
        <f>Q5*12^0.5</f>
        <v>0.30940445157782764</v>
      </c>
    </row>
    <row r="6" spans="1:21" ht="17.25" thickBot="1">
      <c r="A6" t="s">
        <v>41</v>
      </c>
      <c r="B6">
        <v>3.0396648819819717E-2</v>
      </c>
      <c r="M6" s="25" t="s">
        <v>34</v>
      </c>
      <c r="N6" s="30" t="e">
        <f>(_xlfn.VAR.S('raw data'!L2:L61)*12)^0.5</f>
        <v>#DIV/0!</v>
      </c>
      <c r="O6">
        <f>B63</f>
        <v>0.81503999790231463</v>
      </c>
      <c r="P6" t="e">
        <f>O6*$N$9</f>
        <v>#DIV/0!</v>
      </c>
      <c r="Q6">
        <f>B52</f>
        <v>0.11249397064309177</v>
      </c>
      <c r="R6">
        <f>Q6*12^0.5</f>
        <v>0.38969054539799336</v>
      </c>
    </row>
    <row r="7" spans="1:21" ht="17.25" thickBot="1">
      <c r="A7" t="s">
        <v>42</v>
      </c>
      <c r="B7">
        <v>1.3679349661540744E-2</v>
      </c>
      <c r="M7" s="25" t="s">
        <v>35</v>
      </c>
      <c r="N7" s="30" t="e">
        <f>(_xlfn.VAR.S('raw data'!M2:M61)*12)^0.5</f>
        <v>#DIV/0!</v>
      </c>
      <c r="O7">
        <f>B85</f>
        <v>0.57436738957326805</v>
      </c>
      <c r="P7" t="e">
        <f>O7*$N$9</f>
        <v>#DIV/0!</v>
      </c>
      <c r="Q7">
        <f>B74</f>
        <v>4.8246701782387651E-2</v>
      </c>
      <c r="R7">
        <f>Q7*12^0.5</f>
        <v>0.16713147756943864</v>
      </c>
    </row>
    <row r="8" spans="1:21" ht="17.25" thickBot="1">
      <c r="A8" t="s">
        <v>43</v>
      </c>
      <c r="B8" s="33">
        <v>6.269498925785133E-2</v>
      </c>
      <c r="M8" s="25" t="s">
        <v>36</v>
      </c>
      <c r="N8" s="30" t="e">
        <f>(_xlfn.VAR.S('raw data'!N2:N61)*12)^0.5</f>
        <v>#DIV/0!</v>
      </c>
      <c r="O8">
        <f>B107</f>
        <v>7.119916272379774E-2</v>
      </c>
      <c r="P8" t="e">
        <f>O8*$N$9</f>
        <v>#DIV/0!</v>
      </c>
      <c r="Q8">
        <f>B96</f>
        <v>3.0790665944031931E-2</v>
      </c>
      <c r="R8">
        <f>Q8*12^0.5</f>
        <v>0.10666199562788806</v>
      </c>
    </row>
    <row r="9" spans="1:21" ht="17.25" thickBot="1">
      <c r="A9" s="24" t="s">
        <v>44</v>
      </c>
      <c r="B9" s="24">
        <v>60</v>
      </c>
      <c r="M9" s="25" t="s">
        <v>37</v>
      </c>
      <c r="N9" s="30" t="e">
        <f>(_xlfn.VAR.S('raw data'!O2:O61)*12)^0.5</f>
        <v>#DIV/0!</v>
      </c>
      <c r="O9">
        <v>1</v>
      </c>
      <c r="P9" t="e">
        <f>O9*N9</f>
        <v>#DIV/0!</v>
      </c>
      <c r="Q9">
        <v>0</v>
      </c>
      <c r="R9">
        <v>0</v>
      </c>
    </row>
    <row r="10" spans="1:21">
      <c r="M10" s="30"/>
      <c r="N10" s="30"/>
    </row>
    <row r="11" spans="1:21" ht="17.25" thickBot="1">
      <c r="A11" t="s">
        <v>45</v>
      </c>
      <c r="L11" s="26" t="s">
        <v>74</v>
      </c>
      <c r="M11" s="30" t="s">
        <v>72</v>
      </c>
    </row>
    <row r="12" spans="1:21">
      <c r="A12" s="28"/>
      <c r="B12" s="28" t="s">
        <v>50</v>
      </c>
      <c r="C12" s="28" t="s">
        <v>51</v>
      </c>
      <c r="D12" s="28" t="s">
        <v>52</v>
      </c>
      <c r="E12" s="28" t="s">
        <v>53</v>
      </c>
      <c r="F12" s="28" t="s">
        <v>54</v>
      </c>
      <c r="M12" s="30"/>
      <c r="O12" s="25" t="s">
        <v>32</v>
      </c>
      <c r="P12" s="25" t="s">
        <v>33</v>
      </c>
      <c r="Q12" s="25" t="s">
        <v>34</v>
      </c>
      <c r="R12" s="25" t="s">
        <v>35</v>
      </c>
      <c r="S12" s="25" t="s">
        <v>36</v>
      </c>
      <c r="T12" s="25" t="s">
        <v>37</v>
      </c>
      <c r="U12" s="30"/>
    </row>
    <row r="13" spans="1:21" ht="17.25" thickBot="1">
      <c r="A13" t="s">
        <v>46</v>
      </c>
      <c r="B13">
        <v>1</v>
      </c>
      <c r="C13">
        <v>7.1470242606622714E-3</v>
      </c>
      <c r="D13">
        <v>7.1470242606622714E-3</v>
      </c>
      <c r="E13">
        <v>1.8182751012603773</v>
      </c>
      <c r="F13">
        <v>0.18276095836222991</v>
      </c>
      <c r="N13" s="26" t="s">
        <v>63</v>
      </c>
      <c r="O13" s="34">
        <v>0.18677273322136406</v>
      </c>
      <c r="P13" s="34">
        <v>0.49480220586864637</v>
      </c>
      <c r="Q13" s="34">
        <v>0.81503999790231463</v>
      </c>
      <c r="R13" s="34">
        <v>0.57436738957326805</v>
      </c>
      <c r="S13" s="34">
        <v>7.119916272379774E-2</v>
      </c>
      <c r="T13" s="34">
        <v>1</v>
      </c>
      <c r="U13" s="34"/>
    </row>
    <row r="14" spans="1:21" ht="17.25" thickBot="1">
      <c r="A14" t="s">
        <v>47</v>
      </c>
      <c r="B14">
        <v>58</v>
      </c>
      <c r="C14">
        <v>0.22797837732644138</v>
      </c>
      <c r="D14">
        <v>3.9306616780420932E-3</v>
      </c>
      <c r="M14" s="25" t="s">
        <v>32</v>
      </c>
      <c r="N14" s="34">
        <v>0.18677273322136406</v>
      </c>
      <c r="O14" s="34" t="e">
        <f>O4*O4*N9*N9+R4*R4</f>
        <v>#DIV/0!</v>
      </c>
      <c r="P14" s="34">
        <v>3.8509922403997081E-3</v>
      </c>
      <c r="Q14" s="34">
        <v>6.3433684618019511E-3</v>
      </c>
      <c r="R14" s="34">
        <v>4.4702394899437323E-3</v>
      </c>
      <c r="S14" s="34">
        <v>5.5413540990779042E-4</v>
      </c>
      <c r="T14" s="34">
        <v>7.7828922238516035E-3</v>
      </c>
      <c r="U14" s="34"/>
    </row>
    <row r="15" spans="1:21" ht="17.25" thickBot="1">
      <c r="A15" s="24" t="s">
        <v>48</v>
      </c>
      <c r="B15" s="24">
        <v>59</v>
      </c>
      <c r="C15" s="24">
        <v>0.23512540158710366</v>
      </c>
      <c r="D15" s="24"/>
      <c r="E15" s="24"/>
      <c r="F15" s="24"/>
      <c r="M15" s="25" t="s">
        <v>33</v>
      </c>
      <c r="N15" s="34">
        <v>0.49480220586864637</v>
      </c>
      <c r="O15" s="34" t="e">
        <f>$O$4*O5*$N$9*$N$9</f>
        <v>#DIV/0!</v>
      </c>
      <c r="P15" s="34" t="e">
        <f>O5*O5*N9*N9+R5*R5</f>
        <v>#DIV/0!</v>
      </c>
      <c r="Q15" s="34">
        <v>1.6804983540167975E-2</v>
      </c>
      <c r="R15" s="34">
        <v>1.184265134549246E-2</v>
      </c>
      <c r="S15" s="34">
        <v>1.4680270425091056E-3</v>
      </c>
      <c r="T15" s="34">
        <v>2.0618599802978151E-2</v>
      </c>
      <c r="U15" s="34"/>
    </row>
    <row r="16" spans="1:21" ht="17.25" thickBot="1">
      <c r="M16" s="25" t="s">
        <v>34</v>
      </c>
      <c r="N16" s="34">
        <v>0.81503999790231463</v>
      </c>
      <c r="O16" s="34" t="e">
        <f>$O$4*O6*$N$9*$N$9</f>
        <v>#DIV/0!</v>
      </c>
      <c r="P16" s="34" t="e">
        <f>$O$5*O6*$N$9*$N$9</f>
        <v>#DIV/0!</v>
      </c>
      <c r="Q16" s="34" t="e">
        <f>O6*O6*N9*N9+R6*R6</f>
        <v>#DIV/0!</v>
      </c>
      <c r="R16" s="34">
        <v>1.9507258482898453E-2</v>
      </c>
      <c r="S16" s="34">
        <v>2.4181394978760339E-3</v>
      </c>
      <c r="T16" s="34">
        <v>3.3963032785325024E-2</v>
      </c>
      <c r="U16" s="34"/>
    </row>
    <row r="17" spans="1:21" ht="17.25" thickBot="1">
      <c r="A17" s="28"/>
      <c r="B17" s="28" t="s">
        <v>55</v>
      </c>
      <c r="C17" s="28" t="s">
        <v>43</v>
      </c>
      <c r="D17" s="28" t="s">
        <v>56</v>
      </c>
      <c r="E17" s="28" t="s">
        <v>57</v>
      </c>
      <c r="F17" s="28" t="s">
        <v>58</v>
      </c>
      <c r="G17" s="28" t="s">
        <v>59</v>
      </c>
      <c r="H17" s="28" t="s">
        <v>60</v>
      </c>
      <c r="I17" s="28" t="s">
        <v>61</v>
      </c>
      <c r="M17" s="25" t="s">
        <v>35</v>
      </c>
      <c r="N17" s="34">
        <v>0.57436738957326805</v>
      </c>
      <c r="O17" s="34" t="e">
        <f>$O$4*O7*$N$9*$N$9</f>
        <v>#DIV/0!</v>
      </c>
      <c r="P17" s="34" t="e">
        <f>$O$5*O7*$N$9*$N$9</f>
        <v>#DIV/0!</v>
      </c>
      <c r="Q17" s="34" t="e">
        <f>$O$6*O7*$N$9*$N$9</f>
        <v>#DIV/0!</v>
      </c>
      <c r="R17" s="34" t="e">
        <f>O7*O7*N9*N9+R7*R7</f>
        <v>#DIV/0!</v>
      </c>
      <c r="S17" s="34">
        <v>1.7040887252082262E-3</v>
      </c>
      <c r="T17" s="34">
        <v>2.3934111863349882E-2</v>
      </c>
      <c r="U17" s="34"/>
    </row>
    <row r="18" spans="1:21" ht="17.25" thickBot="1">
      <c r="A18" t="s">
        <v>49</v>
      </c>
      <c r="B18">
        <v>-1.0152993902384031E-2</v>
      </c>
      <c r="C18">
        <v>8.4393334637456081E-3</v>
      </c>
      <c r="D18">
        <v>-1.203056372401933</v>
      </c>
      <c r="E18">
        <v>0.23384241845157477</v>
      </c>
      <c r="F18">
        <v>-2.7046155251295584E-2</v>
      </c>
      <c r="G18">
        <v>6.7401674465275216E-3</v>
      </c>
      <c r="H18">
        <v>-2.7046155251295584E-2</v>
      </c>
      <c r="I18">
        <v>6.7401674465275216E-3</v>
      </c>
      <c r="M18" s="25" t="s">
        <v>36</v>
      </c>
      <c r="N18" s="34">
        <v>7.119916272379774E-2</v>
      </c>
      <c r="O18" s="34" t="e">
        <f>$O$4*O8*$N$9*$N$9</f>
        <v>#DIV/0!</v>
      </c>
      <c r="P18" s="34" t="e">
        <f>$O$5*O8*$N$9*$N$9</f>
        <v>#DIV/0!</v>
      </c>
      <c r="Q18" s="34" t="e">
        <f>$O$6*O8*$N$9*$N$9</f>
        <v>#DIV/0!</v>
      </c>
      <c r="R18" s="34" t="e">
        <f>$O$7*O8*$N$9*$N$9</f>
        <v>#DIV/0!</v>
      </c>
      <c r="S18" s="34" t="e">
        <f>O8*O8*N9*N9+R8*R8</f>
        <v>#DIV/0!</v>
      </c>
      <c r="T18" s="34">
        <v>2.9668967217555578E-3</v>
      </c>
      <c r="U18" s="34"/>
    </row>
    <row r="19" spans="1:21" ht="17.25" thickBot="1">
      <c r="A19" s="24" t="s">
        <v>62</v>
      </c>
      <c r="B19" s="32">
        <v>0.18677273322136406</v>
      </c>
      <c r="C19" s="24">
        <v>0.13851081300363444</v>
      </c>
      <c r="D19" s="24">
        <v>1.3484343147741344</v>
      </c>
      <c r="E19" s="24">
        <v>0.18276095836222742</v>
      </c>
      <c r="F19" s="24">
        <v>-9.0486782911182173E-2</v>
      </c>
      <c r="G19" s="24">
        <v>0.4640322493539103</v>
      </c>
      <c r="H19" s="24">
        <v>-9.0486782911182173E-2</v>
      </c>
      <c r="I19" s="24">
        <v>0.4640322493539103</v>
      </c>
      <c r="M19" s="25" t="s">
        <v>37</v>
      </c>
      <c r="N19" s="34">
        <v>1</v>
      </c>
      <c r="O19" s="34" t="e">
        <f>$O$4*O9*$N$9*$N$9</f>
        <v>#DIV/0!</v>
      </c>
      <c r="P19" s="34" t="e">
        <f>$O$5*O9*$N$9*$N$9</f>
        <v>#DIV/0!</v>
      </c>
      <c r="Q19" s="34" t="e">
        <f>$O$6*O9*$N$9*$N$9</f>
        <v>#DIV/0!</v>
      </c>
      <c r="R19" s="34" t="e">
        <f>$O$7*O9*$N$9*$N$9</f>
        <v>#DIV/0!</v>
      </c>
      <c r="S19" s="34" t="e">
        <f>$O$8*O9*N9*N9</f>
        <v>#DIV/0!</v>
      </c>
      <c r="T19" s="34" t="e">
        <f>O9*O9*N9*N9+R9*R9</f>
        <v>#DIV/0!</v>
      </c>
      <c r="U19" s="34"/>
    </row>
    <row r="20" spans="1:21">
      <c r="N20" s="26" t="s">
        <v>71</v>
      </c>
      <c r="T20" s="26" t="s">
        <v>71</v>
      </c>
      <c r="U20" s="26"/>
    </row>
    <row r="21" spans="1:21" ht="17.25" thickBot="1">
      <c r="L21" s="26" t="s">
        <v>75</v>
      </c>
      <c r="N21" s="26" t="s">
        <v>76</v>
      </c>
      <c r="O21" s="26" t="s">
        <v>78</v>
      </c>
      <c r="Q21" s="33" t="s">
        <v>113</v>
      </c>
      <c r="R21" s="86" t="s">
        <v>114</v>
      </c>
    </row>
    <row r="22" spans="1:21" ht="17.25" thickBot="1">
      <c r="M22" s="25" t="s">
        <v>32</v>
      </c>
      <c r="N22" s="34">
        <v>0.04</v>
      </c>
      <c r="O22" s="35">
        <f t="shared" ref="O22:O27" si="0">N22-$N$28</f>
        <v>2.7000000000000003E-2</v>
      </c>
      <c r="Q22" s="86">
        <f>N22*0.5</f>
        <v>0.02</v>
      </c>
      <c r="R22" s="88">
        <f>Q22-$N$28</f>
        <v>7.000000000000001E-3</v>
      </c>
    </row>
    <row r="23" spans="1:21" ht="17.25" thickBot="1">
      <c r="A23" s="31" t="s">
        <v>33</v>
      </c>
      <c r="M23" s="25" t="s">
        <v>33</v>
      </c>
      <c r="N23" s="34">
        <v>0.12</v>
      </c>
      <c r="O23" s="35">
        <f t="shared" si="0"/>
        <v>0.107</v>
      </c>
      <c r="Q23" s="86">
        <f t="shared" ref="Q23:Q26" si="1">N23*0.5</f>
        <v>0.06</v>
      </c>
      <c r="R23" s="88">
        <f t="shared" ref="R23:R27" si="2">Q23-$N$28</f>
        <v>4.7E-2</v>
      </c>
    </row>
    <row r="24" spans="1:21" ht="17.25" thickBot="1">
      <c r="A24" t="s">
        <v>38</v>
      </c>
      <c r="M24" s="25" t="s">
        <v>34</v>
      </c>
      <c r="N24" s="34">
        <v>7.0000000000000007E-2</v>
      </c>
      <c r="O24" s="35">
        <f t="shared" si="0"/>
        <v>5.7000000000000009E-2</v>
      </c>
      <c r="Q24" s="86">
        <f t="shared" si="1"/>
        <v>3.5000000000000003E-2</v>
      </c>
      <c r="R24" s="88">
        <f t="shared" si="2"/>
        <v>2.2000000000000006E-2</v>
      </c>
    </row>
    <row r="25" spans="1:21" ht="17.25" thickBot="1">
      <c r="M25" s="25" t="s">
        <v>35</v>
      </c>
      <c r="N25" s="34">
        <v>0.09</v>
      </c>
      <c r="O25" s="35">
        <f t="shared" si="0"/>
        <v>7.6999999999999999E-2</v>
      </c>
      <c r="Q25" s="86">
        <f t="shared" si="1"/>
        <v>4.4999999999999998E-2</v>
      </c>
      <c r="R25" s="88">
        <f t="shared" si="2"/>
        <v>3.2000000000000001E-2</v>
      </c>
    </row>
    <row r="26" spans="1:21" ht="17.25" thickBot="1">
      <c r="A26" s="29" t="s">
        <v>39</v>
      </c>
      <c r="B26" s="29"/>
      <c r="M26" s="25" t="s">
        <v>36</v>
      </c>
      <c r="N26" s="34">
        <v>0.18</v>
      </c>
      <c r="O26" s="35">
        <f t="shared" si="0"/>
        <v>0.16699999999999998</v>
      </c>
      <c r="Q26" s="86">
        <f t="shared" si="1"/>
        <v>0.09</v>
      </c>
      <c r="R26" s="88">
        <f t="shared" si="2"/>
        <v>7.6999999999999999E-2</v>
      </c>
    </row>
    <row r="27" spans="1:21">
      <c r="A27" t="s">
        <v>40</v>
      </c>
      <c r="B27">
        <v>0.31273825285826812</v>
      </c>
      <c r="M27" s="25" t="s">
        <v>37</v>
      </c>
      <c r="N27" s="34">
        <v>0.06</v>
      </c>
      <c r="O27" s="35">
        <f t="shared" si="0"/>
        <v>4.7E-2</v>
      </c>
      <c r="Q27" s="87">
        <f>N27</f>
        <v>0.06</v>
      </c>
      <c r="R27" s="88">
        <f t="shared" si="2"/>
        <v>4.7E-2</v>
      </c>
    </row>
    <row r="28" spans="1:21">
      <c r="A28" t="s">
        <v>41</v>
      </c>
      <c r="B28">
        <v>9.7805214800842033E-2</v>
      </c>
      <c r="M28" s="30" t="s">
        <v>77</v>
      </c>
      <c r="N28" s="34">
        <v>1.2999999999999999E-2</v>
      </c>
      <c r="O28" s="35"/>
    </row>
    <row r="29" spans="1:21" ht="17.25" thickBot="1">
      <c r="A29" t="s">
        <v>42</v>
      </c>
      <c r="B29">
        <v>8.2250132297408282E-2</v>
      </c>
    </row>
    <row r="30" spans="1:21">
      <c r="A30" t="s">
        <v>43</v>
      </c>
      <c r="B30" s="33">
        <v>8.9317371703463669E-2</v>
      </c>
      <c r="M30" s="1"/>
      <c r="N30" s="83" t="s">
        <v>107</v>
      </c>
      <c r="O30" s="83" t="s">
        <v>108</v>
      </c>
      <c r="P30" s="83" t="s">
        <v>109</v>
      </c>
      <c r="Q30" s="83" t="s">
        <v>110</v>
      </c>
      <c r="R30" s="83" t="s">
        <v>111</v>
      </c>
      <c r="S30" s="83" t="s">
        <v>112</v>
      </c>
    </row>
    <row r="31" spans="1:21" ht="17.25" thickBot="1">
      <c r="A31" s="24" t="s">
        <v>44</v>
      </c>
      <c r="B31" s="24">
        <v>60</v>
      </c>
      <c r="M31" s="36" t="s">
        <v>79</v>
      </c>
      <c r="N31" s="15">
        <f t="shared" ref="N31:S31" si="3">N32-O13*$S$32</f>
        <v>-1.7783184614041103E-3</v>
      </c>
      <c r="O31" s="15">
        <f t="shared" si="3"/>
        <v>2.374429632417362E-2</v>
      </c>
      <c r="P31" s="15">
        <f t="shared" si="3"/>
        <v>-1.6306879901408784E-2</v>
      </c>
      <c r="Q31" s="15">
        <f t="shared" si="3"/>
        <v>5.0047326900564022E-3</v>
      </c>
      <c r="R31" s="15">
        <f>R32-S13*$S$32</f>
        <v>7.3653639351981506E-2</v>
      </c>
      <c r="S31" s="15">
        <f t="shared" si="3"/>
        <v>0</v>
      </c>
    </row>
    <row r="32" spans="1:21">
      <c r="M32" s="37" t="s">
        <v>80</v>
      </c>
      <c r="N32" s="84">
        <f>R22</f>
        <v>7.000000000000001E-3</v>
      </c>
      <c r="O32" s="84">
        <f>R23</f>
        <v>4.7E-2</v>
      </c>
      <c r="P32" s="84">
        <f>R24</f>
        <v>2.2000000000000006E-2</v>
      </c>
      <c r="Q32" s="84">
        <f>R25</f>
        <v>3.2000000000000001E-2</v>
      </c>
      <c r="R32" s="84">
        <f>R26</f>
        <v>7.6999999999999999E-2</v>
      </c>
      <c r="S32" s="84">
        <f>R27</f>
        <v>4.7E-2</v>
      </c>
    </row>
    <row r="33" spans="1:33" ht="17.25" thickBot="1">
      <c r="A33" t="s">
        <v>45</v>
      </c>
      <c r="M33" s="1"/>
      <c r="N33" s="1"/>
      <c r="O33" s="1"/>
      <c r="P33" s="1"/>
      <c r="Q33" s="1"/>
      <c r="R33" s="1"/>
      <c r="S33" s="1"/>
    </row>
    <row r="34" spans="1:33">
      <c r="A34" s="28"/>
      <c r="B34" s="28" t="s">
        <v>50</v>
      </c>
      <c r="C34" s="28" t="s">
        <v>51</v>
      </c>
      <c r="D34" s="28" t="s">
        <v>52</v>
      </c>
      <c r="E34" s="28" t="s">
        <v>53</v>
      </c>
      <c r="F34" s="28" t="s">
        <v>54</v>
      </c>
      <c r="M34" s="26"/>
    </row>
    <row r="35" spans="1:33">
      <c r="A35" t="s">
        <v>46</v>
      </c>
      <c r="B35">
        <v>1</v>
      </c>
      <c r="C35">
        <v>5.016046593347917E-2</v>
      </c>
      <c r="D35">
        <v>5.016046593347917E-2</v>
      </c>
      <c r="E35">
        <v>6.2876693054666672</v>
      </c>
      <c r="F35">
        <v>1.497979289739222E-2</v>
      </c>
      <c r="M35" s="3"/>
      <c r="N35" s="1"/>
      <c r="O35" s="38"/>
      <c r="P35" s="1"/>
      <c r="Q35" s="1"/>
      <c r="R35" s="1"/>
      <c r="S35" s="1"/>
      <c r="T35" s="1"/>
      <c r="U35" s="1"/>
      <c r="V35" s="1"/>
      <c r="W35" s="105" t="s">
        <v>89</v>
      </c>
      <c r="X35" s="106"/>
      <c r="Y35" s="1"/>
      <c r="Z35" s="1"/>
      <c r="AA35" s="1"/>
      <c r="AB35" s="1"/>
      <c r="AC35" s="1"/>
      <c r="AD35" s="1"/>
      <c r="AE35" s="1"/>
      <c r="AF35" s="1"/>
      <c r="AG35" s="1"/>
    </row>
    <row r="36" spans="1:33">
      <c r="A36" t="s">
        <v>47</v>
      </c>
      <c r="B36">
        <v>58</v>
      </c>
      <c r="C36">
        <v>0.46270038750485226</v>
      </c>
      <c r="D36">
        <v>7.9775928880146934E-3</v>
      </c>
      <c r="L36" s="26" t="s">
        <v>104</v>
      </c>
      <c r="M36" s="1"/>
      <c r="N36" s="1"/>
      <c r="O36" s="1"/>
      <c r="P36" s="1"/>
      <c r="Q36" s="1"/>
      <c r="R36" s="1"/>
      <c r="S36" s="1"/>
      <c r="T36" s="1"/>
      <c r="U36" s="1"/>
      <c r="V36" s="1"/>
      <c r="W36" s="39"/>
      <c r="X36" s="40"/>
      <c r="Y36" s="1"/>
      <c r="Z36" s="1"/>
      <c r="AA36" s="1"/>
      <c r="AB36" s="1"/>
      <c r="AC36" s="1"/>
      <c r="AD36" s="1"/>
      <c r="AE36" s="1"/>
      <c r="AF36" s="1"/>
      <c r="AG36" s="1"/>
    </row>
    <row r="37" spans="1:33" ht="17.25" thickBot="1">
      <c r="A37" s="24" t="s">
        <v>48</v>
      </c>
      <c r="B37" s="24">
        <v>59</v>
      </c>
      <c r="C37" s="24">
        <v>0.51286085343833143</v>
      </c>
      <c r="D37" s="24"/>
      <c r="E37" s="24"/>
      <c r="F37" s="24"/>
      <c r="M37" s="1"/>
      <c r="N37" s="1"/>
      <c r="O37" s="1"/>
      <c r="P37" s="1"/>
      <c r="Q37" s="1"/>
      <c r="R37" s="1"/>
      <c r="S37" s="1"/>
      <c r="T37" s="1"/>
      <c r="U37" s="1"/>
      <c r="V37" s="1"/>
      <c r="W37" s="40"/>
      <c r="X37" s="40"/>
      <c r="Y37" s="1" t="s">
        <v>83</v>
      </c>
      <c r="Z37" s="1"/>
      <c r="AA37" s="1"/>
      <c r="AB37" s="1"/>
      <c r="AC37" s="1" t="s">
        <v>84</v>
      </c>
      <c r="AD37" s="1"/>
      <c r="AE37" s="1"/>
      <c r="AF37" s="1"/>
      <c r="AG37" s="1"/>
    </row>
    <row r="38" spans="1:33" ht="17.25" thickBot="1">
      <c r="M38" s="3" t="s">
        <v>90</v>
      </c>
      <c r="N38" s="1"/>
      <c r="O38" s="1"/>
      <c r="P38" s="1"/>
      <c r="Q38" s="1"/>
      <c r="R38" s="1"/>
      <c r="S38" s="1"/>
      <c r="T38" s="1"/>
      <c r="U38" s="1"/>
      <c r="V38" s="1"/>
      <c r="W38" s="41" t="s">
        <v>81</v>
      </c>
      <c r="X38" s="41"/>
      <c r="Y38" s="15">
        <v>0.13008449113623954</v>
      </c>
      <c r="Z38" s="15">
        <v>0.13700000000000001</v>
      </c>
      <c r="AA38" s="15">
        <v>0.14299999999999999</v>
      </c>
      <c r="AB38" s="15">
        <v>0.14899999999999999</v>
      </c>
      <c r="AC38" s="15">
        <v>0.15649277267872536</v>
      </c>
      <c r="AD38" s="15">
        <v>0.16</v>
      </c>
      <c r="AE38" s="15">
        <v>0.16200000000000001</v>
      </c>
      <c r="AF38" s="15">
        <v>0.16400000000000001</v>
      </c>
      <c r="AG38" s="15">
        <v>0.16600000000000001</v>
      </c>
    </row>
    <row r="39" spans="1:33" ht="17.25" thickBot="1">
      <c r="A39" s="28"/>
      <c r="B39" s="28" t="s">
        <v>55</v>
      </c>
      <c r="C39" s="28" t="s">
        <v>43</v>
      </c>
      <c r="D39" s="28" t="s">
        <v>56</v>
      </c>
      <c r="E39" s="28" t="s">
        <v>57</v>
      </c>
      <c r="F39" s="28" t="s">
        <v>58</v>
      </c>
      <c r="G39" s="28" t="s">
        <v>59</v>
      </c>
      <c r="H39" s="28" t="s">
        <v>60</v>
      </c>
      <c r="I39" s="28" t="s">
        <v>61</v>
      </c>
      <c r="M39" s="3" t="s">
        <v>85</v>
      </c>
      <c r="N39" s="1"/>
      <c r="O39" s="42">
        <f>M41</f>
        <v>-5.1702616312248647E-3</v>
      </c>
      <c r="P39" s="42">
        <f>M42</f>
        <v>3.4013988530747108E-2</v>
      </c>
      <c r="Q39" s="42">
        <f>M43</f>
        <v>-1.4725924367505585E-2</v>
      </c>
      <c r="R39" s="42">
        <f>M44</f>
        <v>2.4570619361146677E-2</v>
      </c>
      <c r="S39" s="42">
        <f>M45</f>
        <v>0.88782316105556913</v>
      </c>
      <c r="T39" s="42">
        <f>M46</f>
        <v>7.3488426661488984E-2</v>
      </c>
      <c r="U39" s="1"/>
      <c r="V39" s="1"/>
      <c r="W39" s="43" t="s">
        <v>67</v>
      </c>
      <c r="X39">
        <v>0</v>
      </c>
      <c r="Y39" s="15">
        <v>9.0085298688432944E-2</v>
      </c>
      <c r="Z39" s="15">
        <v>9.0624671254406167E-2</v>
      </c>
      <c r="AA39" s="15">
        <v>9.2053294183396597E-2</v>
      </c>
      <c r="AB39" s="15">
        <v>9.4384927430411047E-2</v>
      </c>
      <c r="AC39" s="15">
        <v>9.8477744127659958E-2</v>
      </c>
      <c r="AD39" s="15">
        <v>0.1008180494100781</v>
      </c>
      <c r="AE39" s="15">
        <v>0.1023668547098122</v>
      </c>
      <c r="AF39" s="15">
        <v>0.10412175633363402</v>
      </c>
      <c r="AG39" s="15">
        <v>0.10621940880883779</v>
      </c>
    </row>
    <row r="40" spans="1:33" ht="17.25" thickBot="1">
      <c r="A40" t="s">
        <v>49</v>
      </c>
      <c r="B40">
        <v>4.6484556039581328E-4</v>
      </c>
      <c r="C40">
        <v>1.2022955786956292E-2</v>
      </c>
      <c r="D40">
        <v>3.8663168078861637E-2</v>
      </c>
      <c r="E40">
        <v>0.969291713840015</v>
      </c>
      <c r="F40">
        <v>-2.3601715249459733E-2</v>
      </c>
      <c r="G40">
        <v>2.4531406370251356E-2</v>
      </c>
      <c r="H40">
        <v>-2.3601715249459733E-2</v>
      </c>
      <c r="I40">
        <v>2.4531406370251356E-2</v>
      </c>
      <c r="M40" s="1"/>
      <c r="N40" s="1"/>
      <c r="O40" s="25" t="s">
        <v>32</v>
      </c>
      <c r="P40" s="25" t="s">
        <v>33</v>
      </c>
      <c r="Q40" s="25" t="s">
        <v>34</v>
      </c>
      <c r="R40" s="25" t="s">
        <v>35</v>
      </c>
      <c r="S40" s="25" t="s">
        <v>36</v>
      </c>
      <c r="T40" s="25" t="s">
        <v>37</v>
      </c>
      <c r="U40" s="30"/>
      <c r="V40" s="1"/>
      <c r="W40" s="44" t="s">
        <v>82</v>
      </c>
      <c r="X40" s="43"/>
      <c r="Y40" s="15">
        <v>1.4440146508937817</v>
      </c>
      <c r="Z40" s="15">
        <v>1.5117296214780815</v>
      </c>
      <c r="AA40" s="15">
        <v>1.5534479376151282</v>
      </c>
      <c r="AB40" s="15">
        <v>1.5786418876371111</v>
      </c>
      <c r="AC40" s="15">
        <v>1.589118171470892</v>
      </c>
      <c r="AD40" s="15">
        <v>1.5870174137914184</v>
      </c>
      <c r="AE40" s="15">
        <v>1.5825450576541227</v>
      </c>
      <c r="AF40" s="15">
        <v>1.5750790785416138</v>
      </c>
      <c r="AG40" s="15">
        <v>1.5628044425529808</v>
      </c>
    </row>
    <row r="41" spans="1:33" ht="17.25" thickBot="1">
      <c r="A41" s="24" t="s">
        <v>62</v>
      </c>
      <c r="B41" s="32">
        <v>0.49480220586864637</v>
      </c>
      <c r="C41" s="24">
        <v>0.19732712161594776</v>
      </c>
      <c r="D41" s="24">
        <v>2.5075225433616066</v>
      </c>
      <c r="E41" s="24">
        <v>1.497979289739222E-2</v>
      </c>
      <c r="F41" s="24">
        <v>9.9809056433950549E-2</v>
      </c>
      <c r="G41" s="24">
        <v>0.88979535530334219</v>
      </c>
      <c r="H41" s="24">
        <v>9.9809056433950549E-2</v>
      </c>
      <c r="I41" s="24">
        <v>0.88979535530334219</v>
      </c>
      <c r="M41" s="13">
        <v>-5.1702616312248647E-3</v>
      </c>
      <c r="N41" s="25" t="s">
        <v>32</v>
      </c>
      <c r="O41" s="15" t="e">
        <f t="shared" ref="O41:T46" si="4">O14</f>
        <v>#DIV/0!</v>
      </c>
      <c r="P41" s="15">
        <f t="shared" si="4"/>
        <v>3.8509922403997081E-3</v>
      </c>
      <c r="Q41" s="15">
        <f t="shared" si="4"/>
        <v>6.3433684618019511E-3</v>
      </c>
      <c r="R41" s="15">
        <f t="shared" si="4"/>
        <v>4.4702394899437323E-3</v>
      </c>
      <c r="S41" s="15">
        <f t="shared" si="4"/>
        <v>5.5413540990779042E-4</v>
      </c>
      <c r="T41" s="15">
        <f t="shared" si="4"/>
        <v>7.7828922238516035E-3</v>
      </c>
      <c r="U41" s="1"/>
      <c r="V41" s="1"/>
      <c r="W41" s="25" t="s">
        <v>32</v>
      </c>
      <c r="X41" s="45"/>
      <c r="Y41" s="13">
        <v>0.13991797488367938</v>
      </c>
      <c r="Z41" s="13">
        <v>0.11239470274386953</v>
      </c>
      <c r="AA41" s="13">
        <v>8.2850040503372552E-2</v>
      </c>
      <c r="AB41" s="13">
        <v>5.3305375315472713E-2</v>
      </c>
      <c r="AC41" s="13">
        <v>1.5070911973252117E-2</v>
      </c>
      <c r="AD41" s="13">
        <v>0</v>
      </c>
      <c r="AE41" s="13">
        <v>0</v>
      </c>
      <c r="AF41" s="13">
        <v>0</v>
      </c>
      <c r="AG41" s="13">
        <v>0</v>
      </c>
    </row>
    <row r="42" spans="1:33" ht="17.25" thickBot="1">
      <c r="M42" s="13">
        <v>3.4013988530747108E-2</v>
      </c>
      <c r="N42" s="25" t="s">
        <v>33</v>
      </c>
      <c r="O42" s="15" t="e">
        <f t="shared" si="4"/>
        <v>#DIV/0!</v>
      </c>
      <c r="P42" s="15" t="e">
        <f t="shared" si="4"/>
        <v>#DIV/0!</v>
      </c>
      <c r="Q42" s="15">
        <f t="shared" si="4"/>
        <v>1.6804983540167975E-2</v>
      </c>
      <c r="R42" s="15">
        <f t="shared" si="4"/>
        <v>1.184265134549246E-2</v>
      </c>
      <c r="S42" s="15">
        <f t="shared" si="4"/>
        <v>1.4680270425091056E-3</v>
      </c>
      <c r="T42" s="15">
        <f t="shared" si="4"/>
        <v>2.0618599802978151E-2</v>
      </c>
      <c r="U42" s="1"/>
      <c r="V42" s="1"/>
      <c r="W42" s="25" t="s">
        <v>33</v>
      </c>
      <c r="X42" s="45"/>
      <c r="Y42" s="13">
        <v>4.2826827281188057E-2</v>
      </c>
      <c r="Z42" s="13">
        <v>4.4843001604285671E-2</v>
      </c>
      <c r="AA42" s="13">
        <v>4.4311796683470149E-2</v>
      </c>
      <c r="AB42" s="13">
        <v>4.3780562513637537E-2</v>
      </c>
      <c r="AC42" s="13">
        <v>4.2633734566757717E-2</v>
      </c>
      <c r="AD42" s="13">
        <v>4.1376175998675997E-2</v>
      </c>
      <c r="AE42" s="13">
        <v>3.87471259701581E-2</v>
      </c>
      <c r="AF42" s="13">
        <v>3.6118493684334167E-2</v>
      </c>
      <c r="AG42" s="13">
        <v>1.6663934552857942E-2</v>
      </c>
    </row>
    <row r="43" spans="1:33" ht="17.25" thickBot="1">
      <c r="M43" s="13">
        <v>-1.4725924367505585E-2</v>
      </c>
      <c r="N43" s="25" t="s">
        <v>34</v>
      </c>
      <c r="O43" s="15" t="e">
        <f t="shared" si="4"/>
        <v>#DIV/0!</v>
      </c>
      <c r="P43" s="15" t="e">
        <f t="shared" si="4"/>
        <v>#DIV/0!</v>
      </c>
      <c r="Q43" s="15" t="e">
        <f t="shared" si="4"/>
        <v>#DIV/0!</v>
      </c>
      <c r="R43" s="15">
        <f t="shared" si="4"/>
        <v>1.9507258482898453E-2</v>
      </c>
      <c r="S43" s="15">
        <f t="shared" si="4"/>
        <v>2.4181394978760339E-3</v>
      </c>
      <c r="T43" s="15">
        <f t="shared" si="4"/>
        <v>3.3963032785325024E-2</v>
      </c>
      <c r="U43" s="1"/>
      <c r="V43" s="1"/>
      <c r="W43" s="25" t="s">
        <v>34</v>
      </c>
      <c r="X43" s="45"/>
      <c r="Y43" s="13">
        <v>9.8838333978425019E-3</v>
      </c>
      <c r="Z43" s="13">
        <v>8.6402991846993623E-3</v>
      </c>
      <c r="AA43" s="13">
        <v>4.8019712566493939E-3</v>
      </c>
      <c r="AB43" s="13">
        <v>9.6363882790132156E-4</v>
      </c>
      <c r="AC43" s="13">
        <v>0</v>
      </c>
      <c r="AD43" s="13">
        <v>0</v>
      </c>
      <c r="AE43" s="13">
        <v>0</v>
      </c>
      <c r="AF43" s="13">
        <v>0</v>
      </c>
      <c r="AG43" s="13">
        <v>0</v>
      </c>
    </row>
    <row r="44" spans="1:33" ht="17.25" thickBot="1">
      <c r="M44" s="13">
        <v>2.4570619361146677E-2</v>
      </c>
      <c r="N44" s="25" t="s">
        <v>35</v>
      </c>
      <c r="O44" s="15" t="e">
        <f t="shared" si="4"/>
        <v>#DIV/0!</v>
      </c>
      <c r="P44" s="15" t="e">
        <f t="shared" si="4"/>
        <v>#DIV/0!</v>
      </c>
      <c r="Q44" s="15" t="e">
        <f t="shared" si="4"/>
        <v>#DIV/0!</v>
      </c>
      <c r="R44" s="15" t="e">
        <f t="shared" si="4"/>
        <v>#DIV/0!</v>
      </c>
      <c r="S44" s="15">
        <f t="shared" si="4"/>
        <v>1.7040887252082262E-3</v>
      </c>
      <c r="T44" s="15">
        <f t="shared" si="4"/>
        <v>2.3934111863349882E-2</v>
      </c>
      <c r="U44" s="1"/>
      <c r="V44" s="1"/>
      <c r="W44" s="25" t="s">
        <v>35</v>
      </c>
      <c r="X44" s="45"/>
      <c r="Y44" s="13">
        <v>0.12365926044692759</v>
      </c>
      <c r="Z44" s="13">
        <v>0.11804142993372559</v>
      </c>
      <c r="AA44" s="13">
        <v>0.10237855218168385</v>
      </c>
      <c r="AB44" s="13">
        <v>8.6715704857421791E-2</v>
      </c>
      <c r="AC44" s="13">
        <v>6.4880839677866245E-2</v>
      </c>
      <c r="AD44" s="13">
        <v>5.0193660673356344E-2</v>
      </c>
      <c r="AE44" s="13">
        <v>2.9722361065958377E-2</v>
      </c>
      <c r="AF44" s="13">
        <v>9.2543381184580151E-3</v>
      </c>
      <c r="AG44" s="13">
        <v>0</v>
      </c>
    </row>
    <row r="45" spans="1:33" ht="17.25" thickBot="1">
      <c r="A45" s="31" t="s">
        <v>34</v>
      </c>
      <c r="M45" s="13">
        <v>0.88782316105556913</v>
      </c>
      <c r="N45" s="25" t="s">
        <v>36</v>
      </c>
      <c r="O45" s="15" t="e">
        <f t="shared" si="4"/>
        <v>#DIV/0!</v>
      </c>
      <c r="P45" s="15" t="e">
        <f t="shared" si="4"/>
        <v>#DIV/0!</v>
      </c>
      <c r="Q45" s="15" t="e">
        <f t="shared" si="4"/>
        <v>#DIV/0!</v>
      </c>
      <c r="R45" s="15" t="e">
        <f t="shared" si="4"/>
        <v>#DIV/0!</v>
      </c>
      <c r="S45" s="15" t="e">
        <f t="shared" si="4"/>
        <v>#DIV/0!</v>
      </c>
      <c r="T45" s="15">
        <f t="shared" si="4"/>
        <v>2.9668967217555578E-3</v>
      </c>
      <c r="U45" s="1"/>
      <c r="V45" s="1"/>
      <c r="W45" s="25" t="s">
        <v>36</v>
      </c>
      <c r="X45" s="45"/>
      <c r="Y45" s="13">
        <v>0.66253853966148657</v>
      </c>
      <c r="Z45" s="13">
        <v>0.71608056687324095</v>
      </c>
      <c r="AA45" s="13">
        <v>0.76565763941038967</v>
      </c>
      <c r="AB45" s="13">
        <v>0.81523471852423379</v>
      </c>
      <c r="AC45" s="13">
        <v>0.87741451378208846</v>
      </c>
      <c r="AD45" s="13">
        <v>0.90843016368006479</v>
      </c>
      <c r="AE45" s="13">
        <v>0.93153051321991176</v>
      </c>
      <c r="AF45" s="13">
        <v>0.95462716863933961</v>
      </c>
      <c r="AG45" s="13">
        <v>0.98333606571645005</v>
      </c>
    </row>
    <row r="46" spans="1:33">
      <c r="A46" t="s">
        <v>38</v>
      </c>
      <c r="M46" s="13">
        <v>7.3488426661488984E-2</v>
      </c>
      <c r="N46" s="25" t="s">
        <v>37</v>
      </c>
      <c r="O46" s="48" t="e">
        <f t="shared" si="4"/>
        <v>#DIV/0!</v>
      </c>
      <c r="P46" s="48" t="e">
        <f t="shared" si="4"/>
        <v>#DIV/0!</v>
      </c>
      <c r="Q46" s="48" t="e">
        <f t="shared" si="4"/>
        <v>#DIV/0!</v>
      </c>
      <c r="R46" s="48" t="e">
        <f t="shared" si="4"/>
        <v>#DIV/0!</v>
      </c>
      <c r="S46" s="15" t="e">
        <f t="shared" si="4"/>
        <v>#DIV/0!</v>
      </c>
      <c r="T46" s="15" t="e">
        <f t="shared" si="4"/>
        <v>#DIV/0!</v>
      </c>
      <c r="U46" s="1"/>
      <c r="V46" s="1"/>
      <c r="W46" s="25" t="s">
        <v>37</v>
      </c>
      <c r="X46" s="45"/>
      <c r="Y46" s="13">
        <v>2.1173566249668006E-2</v>
      </c>
      <c r="Z46" s="13">
        <v>0</v>
      </c>
      <c r="AA46" s="13">
        <v>0</v>
      </c>
      <c r="AB46" s="13">
        <v>0</v>
      </c>
      <c r="AC46" s="13">
        <v>0</v>
      </c>
      <c r="AD46" s="13">
        <v>0</v>
      </c>
      <c r="AE46" s="13">
        <v>0</v>
      </c>
      <c r="AF46" s="13">
        <v>0</v>
      </c>
      <c r="AG46" s="13">
        <v>0</v>
      </c>
    </row>
    <row r="47" spans="1:33" ht="17.25" thickBot="1">
      <c r="M47" s="49">
        <f>SUM(M41:M46)</f>
        <v>1.0000000096102215</v>
      </c>
      <c r="O47" s="42" t="e">
        <f t="shared" ref="O47:T47" si="5">O39*SUMPRODUCT($M$41:$M$46,O41:O46)</f>
        <v>#DIV/0!</v>
      </c>
      <c r="P47" s="42" t="e">
        <f t="shared" si="5"/>
        <v>#DIV/0!</v>
      </c>
      <c r="Q47" s="42" t="e">
        <f t="shared" si="5"/>
        <v>#DIV/0!</v>
      </c>
      <c r="R47" s="42" t="e">
        <f t="shared" si="5"/>
        <v>#DIV/0!</v>
      </c>
      <c r="S47" s="42" t="e">
        <f t="shared" si="5"/>
        <v>#DIV/0!</v>
      </c>
      <c r="T47" s="42" t="e">
        <f t="shared" si="5"/>
        <v>#DIV/0!</v>
      </c>
      <c r="U47" s="1"/>
      <c r="V47" s="1"/>
      <c r="W47" s="46" t="s">
        <v>86</v>
      </c>
      <c r="X47" s="46">
        <v>0</v>
      </c>
      <c r="Y47" s="15">
        <f>Y39*$AC$40</f>
        <v>0.14315618512817171</v>
      </c>
      <c r="Z47" s="15">
        <f>Z39*$AC$40</f>
        <v>0.14401331187395264</v>
      </c>
      <c r="AA47" s="15">
        <f>AA39*$AC$40</f>
        <v>0.1462835625305913</v>
      </c>
      <c r="AB47" s="15">
        <f t="shared" ref="AB47:AG47" si="6">AB39*$AC$40</f>
        <v>0.14998880329262765</v>
      </c>
      <c r="AC47" s="15">
        <f>AC39*$AC$40</f>
        <v>0.15649277267872536</v>
      </c>
      <c r="AD47" s="15">
        <f t="shared" si="6"/>
        <v>0.16021179432980534</v>
      </c>
      <c r="AE47" s="15">
        <f t="shared" si="6"/>
        <v>0.16267302897568323</v>
      </c>
      <c r="AF47" s="15">
        <f t="shared" si="6"/>
        <v>0.16546177503524226</v>
      </c>
      <c r="AG47" s="15">
        <f t="shared" si="6"/>
        <v>0.16879519270101948</v>
      </c>
    </row>
    <row r="48" spans="1:33">
      <c r="A48" s="29" t="s">
        <v>39</v>
      </c>
      <c r="B48" s="29"/>
      <c r="M48" s="42">
        <f>SUMPRODUCT(M41:M46,R22:R27)</f>
        <v>7.3841094567366927E-2</v>
      </c>
      <c r="N48" s="40" t="s">
        <v>81</v>
      </c>
      <c r="O48" s="1"/>
      <c r="P48" s="1"/>
      <c r="Q48" s="1"/>
      <c r="R48" s="1"/>
      <c r="S48" s="1"/>
      <c r="T48" s="1"/>
      <c r="U48" s="1"/>
      <c r="V48" s="1"/>
      <c r="W48" s="40" t="s">
        <v>87</v>
      </c>
      <c r="X48" s="47"/>
      <c r="Y48" s="1"/>
      <c r="Z48" s="1"/>
      <c r="AA48" s="1"/>
      <c r="AB48" s="1"/>
      <c r="AC48" s="1"/>
      <c r="AD48" s="1"/>
      <c r="AE48" s="1"/>
      <c r="AF48" s="1"/>
      <c r="AG48" s="1"/>
    </row>
    <row r="49" spans="1:33">
      <c r="A49" t="s">
        <v>40</v>
      </c>
      <c r="B49">
        <v>0.39550108959598768</v>
      </c>
      <c r="M49" s="42" t="e">
        <f>SUM(O47:T47)^0.5</f>
        <v>#DIV/0!</v>
      </c>
      <c r="N49" s="40" t="s">
        <v>67</v>
      </c>
      <c r="O49" s="1"/>
      <c r="P49" s="1"/>
      <c r="Q49" s="1"/>
      <c r="R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</row>
    <row r="50" spans="1:33">
      <c r="A50" t="s">
        <v>41</v>
      </c>
      <c r="B50">
        <v>0.15642111187161345</v>
      </c>
      <c r="M50" s="42" t="e">
        <f>M48/M49</f>
        <v>#DIV/0!</v>
      </c>
      <c r="N50" s="39" t="s">
        <v>82</v>
      </c>
      <c r="W50" s="1"/>
      <c r="X50" s="1"/>
      <c r="Y50" s="1"/>
      <c r="Z50" s="1" t="s">
        <v>88</v>
      </c>
      <c r="AA50" s="1"/>
      <c r="AB50" s="1"/>
      <c r="AC50" s="1"/>
      <c r="AD50" s="1"/>
      <c r="AE50" s="1"/>
      <c r="AF50" s="1"/>
      <c r="AG50" s="1"/>
    </row>
    <row r="51" spans="1:33">
      <c r="A51" t="s">
        <v>42</v>
      </c>
      <c r="B51">
        <v>0.14187664828319299</v>
      </c>
    </row>
    <row r="52" spans="1:33">
      <c r="A52" t="s">
        <v>43</v>
      </c>
      <c r="B52" s="33">
        <v>0.11249397064309177</v>
      </c>
      <c r="N52" s="34"/>
      <c r="O52" s="34"/>
      <c r="P52" s="34"/>
      <c r="Q52" s="34"/>
      <c r="R52" s="34"/>
      <c r="S52" s="34"/>
      <c r="T52" s="34"/>
      <c r="U52" s="34"/>
    </row>
    <row r="53" spans="1:33" ht="17.25" thickBot="1">
      <c r="A53" s="24" t="s">
        <v>44</v>
      </c>
      <c r="B53" s="24">
        <v>60</v>
      </c>
      <c r="L53" s="26" t="s">
        <v>106</v>
      </c>
      <c r="M53" s="50" t="s">
        <v>91</v>
      </c>
      <c r="N53" s="50"/>
      <c r="O53" s="50"/>
      <c r="P53" s="50"/>
      <c r="Q53" s="50"/>
      <c r="R53" s="51"/>
      <c r="S53" s="50"/>
      <c r="T53" s="34"/>
      <c r="U53" s="34"/>
    </row>
    <row r="54" spans="1:33" ht="17.25" thickBot="1">
      <c r="M54" s="50"/>
      <c r="N54" s="50"/>
      <c r="O54" s="50"/>
      <c r="P54" s="50"/>
      <c r="Q54" s="50"/>
      <c r="R54" s="50"/>
      <c r="S54" s="50"/>
      <c r="T54" s="34"/>
      <c r="U54" s="34"/>
    </row>
    <row r="55" spans="1:33" ht="17.25" thickBot="1">
      <c r="A55" t="s">
        <v>45</v>
      </c>
      <c r="M55" s="50"/>
      <c r="N55" s="52" t="s">
        <v>92</v>
      </c>
      <c r="O55" s="53" t="s">
        <v>93</v>
      </c>
      <c r="P55" s="52"/>
      <c r="Q55" s="25" t="s">
        <v>32</v>
      </c>
      <c r="R55" s="25" t="s">
        <v>33</v>
      </c>
      <c r="S55" s="25" t="s">
        <v>34</v>
      </c>
      <c r="T55" s="25" t="s">
        <v>35</v>
      </c>
      <c r="U55" s="25" t="s">
        <v>36</v>
      </c>
    </row>
    <row r="56" spans="1:33">
      <c r="A56" s="28"/>
      <c r="B56" s="28" t="s">
        <v>50</v>
      </c>
      <c r="C56" s="28" t="s">
        <v>51</v>
      </c>
      <c r="D56" s="28" t="s">
        <v>52</v>
      </c>
      <c r="E56" s="28" t="s">
        <v>53</v>
      </c>
      <c r="F56" s="28" t="s">
        <v>54</v>
      </c>
      <c r="M56" s="50"/>
      <c r="N56" s="52"/>
      <c r="O56" s="36"/>
      <c r="Q56" s="54">
        <f>R4*R4</f>
        <v>4.7167940136505125E-2</v>
      </c>
      <c r="R56" s="55">
        <f>R5*R5</f>
        <v>9.5731114656176286E-2</v>
      </c>
      <c r="S56" s="56">
        <f>R6*R6</f>
        <v>0.15185872117258553</v>
      </c>
      <c r="T56" s="54">
        <f>R7*R7</f>
        <v>2.7932930794543769E-2</v>
      </c>
      <c r="U56" s="55">
        <f>R8*R8</f>
        <v>1.1376781311323612E-2</v>
      </c>
    </row>
    <row r="57" spans="1:33">
      <c r="A57" t="s">
        <v>46</v>
      </c>
      <c r="B57">
        <v>1</v>
      </c>
      <c r="C57">
        <v>0.13609938166969582</v>
      </c>
      <c r="D57">
        <v>0.13609938166969582</v>
      </c>
      <c r="E57">
        <v>10.75468413947887</v>
      </c>
      <c r="F57">
        <v>1.7618717683139521E-3</v>
      </c>
      <c r="M57" s="50"/>
      <c r="N57" s="57"/>
      <c r="O57" s="58">
        <f>SUM(Q57:U57)</f>
        <v>6.7561483838656438</v>
      </c>
      <c r="P57" s="57"/>
      <c r="Q57" s="59">
        <f>N31/Q56</f>
        <v>-3.7701846980334838E-2</v>
      </c>
      <c r="R57" s="59">
        <f>O31/R56</f>
        <v>0.24803112770025298</v>
      </c>
      <c r="S57" s="59">
        <f>P31/S56</f>
        <v>-0.1073819124479273</v>
      </c>
      <c r="T57" s="59">
        <f t="shared" ref="T57" si="7">Q31/T56</f>
        <v>0.17916962336920239</v>
      </c>
      <c r="U57" s="59">
        <f>R31/U56</f>
        <v>6.4740313922244503</v>
      </c>
    </row>
    <row r="58" spans="1:33">
      <c r="A58" t="s">
        <v>47</v>
      </c>
      <c r="B58">
        <v>58</v>
      </c>
      <c r="C58">
        <v>0.7339838190008301</v>
      </c>
      <c r="D58">
        <v>1.2654893431048794E-2</v>
      </c>
      <c r="M58" s="50"/>
      <c r="N58" s="57"/>
      <c r="O58" s="58">
        <f>SUM(Q58:U58)</f>
        <v>0.99999999999999989</v>
      </c>
      <c r="Q58" s="59">
        <f>Q57/$O$57</f>
        <v>-5.5803758055951837E-3</v>
      </c>
      <c r="R58" s="59">
        <f t="shared" ref="R58:U58" si="8">R57/$O$57</f>
        <v>3.6711912410416568E-2</v>
      </c>
      <c r="S58" s="59">
        <f t="shared" si="8"/>
        <v>-1.5893954121014575E-2</v>
      </c>
      <c r="T58" s="59">
        <f t="shared" si="8"/>
        <v>2.6519492052169448E-2</v>
      </c>
      <c r="U58" s="59">
        <f t="shared" si="8"/>
        <v>0.95824292546402368</v>
      </c>
    </row>
    <row r="59" spans="1:33" ht="17.25" thickBot="1">
      <c r="A59" s="24" t="s">
        <v>48</v>
      </c>
      <c r="B59" s="24">
        <v>59</v>
      </c>
      <c r="C59" s="24">
        <v>0.87008320067052591</v>
      </c>
      <c r="D59" s="24"/>
      <c r="E59" s="24"/>
      <c r="F59" s="24"/>
      <c r="M59" s="50"/>
      <c r="N59" s="60"/>
      <c r="O59" s="61"/>
      <c r="Q59" s="62">
        <f>Q58*Q58</f>
        <v>3.1140594131672093E-5</v>
      </c>
      <c r="R59" s="62">
        <f t="shared" ref="R59:U59" si="9">R58*R58</f>
        <v>1.347764512830098E-3</v>
      </c>
      <c r="S59" s="62">
        <f t="shared" si="9"/>
        <v>2.5261777760091618E-4</v>
      </c>
      <c r="T59" s="62">
        <f t="shared" si="9"/>
        <v>7.0328345870507855E-4</v>
      </c>
      <c r="U59" s="62">
        <f t="shared" si="9"/>
        <v>0.91822950420185045</v>
      </c>
    </row>
    <row r="60" spans="1:33" ht="17.25" thickBot="1">
      <c r="M60" s="63" t="s">
        <v>94</v>
      </c>
      <c r="N60" s="36"/>
      <c r="O60" s="64">
        <f>SUMPRODUCT(Q58:U58,$N$31:$R$31)</f>
        <v>7.1851604825738657E-2</v>
      </c>
      <c r="P60" s="50"/>
      <c r="Q60" s="52"/>
      <c r="R60" s="65"/>
      <c r="S60" s="65"/>
    </row>
    <row r="61" spans="1:33" ht="17.25" thickBot="1">
      <c r="A61" s="28"/>
      <c r="B61" s="28" t="s">
        <v>55</v>
      </c>
      <c r="C61" s="28" t="s">
        <v>43</v>
      </c>
      <c r="D61" s="28" t="s">
        <v>56</v>
      </c>
      <c r="E61" s="28" t="s">
        <v>57</v>
      </c>
      <c r="F61" s="28" t="s">
        <v>58</v>
      </c>
      <c r="G61" s="28" t="s">
        <v>59</v>
      </c>
      <c r="H61" s="28" t="s">
        <v>60</v>
      </c>
      <c r="I61" s="28" t="s">
        <v>61</v>
      </c>
      <c r="M61" s="66" t="s">
        <v>95</v>
      </c>
      <c r="N61" s="67"/>
      <c r="O61" s="58">
        <f>SUMPRODUCT(Q59:U59,Q56:U56)</f>
        <v>1.0634995080529532E-2</v>
      </c>
      <c r="P61" s="50"/>
      <c r="Q61" s="57"/>
      <c r="R61" s="50"/>
      <c r="S61" s="50"/>
    </row>
    <row r="62" spans="1:33">
      <c r="A62" t="s">
        <v>49</v>
      </c>
      <c r="B62">
        <v>1.882954518997082E-2</v>
      </c>
      <c r="C62">
        <v>1.5142743338120436E-2</v>
      </c>
      <c r="D62">
        <v>1.2434698765955576</v>
      </c>
      <c r="E62">
        <v>0.21869750666993584</v>
      </c>
      <c r="F62">
        <v>-1.148194890786864E-2</v>
      </c>
      <c r="G62">
        <v>4.914103928781028E-2</v>
      </c>
      <c r="H62">
        <v>-1.148194890786864E-2</v>
      </c>
      <c r="I62">
        <v>4.914103928781028E-2</v>
      </c>
      <c r="M62" s="57" t="s">
        <v>96</v>
      </c>
      <c r="N62" s="67"/>
      <c r="O62" s="59" t="e">
        <f>(O60/O61)/($S$32/$T$19)</f>
        <v>#DIV/0!</v>
      </c>
      <c r="P62" s="68" t="s">
        <v>97</v>
      </c>
      <c r="Q62" s="50"/>
      <c r="R62" s="50"/>
      <c r="S62" s="50"/>
    </row>
    <row r="63" spans="1:33" ht="17.25" thickBot="1">
      <c r="A63" s="24" t="s">
        <v>62</v>
      </c>
      <c r="B63" s="32">
        <v>0.81503999790231463</v>
      </c>
      <c r="C63" s="24">
        <v>0.248530728152734</v>
      </c>
      <c r="D63" s="24">
        <v>3.2794335089278523</v>
      </c>
      <c r="E63" s="24">
        <v>1.7618717683139796E-3</v>
      </c>
      <c r="F63" s="24">
        <v>0.31755169401164057</v>
      </c>
      <c r="G63" s="24">
        <v>1.3125283017929887</v>
      </c>
      <c r="H63" s="24">
        <v>0.31755169401164057</v>
      </c>
      <c r="I63" s="24">
        <v>1.3125283017929887</v>
      </c>
      <c r="M63" s="57" t="s">
        <v>98</v>
      </c>
      <c r="N63" s="69" t="e">
        <f>1-O63</f>
        <v>#DIV/0!</v>
      </c>
      <c r="O63" s="85" t="e">
        <f>O62/(1+(1-O64)*O62)</f>
        <v>#DIV/0!</v>
      </c>
      <c r="P63" s="71" t="s">
        <v>99</v>
      </c>
      <c r="Q63" s="72" t="e">
        <f>$O$63*Q58</f>
        <v>#DIV/0!</v>
      </c>
      <c r="R63" s="72" t="e">
        <f t="shared" ref="R63:U63" si="10">$O$63*R58</f>
        <v>#DIV/0!</v>
      </c>
      <c r="S63" s="72" t="e">
        <f t="shared" si="10"/>
        <v>#DIV/0!</v>
      </c>
      <c r="T63" s="72" t="e">
        <f t="shared" si="10"/>
        <v>#DIV/0!</v>
      </c>
      <c r="U63" s="72" t="e">
        <f t="shared" si="10"/>
        <v>#DIV/0!</v>
      </c>
    </row>
    <row r="64" spans="1:33">
      <c r="M64" s="57" t="s">
        <v>100</v>
      </c>
      <c r="N64" s="73">
        <v>1</v>
      </c>
      <c r="O64" s="74">
        <f>SUMPRODUCT(Q58:U58,O13:S13)</f>
        <v>8.7626690269120677E-2</v>
      </c>
      <c r="P64" s="75" t="e">
        <f>N63*N64+O63*O64</f>
        <v>#DIV/0!</v>
      </c>
      <c r="Q64" s="50"/>
      <c r="R64" s="50"/>
      <c r="S64" s="50"/>
    </row>
    <row r="65" spans="1:21">
      <c r="M65" s="57" t="s">
        <v>80</v>
      </c>
      <c r="N65" s="82">
        <f>$S$32</f>
        <v>4.7E-2</v>
      </c>
      <c r="O65" s="59">
        <f>O64*N65+O60</f>
        <v>7.5970059268387333E-2</v>
      </c>
      <c r="P65" s="76" t="e">
        <f>N63*N65+O63*O65</f>
        <v>#DIV/0!</v>
      </c>
      <c r="Q65" s="50"/>
      <c r="R65" s="50"/>
      <c r="S65" s="50"/>
    </row>
    <row r="66" spans="1:21" ht="17.25" thickBot="1">
      <c r="M66" s="57" t="s">
        <v>67</v>
      </c>
      <c r="N66" s="77" t="e">
        <f>$N$9</f>
        <v>#DIV/0!</v>
      </c>
      <c r="O66" s="59" t="e">
        <f>((O64*N66)^2+O61)^0.5</f>
        <v>#DIV/0!</v>
      </c>
      <c r="P66" s="76" t="e">
        <f>((P64^2*$T$19+O63^2*O61))^0.5</f>
        <v>#DIV/0!</v>
      </c>
      <c r="Q66" s="50"/>
      <c r="R66" s="50"/>
      <c r="S66" s="50"/>
    </row>
    <row r="67" spans="1:21">
      <c r="A67" s="31" t="s">
        <v>35</v>
      </c>
      <c r="M67" s="57" t="s">
        <v>101</v>
      </c>
      <c r="N67" s="77" t="e">
        <f>N65/N66</f>
        <v>#DIV/0!</v>
      </c>
      <c r="O67" s="59" t="e">
        <f>O65/O66</f>
        <v>#DIV/0!</v>
      </c>
      <c r="P67" s="76" t="e">
        <f>P65/P66</f>
        <v>#DIV/0!</v>
      </c>
      <c r="Q67" s="50"/>
      <c r="R67" s="50"/>
      <c r="S67" s="50"/>
    </row>
    <row r="68" spans="1:21">
      <c r="A68" t="s">
        <v>38</v>
      </c>
      <c r="M68" s="57" t="s">
        <v>102</v>
      </c>
      <c r="N68" s="78">
        <v>0</v>
      </c>
      <c r="O68" s="59" t="e">
        <f>N66*(O67-N67)</f>
        <v>#DIV/0!</v>
      </c>
      <c r="P68" s="76" t="e">
        <f>N66*(P67-N67)</f>
        <v>#DIV/0!</v>
      </c>
      <c r="Q68" s="50"/>
      <c r="R68" s="50"/>
      <c r="S68" s="50"/>
    </row>
    <row r="69" spans="1:21" ht="17.25" thickBot="1">
      <c r="M69" s="60" t="s">
        <v>103</v>
      </c>
      <c r="N69" s="79"/>
      <c r="O69" s="80"/>
      <c r="P69" s="81" t="e">
        <f>O63*((1-O64)^2*N66^2+O61)^0.5</f>
        <v>#DIV/0!</v>
      </c>
      <c r="Q69" s="50"/>
      <c r="R69" s="50"/>
      <c r="S69" s="50"/>
    </row>
    <row r="70" spans="1:21">
      <c r="A70" s="29" t="s">
        <v>39</v>
      </c>
      <c r="B70" s="29"/>
    </row>
    <row r="71" spans="1:21">
      <c r="A71" t="s">
        <v>40</v>
      </c>
      <c r="B71">
        <v>0.57759159888275835</v>
      </c>
    </row>
    <row r="72" spans="1:21">
      <c r="A72" t="s">
        <v>41</v>
      </c>
      <c r="B72">
        <v>0.33361205509994118</v>
      </c>
    </row>
    <row r="73" spans="1:21">
      <c r="A73" t="s">
        <v>42</v>
      </c>
      <c r="B73">
        <v>0.32212260777407808</v>
      </c>
    </row>
    <row r="74" spans="1:21">
      <c r="A74" t="s">
        <v>43</v>
      </c>
      <c r="B74" s="33">
        <v>4.8246701782387651E-2</v>
      </c>
    </row>
    <row r="75" spans="1:21" ht="17.25" thickBot="1">
      <c r="A75" s="24" t="s">
        <v>44</v>
      </c>
      <c r="B75" s="24">
        <v>60</v>
      </c>
    </row>
    <row r="76" spans="1:21">
      <c r="L76" s="26"/>
      <c r="M76" s="50"/>
      <c r="N76" s="50"/>
      <c r="O76" s="50"/>
      <c r="P76" s="50"/>
      <c r="Q76" s="50"/>
      <c r="R76" s="51"/>
      <c r="S76" s="50"/>
      <c r="T76" s="34"/>
      <c r="U76" s="34"/>
    </row>
    <row r="77" spans="1:21" ht="17.25" thickBot="1">
      <c r="A77" t="s">
        <v>45</v>
      </c>
    </row>
    <row r="78" spans="1:21">
      <c r="A78" s="28"/>
      <c r="B78" s="28" t="s">
        <v>50</v>
      </c>
      <c r="C78" s="28" t="s">
        <v>51</v>
      </c>
      <c r="D78" s="28" t="s">
        <v>52</v>
      </c>
      <c r="E78" s="28" t="s">
        <v>53</v>
      </c>
      <c r="F78" s="28" t="s">
        <v>54</v>
      </c>
    </row>
    <row r="79" spans="1:21">
      <c r="A79" t="s">
        <v>46</v>
      </c>
      <c r="B79">
        <v>1</v>
      </c>
      <c r="C79">
        <v>6.758928565080885E-2</v>
      </c>
      <c r="D79">
        <v>6.758928565080885E-2</v>
      </c>
      <c r="E79">
        <v>29.036388403902656</v>
      </c>
      <c r="F79">
        <v>1.3532309604563018E-6</v>
      </c>
    </row>
    <row r="80" spans="1:21">
      <c r="A80" t="s">
        <v>47</v>
      </c>
      <c r="B80">
        <v>58</v>
      </c>
      <c r="C80">
        <v>0.13500916550696157</v>
      </c>
      <c r="D80">
        <v>2.3277442328786479E-3</v>
      </c>
    </row>
    <row r="81" spans="1:9" ht="17.25" thickBot="1">
      <c r="A81" s="24" t="s">
        <v>48</v>
      </c>
      <c r="B81" s="24">
        <v>59</v>
      </c>
      <c r="C81" s="24">
        <v>0.20259845115777042</v>
      </c>
      <c r="D81" s="24"/>
      <c r="E81" s="24"/>
      <c r="F81" s="24"/>
    </row>
    <row r="82" spans="1:9" ht="17.25" thickBot="1"/>
    <row r="83" spans="1:9">
      <c r="A83" s="28"/>
      <c r="B83" s="28" t="s">
        <v>55</v>
      </c>
      <c r="C83" s="28" t="s">
        <v>43</v>
      </c>
      <c r="D83" s="28" t="s">
        <v>56</v>
      </c>
      <c r="E83" s="28" t="s">
        <v>57</v>
      </c>
      <c r="F83" s="28" t="s">
        <v>58</v>
      </c>
      <c r="G83" s="28" t="s">
        <v>59</v>
      </c>
      <c r="H83" s="28" t="s">
        <v>60</v>
      </c>
      <c r="I83" s="28" t="s">
        <v>61</v>
      </c>
    </row>
    <row r="84" spans="1:9">
      <c r="A84" t="s">
        <v>49</v>
      </c>
      <c r="B84">
        <v>4.2923275691551365E-3</v>
      </c>
      <c r="C84">
        <v>6.4944584836414002E-3</v>
      </c>
      <c r="D84">
        <v>0.66092155026733757</v>
      </c>
      <c r="E84">
        <v>0.51127943922102048</v>
      </c>
      <c r="F84">
        <v>-8.7077435276052065E-3</v>
      </c>
      <c r="G84">
        <v>1.7292398665915479E-2</v>
      </c>
      <c r="H84">
        <v>-8.7077435276052065E-3</v>
      </c>
      <c r="I84">
        <v>1.7292398665915479E-2</v>
      </c>
    </row>
    <row r="85" spans="1:9" ht="17.25" thickBot="1">
      <c r="A85" s="24" t="s">
        <v>62</v>
      </c>
      <c r="B85" s="32">
        <v>0.57436738957326805</v>
      </c>
      <c r="C85" s="24">
        <v>0.10659049419624129</v>
      </c>
      <c r="D85" s="24">
        <v>5.3885423264462355</v>
      </c>
      <c r="E85" s="24">
        <v>1.3532309604563217E-6</v>
      </c>
      <c r="F85" s="24">
        <v>0.36100333369697063</v>
      </c>
      <c r="G85" s="24">
        <v>0.78773144544956542</v>
      </c>
      <c r="H85" s="24">
        <v>0.36100333369697063</v>
      </c>
      <c r="I85" s="24">
        <v>0.78773144544956542</v>
      </c>
    </row>
    <row r="88" spans="1:9" ht="17.25" thickBot="1"/>
    <row r="89" spans="1:9">
      <c r="A89" s="31" t="s">
        <v>36</v>
      </c>
    </row>
    <row r="90" spans="1:9">
      <c r="A90" t="s">
        <v>38</v>
      </c>
    </row>
    <row r="91" spans="1:9" ht="17.25" thickBot="1"/>
    <row r="92" spans="1:9">
      <c r="A92" s="29" t="s">
        <v>39</v>
      </c>
      <c r="B92" s="29"/>
    </row>
    <row r="93" spans="1:9">
      <c r="A93" t="s">
        <v>40</v>
      </c>
      <c r="B93">
        <v>0.13615317571440128</v>
      </c>
    </row>
    <row r="94" spans="1:9">
      <c r="A94" t="s">
        <v>41</v>
      </c>
      <c r="B94">
        <v>1.8537687257116631E-2</v>
      </c>
    </row>
    <row r="95" spans="1:9">
      <c r="A95" t="s">
        <v>42</v>
      </c>
      <c r="B95">
        <v>1.6159232443082978E-3</v>
      </c>
    </row>
    <row r="96" spans="1:9">
      <c r="A96" t="s">
        <v>43</v>
      </c>
      <c r="B96" s="33">
        <v>3.0790665944031931E-2</v>
      </c>
    </row>
    <row r="97" spans="1:9" ht="17.25" thickBot="1">
      <c r="A97" s="24" t="s">
        <v>44</v>
      </c>
      <c r="B97" s="24">
        <v>60</v>
      </c>
    </row>
    <row r="99" spans="1:9" ht="17.25" thickBot="1">
      <c r="A99" t="s">
        <v>45</v>
      </c>
    </row>
    <row r="100" spans="1:9">
      <c r="A100" s="28"/>
      <c r="B100" s="28" t="s">
        <v>50</v>
      </c>
      <c r="C100" s="28" t="s">
        <v>51</v>
      </c>
      <c r="D100" s="28" t="s">
        <v>52</v>
      </c>
      <c r="E100" s="28" t="s">
        <v>53</v>
      </c>
      <c r="F100" s="28" t="s">
        <v>54</v>
      </c>
    </row>
    <row r="101" spans="1:9">
      <c r="A101" t="s">
        <v>46</v>
      </c>
      <c r="B101">
        <v>1</v>
      </c>
      <c r="C101">
        <v>1.0385994321784539E-3</v>
      </c>
      <c r="D101">
        <v>1.0385994321784539E-3</v>
      </c>
      <c r="E101">
        <v>1.0954937820362689</v>
      </c>
      <c r="F101">
        <v>0.29959951865419332</v>
      </c>
    </row>
    <row r="102" spans="1:9">
      <c r="A102" t="s">
        <v>47</v>
      </c>
      <c r="B102">
        <v>58</v>
      </c>
      <c r="C102">
        <v>5.4987776338064134E-2</v>
      </c>
      <c r="D102">
        <v>9.4806510927696779E-4</v>
      </c>
    </row>
    <row r="103" spans="1:9" ht="17.25" thickBot="1">
      <c r="A103" s="24" t="s">
        <v>48</v>
      </c>
      <c r="B103" s="24">
        <v>59</v>
      </c>
      <c r="C103" s="24">
        <v>5.6026375770242588E-2</v>
      </c>
      <c r="D103" s="24"/>
      <c r="E103" s="24"/>
      <c r="F103" s="24"/>
    </row>
    <row r="104" spans="1:9" ht="17.25" thickBot="1"/>
    <row r="105" spans="1:9">
      <c r="A105" s="28"/>
      <c r="B105" s="28" t="s">
        <v>55</v>
      </c>
      <c r="C105" s="28" t="s">
        <v>43</v>
      </c>
      <c r="D105" s="28" t="s">
        <v>56</v>
      </c>
      <c r="E105" s="28" t="s">
        <v>57</v>
      </c>
      <c r="F105" s="28" t="s">
        <v>58</v>
      </c>
      <c r="G105" s="28" t="s">
        <v>59</v>
      </c>
      <c r="H105" s="28" t="s">
        <v>60</v>
      </c>
      <c r="I105" s="28" t="s">
        <v>61</v>
      </c>
    </row>
    <row r="106" spans="1:9">
      <c r="A106" t="s">
        <v>49</v>
      </c>
      <c r="B106">
        <v>-7.0182794047517823E-4</v>
      </c>
      <c r="C106">
        <v>4.1447123693372266E-3</v>
      </c>
      <c r="D106">
        <v>-0.16933091561849592</v>
      </c>
      <c r="E106">
        <v>0.86612556110155969</v>
      </c>
      <c r="F106">
        <v>-8.9983711569305291E-3</v>
      </c>
      <c r="G106">
        <v>7.594715275980172E-3</v>
      </c>
      <c r="H106">
        <v>-8.9983711569305291E-3</v>
      </c>
      <c r="I106">
        <v>7.594715275980172E-3</v>
      </c>
    </row>
    <row r="107" spans="1:9" ht="17.25" thickBot="1">
      <c r="A107" s="24" t="s">
        <v>62</v>
      </c>
      <c r="B107" s="32">
        <v>7.119916272379774E-2</v>
      </c>
      <c r="C107" s="24">
        <v>6.8025215783845017E-2</v>
      </c>
      <c r="D107" s="24">
        <v>1.0466583884134697</v>
      </c>
      <c r="E107" s="24">
        <v>0.29959951865419177</v>
      </c>
      <c r="F107" s="24">
        <v>-6.4968101073477239E-2</v>
      </c>
      <c r="G107" s="24">
        <v>0.20736642652107273</v>
      </c>
      <c r="H107" s="24">
        <v>-6.4968101073477239E-2</v>
      </c>
      <c r="I107" s="24">
        <v>0.20736642652107273</v>
      </c>
    </row>
  </sheetData>
  <mergeCells count="1">
    <mergeCell ref="W35:X35"/>
  </mergeCells>
  <phoneticPr fontId="17" type="noConversion"/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DSMT4" shapeId="4097" r:id="rId3">
          <objectPr defaultSize="0" autoPict="0" r:id="rId4">
            <anchor moveWithCells="1" sizeWithCells="1">
              <from>
                <xdr:col>15</xdr:col>
                <xdr:colOff>0</xdr:colOff>
                <xdr:row>54</xdr:row>
                <xdr:rowOff>180975</xdr:rowOff>
              </from>
              <to>
                <xdr:col>15</xdr:col>
                <xdr:colOff>447675</xdr:colOff>
                <xdr:row>56</xdr:row>
                <xdr:rowOff>19050</xdr:rowOff>
              </to>
            </anchor>
          </objectPr>
        </oleObject>
      </mc:Choice>
      <mc:Fallback>
        <oleObject progId="Equation.DSMT4" shapeId="4097" r:id="rId3"/>
      </mc:Fallback>
    </mc:AlternateContent>
    <mc:AlternateContent xmlns:mc="http://schemas.openxmlformats.org/markup-compatibility/2006">
      <mc:Choice Requires="x14">
        <oleObject progId="Equation.DSMT4" shapeId="4098" r:id="rId5">
          <objectPr defaultSize="0" autoPict="0" r:id="rId6">
            <anchor moveWithCells="1" sizeWithCells="1">
              <from>
                <xdr:col>15</xdr:col>
                <xdr:colOff>0</xdr:colOff>
                <xdr:row>56</xdr:row>
                <xdr:rowOff>0</xdr:rowOff>
              </from>
              <to>
                <xdr:col>15</xdr:col>
                <xdr:colOff>619125</xdr:colOff>
                <xdr:row>57</xdr:row>
                <xdr:rowOff>28575</xdr:rowOff>
              </to>
            </anchor>
          </objectPr>
        </oleObject>
      </mc:Choice>
      <mc:Fallback>
        <oleObject progId="Equation.DSMT4" shapeId="4098" r:id="rId5"/>
      </mc:Fallback>
    </mc:AlternateContent>
    <mc:AlternateContent xmlns:mc="http://schemas.openxmlformats.org/markup-compatibility/2006">
      <mc:Choice Requires="x14">
        <oleObject progId="Equation.DSMT4" shapeId="4099" r:id="rId7">
          <objectPr defaultSize="0" autoPict="0" r:id="rId8">
            <anchor moveWithCells="1" sizeWithCells="1">
              <from>
                <xdr:col>15</xdr:col>
                <xdr:colOff>0</xdr:colOff>
                <xdr:row>57</xdr:row>
                <xdr:rowOff>0</xdr:rowOff>
              </from>
              <to>
                <xdr:col>15</xdr:col>
                <xdr:colOff>219075</xdr:colOff>
                <xdr:row>58</xdr:row>
                <xdr:rowOff>38100</xdr:rowOff>
              </to>
            </anchor>
          </objectPr>
        </oleObject>
      </mc:Choice>
      <mc:Fallback>
        <oleObject progId="Equation.DSMT4" shapeId="4099" r:id="rId7"/>
      </mc:Fallback>
    </mc:AlternateContent>
    <mc:AlternateContent xmlns:mc="http://schemas.openxmlformats.org/markup-compatibility/2006">
      <mc:Choice Requires="x14">
        <oleObject progId="Equation.DSMT4" shapeId="4100" r:id="rId9">
          <objectPr defaultSize="0" autoPict="0" r:id="rId10">
            <anchor moveWithCells="1" sizeWithCells="1">
              <from>
                <xdr:col>15</xdr:col>
                <xdr:colOff>0</xdr:colOff>
                <xdr:row>58</xdr:row>
                <xdr:rowOff>0</xdr:rowOff>
              </from>
              <to>
                <xdr:col>15</xdr:col>
                <xdr:colOff>409575</xdr:colOff>
                <xdr:row>59</xdr:row>
                <xdr:rowOff>38100</xdr:rowOff>
              </to>
            </anchor>
          </objectPr>
        </oleObject>
      </mc:Choice>
      <mc:Fallback>
        <oleObject progId="Equation.DSMT4" shapeId="4100" r:id="rId9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F89E1-D21C-4163-AEFB-4B7618C140D3}">
  <dimension ref="A1:AG107"/>
  <sheetViews>
    <sheetView workbookViewId="0">
      <selection activeCell="O41" sqref="O41"/>
    </sheetView>
  </sheetViews>
  <sheetFormatPr defaultRowHeight="16.5"/>
  <cols>
    <col min="13" max="13" width="17.125" bestFit="1" customWidth="1"/>
    <col min="14" max="14" width="17.125" customWidth="1"/>
    <col min="15" max="16" width="10.875" bestFit="1" customWidth="1"/>
    <col min="17" max="17" width="14.5" customWidth="1"/>
    <col min="18" max="18" width="14.625" customWidth="1"/>
    <col min="19" max="20" width="10.875" bestFit="1" customWidth="1"/>
    <col min="21" max="21" width="10.875" customWidth="1"/>
    <col min="23" max="23" width="17.125" customWidth="1"/>
    <col min="26" max="26" width="14.25" bestFit="1" customWidth="1"/>
    <col min="27" max="27" width="8" bestFit="1" customWidth="1"/>
  </cols>
  <sheetData>
    <row r="1" spans="1:21">
      <c r="A1" s="31" t="s">
        <v>32</v>
      </c>
    </row>
    <row r="2" spans="1:21">
      <c r="A2" t="s">
        <v>38</v>
      </c>
      <c r="L2" s="26" t="s">
        <v>73</v>
      </c>
      <c r="M2" s="33" t="s">
        <v>70</v>
      </c>
      <c r="P2" s="26" t="s">
        <v>69</v>
      </c>
      <c r="Q2" s="26" t="s">
        <v>69</v>
      </c>
      <c r="R2" s="26" t="s">
        <v>69</v>
      </c>
    </row>
    <row r="3" spans="1:21" ht="17.25" thickBot="1">
      <c r="N3" s="26" t="s">
        <v>68</v>
      </c>
      <c r="O3" s="26" t="s">
        <v>63</v>
      </c>
      <c r="P3" s="26" t="s">
        <v>66</v>
      </c>
      <c r="Q3" s="26" t="s">
        <v>64</v>
      </c>
      <c r="R3" s="26" t="s">
        <v>65</v>
      </c>
    </row>
    <row r="4" spans="1:21" ht="17.25" thickBot="1">
      <c r="A4" s="29" t="s">
        <v>39</v>
      </c>
      <c r="B4" s="29"/>
      <c r="M4" s="25" t="s">
        <v>32</v>
      </c>
      <c r="N4" s="30" t="e">
        <f>(_xlfn.VAR.S('raw data'!J2:J61)*12)^0.5</f>
        <v>#DIV/0!</v>
      </c>
      <c r="O4">
        <f>B19</f>
        <v>0.18677273322136406</v>
      </c>
      <c r="P4" t="e">
        <f>O4*$N$9</f>
        <v>#DIV/0!</v>
      </c>
      <c r="Q4">
        <f>B8</f>
        <v>6.269498925785133E-2</v>
      </c>
      <c r="R4">
        <f>Q4*12^0.5</f>
        <v>0.21718181354916696</v>
      </c>
    </row>
    <row r="5" spans="1:21" ht="17.25" thickBot="1">
      <c r="A5" t="s">
        <v>40</v>
      </c>
      <c r="B5">
        <v>0.17434634730851037</v>
      </c>
      <c r="M5" s="25" t="s">
        <v>33</v>
      </c>
      <c r="N5" s="30" t="e">
        <f>(_xlfn.VAR.S('raw data'!K2:K61)*12)^0.5</f>
        <v>#DIV/0!</v>
      </c>
      <c r="O5">
        <f>B41</f>
        <v>0.49480220586864637</v>
      </c>
      <c r="P5" t="e">
        <f>O5*$N$9</f>
        <v>#DIV/0!</v>
      </c>
      <c r="Q5">
        <f>B30</f>
        <v>8.9317371703463669E-2</v>
      </c>
      <c r="R5">
        <f>Q5*12^0.5</f>
        <v>0.30940445157782764</v>
      </c>
    </row>
    <row r="6" spans="1:21" ht="17.25" thickBot="1">
      <c r="A6" t="s">
        <v>41</v>
      </c>
      <c r="B6">
        <v>3.0396648819819717E-2</v>
      </c>
      <c r="M6" s="25" t="s">
        <v>34</v>
      </c>
      <c r="N6" s="30" t="e">
        <f>(_xlfn.VAR.S('raw data'!L2:L61)*12)^0.5</f>
        <v>#DIV/0!</v>
      </c>
      <c r="O6">
        <f>B63</f>
        <v>0.81503999790231463</v>
      </c>
      <c r="P6" t="e">
        <f>O6*$N$9</f>
        <v>#DIV/0!</v>
      </c>
      <c r="Q6">
        <f>B52</f>
        <v>0.11249397064309177</v>
      </c>
      <c r="R6">
        <f>Q6*12^0.5</f>
        <v>0.38969054539799336</v>
      </c>
    </row>
    <row r="7" spans="1:21" ht="17.25" thickBot="1">
      <c r="A7" t="s">
        <v>42</v>
      </c>
      <c r="B7">
        <v>1.3679349661540744E-2</v>
      </c>
      <c r="M7" s="25" t="s">
        <v>35</v>
      </c>
      <c r="N7" s="30" t="e">
        <f>(_xlfn.VAR.S('raw data'!M2:M61)*12)^0.5</f>
        <v>#DIV/0!</v>
      </c>
      <c r="O7">
        <f>B85</f>
        <v>0.57436738957326805</v>
      </c>
      <c r="P7" t="e">
        <f>O7*$N$9</f>
        <v>#DIV/0!</v>
      </c>
      <c r="Q7">
        <f>B74</f>
        <v>4.8246701782387651E-2</v>
      </c>
      <c r="R7">
        <f>Q7*12^0.5</f>
        <v>0.16713147756943864</v>
      </c>
    </row>
    <row r="8" spans="1:21" ht="17.25" thickBot="1">
      <c r="A8" t="s">
        <v>43</v>
      </c>
      <c r="B8" s="33">
        <v>6.269498925785133E-2</v>
      </c>
      <c r="M8" s="25" t="s">
        <v>36</v>
      </c>
      <c r="N8" s="30" t="e">
        <f>(_xlfn.VAR.S('raw data'!N2:N61)*12)^0.5</f>
        <v>#DIV/0!</v>
      </c>
      <c r="O8">
        <f>B107</f>
        <v>7.119916272379774E-2</v>
      </c>
      <c r="P8" t="e">
        <f>O8*$N$9</f>
        <v>#DIV/0!</v>
      </c>
      <c r="Q8">
        <f>B96</f>
        <v>3.0790665944031931E-2</v>
      </c>
      <c r="R8">
        <f>Q8*12^0.5</f>
        <v>0.10666199562788806</v>
      </c>
    </row>
    <row r="9" spans="1:21" ht="17.25" thickBot="1">
      <c r="A9" s="24" t="s">
        <v>44</v>
      </c>
      <c r="B9" s="24">
        <v>60</v>
      </c>
      <c r="M9" s="25" t="s">
        <v>37</v>
      </c>
      <c r="N9" s="30" t="e">
        <f>(_xlfn.VAR.S('raw data'!O2:O61)*12)^0.5</f>
        <v>#DIV/0!</v>
      </c>
      <c r="O9">
        <v>1</v>
      </c>
      <c r="P9" t="e">
        <f>O9*N9</f>
        <v>#DIV/0!</v>
      </c>
      <c r="Q9">
        <v>0</v>
      </c>
      <c r="R9">
        <v>0</v>
      </c>
    </row>
    <row r="10" spans="1:21">
      <c r="M10" s="30"/>
      <c r="N10" s="30"/>
    </row>
    <row r="11" spans="1:21" ht="17.25" thickBot="1">
      <c r="A11" t="s">
        <v>45</v>
      </c>
      <c r="L11" s="26" t="s">
        <v>74</v>
      </c>
      <c r="M11" s="30" t="s">
        <v>72</v>
      </c>
    </row>
    <row r="12" spans="1:21">
      <c r="A12" s="28"/>
      <c r="B12" s="28" t="s">
        <v>50</v>
      </c>
      <c r="C12" s="28" t="s">
        <v>51</v>
      </c>
      <c r="D12" s="28" t="s">
        <v>52</v>
      </c>
      <c r="E12" s="28" t="s">
        <v>53</v>
      </c>
      <c r="F12" s="28" t="s">
        <v>54</v>
      </c>
      <c r="M12" s="30"/>
      <c r="O12" s="25" t="s">
        <v>32</v>
      </c>
      <c r="P12" s="25" t="s">
        <v>33</v>
      </c>
      <c r="Q12" s="25" t="s">
        <v>34</v>
      </c>
      <c r="R12" s="25" t="s">
        <v>35</v>
      </c>
      <c r="S12" s="25" t="s">
        <v>36</v>
      </c>
      <c r="T12" s="25" t="s">
        <v>37</v>
      </c>
      <c r="U12" s="30"/>
    </row>
    <row r="13" spans="1:21" ht="17.25" thickBot="1">
      <c r="A13" t="s">
        <v>46</v>
      </c>
      <c r="B13">
        <v>1</v>
      </c>
      <c r="C13">
        <v>7.1470242606622714E-3</v>
      </c>
      <c r="D13">
        <v>7.1470242606622714E-3</v>
      </c>
      <c r="E13">
        <v>1.8182751012603773</v>
      </c>
      <c r="F13">
        <v>0.18276095836222991</v>
      </c>
      <c r="N13" s="26" t="s">
        <v>63</v>
      </c>
      <c r="O13" s="34">
        <v>0.18677273322136406</v>
      </c>
      <c r="P13" s="34">
        <v>0.49480220586864637</v>
      </c>
      <c r="Q13" s="34">
        <v>0.81503999790231463</v>
      </c>
      <c r="R13" s="34">
        <v>0.57436738957326805</v>
      </c>
      <c r="S13" s="34">
        <v>7.119916272379774E-2</v>
      </c>
      <c r="T13" s="34">
        <v>1</v>
      </c>
      <c r="U13" s="34"/>
    </row>
    <row r="14" spans="1:21" ht="17.25" thickBot="1">
      <c r="A14" t="s">
        <v>47</v>
      </c>
      <c r="B14">
        <v>58</v>
      </c>
      <c r="C14">
        <v>0.22797837732644138</v>
      </c>
      <c r="D14">
        <v>3.9306616780420932E-3</v>
      </c>
      <c r="M14" s="25" t="s">
        <v>32</v>
      </c>
      <c r="N14" s="34">
        <v>0.18677273322136406</v>
      </c>
      <c r="O14" s="34" t="e">
        <f>O4*O4*N9*N9+R4*R4</f>
        <v>#DIV/0!</v>
      </c>
      <c r="P14" s="34">
        <v>3.8509922403997081E-3</v>
      </c>
      <c r="Q14" s="34">
        <v>6.3433684618019511E-3</v>
      </c>
      <c r="R14" s="34">
        <v>4.4702394899437323E-3</v>
      </c>
      <c r="S14" s="34">
        <v>5.5413540990779042E-4</v>
      </c>
      <c r="T14" s="34">
        <v>7.7828922238516035E-3</v>
      </c>
      <c r="U14" s="34"/>
    </row>
    <row r="15" spans="1:21" ht="17.25" thickBot="1">
      <c r="A15" s="24" t="s">
        <v>48</v>
      </c>
      <c r="B15" s="24">
        <v>59</v>
      </c>
      <c r="C15" s="24">
        <v>0.23512540158710366</v>
      </c>
      <c r="D15" s="24"/>
      <c r="E15" s="24"/>
      <c r="F15" s="24"/>
      <c r="M15" s="25" t="s">
        <v>33</v>
      </c>
      <c r="N15" s="34">
        <v>0.49480220586864637</v>
      </c>
      <c r="O15" s="34" t="e">
        <f>$O$4*O5*$N$9*$N$9</f>
        <v>#DIV/0!</v>
      </c>
      <c r="P15" s="34" t="e">
        <f>O5*O5*N9*N9+R5*R5</f>
        <v>#DIV/0!</v>
      </c>
      <c r="Q15" s="34">
        <v>1.6804983540167975E-2</v>
      </c>
      <c r="R15" s="34">
        <v>1.184265134549246E-2</v>
      </c>
      <c r="S15" s="34">
        <v>1.4680270425091056E-3</v>
      </c>
      <c r="T15" s="34">
        <v>2.0618599802978151E-2</v>
      </c>
      <c r="U15" s="34"/>
    </row>
    <row r="16" spans="1:21" ht="17.25" thickBot="1">
      <c r="M16" s="25" t="s">
        <v>34</v>
      </c>
      <c r="N16" s="34">
        <v>0.81503999790231463</v>
      </c>
      <c r="O16" s="34" t="e">
        <f>$O$4*O6*$N$9*$N$9</f>
        <v>#DIV/0!</v>
      </c>
      <c r="P16" s="34" t="e">
        <f>$O$5*O6*$N$9*$N$9</f>
        <v>#DIV/0!</v>
      </c>
      <c r="Q16" s="34" t="e">
        <f>O6*O6*N9*N9+R6*R6</f>
        <v>#DIV/0!</v>
      </c>
      <c r="R16" s="34">
        <v>1.9507258482898453E-2</v>
      </c>
      <c r="S16" s="34">
        <v>2.4181394978760339E-3</v>
      </c>
      <c r="T16" s="34">
        <v>3.3963032785325024E-2</v>
      </c>
      <c r="U16" s="34"/>
    </row>
    <row r="17" spans="1:21" ht="17.25" thickBot="1">
      <c r="A17" s="28"/>
      <c r="B17" s="28" t="s">
        <v>55</v>
      </c>
      <c r="C17" s="28" t="s">
        <v>43</v>
      </c>
      <c r="D17" s="28" t="s">
        <v>56</v>
      </c>
      <c r="E17" s="28" t="s">
        <v>57</v>
      </c>
      <c r="F17" s="28" t="s">
        <v>58</v>
      </c>
      <c r="G17" s="28" t="s">
        <v>59</v>
      </c>
      <c r="H17" s="28" t="s">
        <v>60</v>
      </c>
      <c r="I17" s="28" t="s">
        <v>61</v>
      </c>
      <c r="M17" s="25" t="s">
        <v>35</v>
      </c>
      <c r="N17" s="34">
        <v>0.57436738957326805</v>
      </c>
      <c r="O17" s="34" t="e">
        <f>$O$4*O7*$N$9*$N$9</f>
        <v>#DIV/0!</v>
      </c>
      <c r="P17" s="34" t="e">
        <f>$O$5*O7*$N$9*$N$9</f>
        <v>#DIV/0!</v>
      </c>
      <c r="Q17" s="34" t="e">
        <f>$O$6*O7*$N$9*$N$9</f>
        <v>#DIV/0!</v>
      </c>
      <c r="R17" s="34" t="e">
        <f>O7*O7*N9*N9+R7*R7</f>
        <v>#DIV/0!</v>
      </c>
      <c r="S17" s="34">
        <v>1.7040887252082262E-3</v>
      </c>
      <c r="T17" s="34">
        <v>2.3934111863349882E-2</v>
      </c>
      <c r="U17" s="34"/>
    </row>
    <row r="18" spans="1:21" ht="17.25" thickBot="1">
      <c r="A18" t="s">
        <v>49</v>
      </c>
      <c r="B18">
        <v>-1.0152993902384031E-2</v>
      </c>
      <c r="C18">
        <v>8.4393334637456081E-3</v>
      </c>
      <c r="D18">
        <v>-1.203056372401933</v>
      </c>
      <c r="E18">
        <v>0.23384241845157477</v>
      </c>
      <c r="F18">
        <v>-2.7046155251295584E-2</v>
      </c>
      <c r="G18">
        <v>6.7401674465275216E-3</v>
      </c>
      <c r="H18">
        <v>-2.7046155251295584E-2</v>
      </c>
      <c r="I18">
        <v>6.7401674465275216E-3</v>
      </c>
      <c r="M18" s="25" t="s">
        <v>36</v>
      </c>
      <c r="N18" s="34">
        <v>7.119916272379774E-2</v>
      </c>
      <c r="O18" s="34" t="e">
        <f>$O$4*O8*$N$9*$N$9</f>
        <v>#DIV/0!</v>
      </c>
      <c r="P18" s="34" t="e">
        <f>$O$5*O8*$N$9*$N$9</f>
        <v>#DIV/0!</v>
      </c>
      <c r="Q18" s="34" t="e">
        <f>$O$6*O8*$N$9*$N$9</f>
        <v>#DIV/0!</v>
      </c>
      <c r="R18" s="34" t="e">
        <f>$O$7*O8*$N$9*$N$9</f>
        <v>#DIV/0!</v>
      </c>
      <c r="S18" s="34" t="e">
        <f>O8*O8*N9*N9+R8*R8</f>
        <v>#DIV/0!</v>
      </c>
      <c r="T18" s="34">
        <v>2.9668967217555578E-3</v>
      </c>
      <c r="U18" s="34"/>
    </row>
    <row r="19" spans="1:21" ht="17.25" thickBot="1">
      <c r="A19" s="24" t="s">
        <v>62</v>
      </c>
      <c r="B19" s="32">
        <v>0.18677273322136406</v>
      </c>
      <c r="C19" s="24">
        <v>0.13851081300363444</v>
      </c>
      <c r="D19" s="24">
        <v>1.3484343147741344</v>
      </c>
      <c r="E19" s="24">
        <v>0.18276095836222742</v>
      </c>
      <c r="F19" s="24">
        <v>-9.0486782911182173E-2</v>
      </c>
      <c r="G19" s="24">
        <v>0.4640322493539103</v>
      </c>
      <c r="H19" s="24">
        <v>-9.0486782911182173E-2</v>
      </c>
      <c r="I19" s="24">
        <v>0.4640322493539103</v>
      </c>
      <c r="M19" s="25" t="s">
        <v>37</v>
      </c>
      <c r="N19" s="34">
        <v>1</v>
      </c>
      <c r="O19" s="34" t="e">
        <f>$O$4*O9*$N$9*$N$9</f>
        <v>#DIV/0!</v>
      </c>
      <c r="P19" s="34" t="e">
        <f>$O$5*O9*$N$9*$N$9</f>
        <v>#DIV/0!</v>
      </c>
      <c r="Q19" s="34" t="e">
        <f>$O$6*O9*$N$9*$N$9</f>
        <v>#DIV/0!</v>
      </c>
      <c r="R19" s="34" t="e">
        <f>$O$7*O9*$N$9*$N$9</f>
        <v>#DIV/0!</v>
      </c>
      <c r="S19" s="34" t="e">
        <f>$O$8*O9*N9*N9</f>
        <v>#DIV/0!</v>
      </c>
      <c r="T19" s="34" t="e">
        <f>O9*O9*N9*N9+R9*R9</f>
        <v>#DIV/0!</v>
      </c>
      <c r="U19" s="34"/>
    </row>
    <row r="20" spans="1:21">
      <c r="N20" s="26" t="s">
        <v>71</v>
      </c>
      <c r="T20" s="26" t="s">
        <v>71</v>
      </c>
      <c r="U20" s="26"/>
    </row>
    <row r="21" spans="1:21" ht="17.25" thickBot="1">
      <c r="L21" s="26" t="s">
        <v>75</v>
      </c>
      <c r="N21" s="26" t="s">
        <v>76</v>
      </c>
      <c r="O21" s="26" t="s">
        <v>78</v>
      </c>
    </row>
    <row r="22" spans="1:21" ht="17.25" thickBot="1">
      <c r="M22" s="25" t="s">
        <v>32</v>
      </c>
      <c r="N22" s="34">
        <v>0.04</v>
      </c>
      <c r="O22" s="35">
        <f t="shared" ref="O22:O27" si="0">N22-$N$28</f>
        <v>2.7000000000000003E-2</v>
      </c>
    </row>
    <row r="23" spans="1:21" ht="17.25" thickBot="1">
      <c r="A23" s="31" t="s">
        <v>33</v>
      </c>
      <c r="M23" s="25" t="s">
        <v>33</v>
      </c>
      <c r="N23" s="34">
        <v>0.12</v>
      </c>
      <c r="O23" s="35">
        <f t="shared" si="0"/>
        <v>0.107</v>
      </c>
    </row>
    <row r="24" spans="1:21" ht="17.25" thickBot="1">
      <c r="A24" t="s">
        <v>38</v>
      </c>
      <c r="M24" s="25" t="s">
        <v>34</v>
      </c>
      <c r="N24" s="34">
        <v>7.0000000000000007E-2</v>
      </c>
      <c r="O24" s="35">
        <f t="shared" si="0"/>
        <v>5.7000000000000009E-2</v>
      </c>
    </row>
    <row r="25" spans="1:21" ht="17.25" thickBot="1">
      <c r="M25" s="25" t="s">
        <v>35</v>
      </c>
      <c r="N25" s="34">
        <v>0.09</v>
      </c>
      <c r="O25" s="35">
        <f t="shared" si="0"/>
        <v>7.6999999999999999E-2</v>
      </c>
    </row>
    <row r="26" spans="1:21" ht="17.25" thickBot="1">
      <c r="A26" s="29" t="s">
        <v>39</v>
      </c>
      <c r="B26" s="29"/>
      <c r="M26" s="25" t="s">
        <v>36</v>
      </c>
      <c r="N26" s="34">
        <v>0.18</v>
      </c>
      <c r="O26" s="35">
        <f t="shared" si="0"/>
        <v>0.16699999999999998</v>
      </c>
    </row>
    <row r="27" spans="1:21">
      <c r="A27" t="s">
        <v>40</v>
      </c>
      <c r="B27">
        <v>0.31273825285826812</v>
      </c>
      <c r="M27" s="25" t="s">
        <v>37</v>
      </c>
      <c r="N27" s="34">
        <v>0.06</v>
      </c>
      <c r="O27" s="35">
        <f t="shared" si="0"/>
        <v>4.7E-2</v>
      </c>
    </row>
    <row r="28" spans="1:21">
      <c r="A28" t="s">
        <v>41</v>
      </c>
      <c r="B28">
        <v>9.7805214800842033E-2</v>
      </c>
      <c r="M28" s="30" t="s">
        <v>77</v>
      </c>
      <c r="N28" s="34">
        <v>1.2999999999999999E-2</v>
      </c>
      <c r="O28" s="35"/>
    </row>
    <row r="29" spans="1:21" ht="17.25" thickBot="1">
      <c r="A29" t="s">
        <v>42</v>
      </c>
      <c r="B29">
        <v>8.2250132297408282E-2</v>
      </c>
    </row>
    <row r="30" spans="1:21">
      <c r="A30" t="s">
        <v>43</v>
      </c>
      <c r="B30" s="33">
        <v>8.9317371703463669E-2</v>
      </c>
      <c r="N30" s="25" t="s">
        <v>32</v>
      </c>
      <c r="O30" s="25" t="s">
        <v>33</v>
      </c>
      <c r="P30" s="25" t="s">
        <v>34</v>
      </c>
      <c r="Q30" s="25" t="s">
        <v>35</v>
      </c>
      <c r="R30" s="25" t="s">
        <v>36</v>
      </c>
      <c r="S30" s="25" t="s">
        <v>37</v>
      </c>
    </row>
    <row r="31" spans="1:21" ht="17.25" thickBot="1">
      <c r="A31" s="24" t="s">
        <v>44</v>
      </c>
      <c r="B31" s="24">
        <v>60</v>
      </c>
      <c r="M31" s="36" t="s">
        <v>79</v>
      </c>
      <c r="N31" s="34">
        <f t="shared" ref="N31:S31" si="1">N32-O13*$S$32</f>
        <v>1.8221681538595894E-2</v>
      </c>
      <c r="O31" s="34">
        <f t="shared" si="1"/>
        <v>8.3744296324173614E-2</v>
      </c>
      <c r="P31" s="34">
        <f t="shared" si="1"/>
        <v>1.8693120098591219E-2</v>
      </c>
      <c r="Q31" s="34">
        <f t="shared" si="1"/>
        <v>5.0004732690056397E-2</v>
      </c>
      <c r="R31" s="34">
        <f t="shared" si="1"/>
        <v>0.16365363935198149</v>
      </c>
      <c r="S31" s="34">
        <f t="shared" si="1"/>
        <v>0</v>
      </c>
    </row>
    <row r="32" spans="1:21">
      <c r="M32" s="37" t="s">
        <v>80</v>
      </c>
      <c r="N32" s="35">
        <f>O22</f>
        <v>2.7000000000000003E-2</v>
      </c>
      <c r="O32" s="35">
        <f>O23</f>
        <v>0.107</v>
      </c>
      <c r="P32" s="35">
        <f>O24</f>
        <v>5.7000000000000009E-2</v>
      </c>
      <c r="Q32" s="35">
        <f>O25</f>
        <v>7.6999999999999999E-2</v>
      </c>
      <c r="R32" s="35">
        <f>O26</f>
        <v>0.16699999999999998</v>
      </c>
      <c r="S32" s="35">
        <f>O27</f>
        <v>4.7E-2</v>
      </c>
    </row>
    <row r="33" spans="1:33" ht="17.25" thickBot="1">
      <c r="A33" t="s">
        <v>45</v>
      </c>
    </row>
    <row r="34" spans="1:33">
      <c r="A34" s="28"/>
      <c r="B34" s="28" t="s">
        <v>50</v>
      </c>
      <c r="C34" s="28" t="s">
        <v>51</v>
      </c>
      <c r="D34" s="28" t="s">
        <v>52</v>
      </c>
      <c r="E34" s="28" t="s">
        <v>53</v>
      </c>
      <c r="F34" s="28" t="s">
        <v>54</v>
      </c>
    </row>
    <row r="35" spans="1:33">
      <c r="A35" t="s">
        <v>46</v>
      </c>
      <c r="B35">
        <v>1</v>
      </c>
      <c r="C35">
        <v>5.016046593347917E-2</v>
      </c>
      <c r="D35">
        <v>5.016046593347917E-2</v>
      </c>
      <c r="E35">
        <v>6.2876693054666672</v>
      </c>
      <c r="F35">
        <v>1.497979289739222E-2</v>
      </c>
      <c r="M35" s="3"/>
      <c r="N35" s="1"/>
      <c r="O35" s="38"/>
      <c r="P35" s="1"/>
      <c r="Q35" s="1"/>
      <c r="R35" s="1"/>
      <c r="S35" s="1"/>
      <c r="T35" s="1"/>
      <c r="U35" s="1"/>
      <c r="V35" s="1"/>
      <c r="W35" s="105" t="s">
        <v>89</v>
      </c>
      <c r="X35" s="106"/>
      <c r="Y35" s="1"/>
      <c r="Z35" s="1"/>
      <c r="AA35" s="1"/>
      <c r="AB35" s="1"/>
      <c r="AC35" s="1"/>
      <c r="AD35" s="1"/>
      <c r="AE35" s="1"/>
      <c r="AF35" s="1"/>
      <c r="AG35" s="1"/>
    </row>
    <row r="36" spans="1:33">
      <c r="A36" t="s">
        <v>47</v>
      </c>
      <c r="B36">
        <v>58</v>
      </c>
      <c r="C36">
        <v>0.46270038750485226</v>
      </c>
      <c r="D36">
        <v>7.9775928880146934E-3</v>
      </c>
      <c r="L36" s="26" t="s">
        <v>104</v>
      </c>
      <c r="M36" s="1"/>
      <c r="N36" s="1"/>
      <c r="O36" s="1"/>
      <c r="P36" s="1"/>
      <c r="Q36" s="1"/>
      <c r="R36" s="1"/>
      <c r="S36" s="1"/>
      <c r="T36" s="1"/>
      <c r="U36" s="1"/>
      <c r="V36" s="1"/>
      <c r="W36" s="39"/>
      <c r="X36" s="40"/>
      <c r="Y36" s="1"/>
      <c r="Z36" s="1"/>
      <c r="AA36" s="1"/>
      <c r="AB36" s="1"/>
      <c r="AC36" s="1"/>
      <c r="AD36" s="1"/>
      <c r="AE36" s="1"/>
      <c r="AF36" s="1"/>
      <c r="AG36" s="1"/>
    </row>
    <row r="37" spans="1:33" ht="17.25" thickBot="1">
      <c r="A37" s="24" t="s">
        <v>48</v>
      </c>
      <c r="B37" s="24">
        <v>59</v>
      </c>
      <c r="C37" s="24">
        <v>0.51286085343833143</v>
      </c>
      <c r="D37" s="24"/>
      <c r="E37" s="24"/>
      <c r="F37" s="24"/>
      <c r="M37" s="1"/>
      <c r="N37" s="1"/>
      <c r="O37" s="1"/>
      <c r="P37" s="1"/>
      <c r="Q37" s="1"/>
      <c r="R37" s="1"/>
      <c r="S37" s="1"/>
      <c r="T37" s="1"/>
      <c r="U37" s="1"/>
      <c r="V37" s="1"/>
      <c r="W37" s="40"/>
      <c r="X37" s="40"/>
      <c r="Y37" s="1" t="s">
        <v>83</v>
      </c>
      <c r="Z37" s="1"/>
      <c r="AA37" s="1"/>
      <c r="AB37" s="1"/>
      <c r="AC37" s="1" t="s">
        <v>84</v>
      </c>
      <c r="AD37" s="1"/>
      <c r="AE37" s="1"/>
      <c r="AF37" s="1"/>
      <c r="AG37" s="1"/>
    </row>
    <row r="38" spans="1:33" ht="17.25" thickBot="1">
      <c r="M38" s="3" t="s">
        <v>90</v>
      </c>
      <c r="N38" s="1"/>
      <c r="O38" s="1"/>
      <c r="P38" s="1"/>
      <c r="Q38" s="1"/>
      <c r="R38" s="1"/>
      <c r="S38" s="1"/>
      <c r="T38" s="1"/>
      <c r="U38" s="1"/>
      <c r="V38" s="1"/>
      <c r="W38" s="41" t="s">
        <v>81</v>
      </c>
      <c r="X38" s="41"/>
      <c r="Y38" s="15">
        <v>0.13008449113623954</v>
      </c>
      <c r="Z38" s="15">
        <v>0.13700000000000001</v>
      </c>
      <c r="AA38" s="15">
        <v>0.14299999999999999</v>
      </c>
      <c r="AB38" s="15">
        <v>0.14899999999999999</v>
      </c>
      <c r="AC38" s="15">
        <v>0.15649277267872536</v>
      </c>
      <c r="AD38" s="15">
        <v>0.16</v>
      </c>
      <c r="AE38" s="15">
        <v>0.16200000000000001</v>
      </c>
      <c r="AF38" s="15">
        <v>0.16400000000000001</v>
      </c>
      <c r="AG38" s="15">
        <v>0.16600000000000001</v>
      </c>
    </row>
    <row r="39" spans="1:33" ht="17.25" thickBot="1">
      <c r="A39" s="28"/>
      <c r="B39" s="28" t="s">
        <v>55</v>
      </c>
      <c r="C39" s="28" t="s">
        <v>43</v>
      </c>
      <c r="D39" s="28" t="s">
        <v>56</v>
      </c>
      <c r="E39" s="28" t="s">
        <v>57</v>
      </c>
      <c r="F39" s="28" t="s">
        <v>58</v>
      </c>
      <c r="G39" s="28" t="s">
        <v>59</v>
      </c>
      <c r="H39" s="28" t="s">
        <v>60</v>
      </c>
      <c r="I39" s="28" t="s">
        <v>61</v>
      </c>
      <c r="M39" s="3" t="s">
        <v>85</v>
      </c>
      <c r="N39" s="1"/>
      <c r="O39" s="42">
        <f>M41</f>
        <v>2.4100025958962813E-2</v>
      </c>
      <c r="P39" s="42">
        <f>M42</f>
        <v>5.4573803178726066E-2</v>
      </c>
      <c r="Q39" s="42">
        <f>M43</f>
        <v>7.6789454280751486E-3</v>
      </c>
      <c r="R39" s="42">
        <f>M44</f>
        <v>0.111679968299933</v>
      </c>
      <c r="S39" s="42">
        <f>M45</f>
        <v>0.89740582382683343</v>
      </c>
      <c r="T39" s="42">
        <f>M46</f>
        <v>-9.5438565308069809E-2</v>
      </c>
      <c r="U39" s="1"/>
      <c r="V39" s="1"/>
      <c r="W39" s="43" t="s">
        <v>67</v>
      </c>
      <c r="X39">
        <v>0</v>
      </c>
      <c r="Y39" s="15">
        <v>9.0085298688432944E-2</v>
      </c>
      <c r="Z39" s="15">
        <v>9.0624671254406167E-2</v>
      </c>
      <c r="AA39" s="15">
        <v>9.2053294183396597E-2</v>
      </c>
      <c r="AB39" s="15">
        <v>9.4384927430411047E-2</v>
      </c>
      <c r="AC39" s="15">
        <v>9.8477744127659958E-2</v>
      </c>
      <c r="AD39" s="15">
        <v>0.1008180494100781</v>
      </c>
      <c r="AE39" s="15">
        <v>0.1023668547098122</v>
      </c>
      <c r="AF39" s="15">
        <v>0.10412175633363402</v>
      </c>
      <c r="AG39" s="15">
        <v>0.10621940880883779</v>
      </c>
    </row>
    <row r="40" spans="1:33" ht="17.25" thickBot="1">
      <c r="A40" t="s">
        <v>49</v>
      </c>
      <c r="B40">
        <v>4.6484556039581328E-4</v>
      </c>
      <c r="C40">
        <v>1.2022955786956292E-2</v>
      </c>
      <c r="D40">
        <v>3.8663168078861637E-2</v>
      </c>
      <c r="E40">
        <v>0.969291713840015</v>
      </c>
      <c r="F40">
        <v>-2.3601715249459733E-2</v>
      </c>
      <c r="G40">
        <v>2.4531406370251356E-2</v>
      </c>
      <c r="H40">
        <v>-2.3601715249459733E-2</v>
      </c>
      <c r="I40">
        <v>2.4531406370251356E-2</v>
      </c>
      <c r="M40" s="1"/>
      <c r="N40" s="1"/>
      <c r="O40" s="25" t="s">
        <v>32</v>
      </c>
      <c r="P40" s="25" t="s">
        <v>33</v>
      </c>
      <c r="Q40" s="25" t="s">
        <v>34</v>
      </c>
      <c r="R40" s="25" t="s">
        <v>35</v>
      </c>
      <c r="S40" s="25" t="s">
        <v>36</v>
      </c>
      <c r="T40" s="25" t="s">
        <v>37</v>
      </c>
      <c r="U40" s="30"/>
      <c r="V40" s="1"/>
      <c r="W40" s="44" t="s">
        <v>82</v>
      </c>
      <c r="X40" s="43"/>
      <c r="Y40" s="15">
        <v>1.4440146508937817</v>
      </c>
      <c r="Z40" s="15">
        <v>1.5117296214780815</v>
      </c>
      <c r="AA40" s="15">
        <v>1.5534479376151282</v>
      </c>
      <c r="AB40" s="15">
        <v>1.5786418876371111</v>
      </c>
      <c r="AC40" s="15">
        <v>1.589118171470892</v>
      </c>
      <c r="AD40" s="15">
        <v>1.5870174137914184</v>
      </c>
      <c r="AE40" s="15">
        <v>1.5825450576541227</v>
      </c>
      <c r="AF40" s="15">
        <v>1.5750790785416138</v>
      </c>
      <c r="AG40" s="15">
        <v>1.5628044425529808</v>
      </c>
    </row>
    <row r="41" spans="1:33" ht="17.25" thickBot="1">
      <c r="A41" s="24" t="s">
        <v>62</v>
      </c>
      <c r="B41" s="32">
        <v>0.49480220586864637</v>
      </c>
      <c r="C41" s="24">
        <v>0.19732712161594776</v>
      </c>
      <c r="D41" s="24">
        <v>2.5075225433616066</v>
      </c>
      <c r="E41" s="24">
        <v>1.497979289739222E-2</v>
      </c>
      <c r="F41" s="24">
        <v>9.9809056433950549E-2</v>
      </c>
      <c r="G41" s="24">
        <v>0.88979535530334219</v>
      </c>
      <c r="H41" s="24">
        <v>9.9809056433950549E-2</v>
      </c>
      <c r="I41" s="24">
        <v>0.88979535530334219</v>
      </c>
      <c r="M41" s="13">
        <v>2.4100025958962813E-2</v>
      </c>
      <c r="N41" s="25" t="s">
        <v>32</v>
      </c>
      <c r="O41" s="15" t="e">
        <f t="shared" ref="O41:T46" si="2">O14</f>
        <v>#DIV/0!</v>
      </c>
      <c r="P41" s="15">
        <f t="shared" si="2"/>
        <v>3.8509922403997081E-3</v>
      </c>
      <c r="Q41" s="15">
        <f t="shared" si="2"/>
        <v>6.3433684618019511E-3</v>
      </c>
      <c r="R41" s="15">
        <f t="shared" si="2"/>
        <v>4.4702394899437323E-3</v>
      </c>
      <c r="S41" s="15">
        <f t="shared" si="2"/>
        <v>5.5413540990779042E-4</v>
      </c>
      <c r="T41" s="15">
        <f t="shared" si="2"/>
        <v>7.7828922238516035E-3</v>
      </c>
      <c r="U41" s="1"/>
      <c r="V41" s="1"/>
      <c r="W41" s="25" t="s">
        <v>32</v>
      </c>
      <c r="X41" s="45"/>
      <c r="Y41" s="13">
        <v>0.13991797488367938</v>
      </c>
      <c r="Z41" s="13">
        <v>0.11239470274386953</v>
      </c>
      <c r="AA41" s="13">
        <v>8.2850040503372552E-2</v>
      </c>
      <c r="AB41" s="13">
        <v>5.3305375315472713E-2</v>
      </c>
      <c r="AC41" s="13">
        <v>1.5070911973252117E-2</v>
      </c>
      <c r="AD41" s="13">
        <v>0</v>
      </c>
      <c r="AE41" s="13">
        <v>0</v>
      </c>
      <c r="AF41" s="13">
        <v>0</v>
      </c>
      <c r="AG41" s="13">
        <v>0</v>
      </c>
    </row>
    <row r="42" spans="1:33" ht="17.25" thickBot="1">
      <c r="M42" s="13">
        <v>5.4573803178726066E-2</v>
      </c>
      <c r="N42" s="25" t="s">
        <v>33</v>
      </c>
      <c r="O42" s="15" t="e">
        <f t="shared" si="2"/>
        <v>#DIV/0!</v>
      </c>
      <c r="P42" s="15" t="e">
        <f t="shared" si="2"/>
        <v>#DIV/0!</v>
      </c>
      <c r="Q42" s="15">
        <f t="shared" si="2"/>
        <v>1.6804983540167975E-2</v>
      </c>
      <c r="R42" s="15">
        <f t="shared" si="2"/>
        <v>1.184265134549246E-2</v>
      </c>
      <c r="S42" s="15">
        <f t="shared" si="2"/>
        <v>1.4680270425091056E-3</v>
      </c>
      <c r="T42" s="15">
        <f t="shared" si="2"/>
        <v>2.0618599802978151E-2</v>
      </c>
      <c r="U42" s="1"/>
      <c r="V42" s="1"/>
      <c r="W42" s="25" t="s">
        <v>33</v>
      </c>
      <c r="X42" s="45"/>
      <c r="Y42" s="13">
        <v>4.2826827281188057E-2</v>
      </c>
      <c r="Z42" s="13">
        <v>4.4843001604285671E-2</v>
      </c>
      <c r="AA42" s="13">
        <v>4.4311796683470149E-2</v>
      </c>
      <c r="AB42" s="13">
        <v>4.3780562513637537E-2</v>
      </c>
      <c r="AC42" s="13">
        <v>4.2633734566757717E-2</v>
      </c>
      <c r="AD42" s="13">
        <v>4.1376175998675997E-2</v>
      </c>
      <c r="AE42" s="13">
        <v>3.87471259701581E-2</v>
      </c>
      <c r="AF42" s="13">
        <v>3.6118493684334167E-2</v>
      </c>
      <c r="AG42" s="13">
        <v>1.6663934552857942E-2</v>
      </c>
    </row>
    <row r="43" spans="1:33" ht="17.25" thickBot="1">
      <c r="M43" s="13">
        <v>7.6789454280751486E-3</v>
      </c>
      <c r="N43" s="25" t="s">
        <v>34</v>
      </c>
      <c r="O43" s="15" t="e">
        <f t="shared" si="2"/>
        <v>#DIV/0!</v>
      </c>
      <c r="P43" s="15" t="e">
        <f t="shared" si="2"/>
        <v>#DIV/0!</v>
      </c>
      <c r="Q43" s="15" t="e">
        <f t="shared" si="2"/>
        <v>#DIV/0!</v>
      </c>
      <c r="R43" s="15">
        <f t="shared" si="2"/>
        <v>1.9507258482898453E-2</v>
      </c>
      <c r="S43" s="15">
        <f t="shared" si="2"/>
        <v>2.4181394978760339E-3</v>
      </c>
      <c r="T43" s="15">
        <f t="shared" si="2"/>
        <v>3.3963032785325024E-2</v>
      </c>
      <c r="U43" s="1"/>
      <c r="V43" s="1"/>
      <c r="W43" s="25" t="s">
        <v>34</v>
      </c>
      <c r="X43" s="45"/>
      <c r="Y43" s="13">
        <v>9.8838333978425019E-3</v>
      </c>
      <c r="Z43" s="13">
        <v>8.6402991846993623E-3</v>
      </c>
      <c r="AA43" s="13">
        <v>4.8019712566493939E-3</v>
      </c>
      <c r="AB43" s="13">
        <v>9.6363882790132156E-4</v>
      </c>
      <c r="AC43" s="13">
        <v>0</v>
      </c>
      <c r="AD43" s="13">
        <v>0</v>
      </c>
      <c r="AE43" s="13">
        <v>0</v>
      </c>
      <c r="AF43" s="13">
        <v>0</v>
      </c>
      <c r="AG43" s="13">
        <v>0</v>
      </c>
    </row>
    <row r="44" spans="1:33" ht="17.25" thickBot="1">
      <c r="M44" s="13">
        <v>0.111679968299933</v>
      </c>
      <c r="N44" s="25" t="s">
        <v>35</v>
      </c>
      <c r="O44" s="15" t="e">
        <f t="shared" si="2"/>
        <v>#DIV/0!</v>
      </c>
      <c r="P44" s="15" t="e">
        <f t="shared" si="2"/>
        <v>#DIV/0!</v>
      </c>
      <c r="Q44" s="15" t="e">
        <f t="shared" si="2"/>
        <v>#DIV/0!</v>
      </c>
      <c r="R44" s="15" t="e">
        <f t="shared" si="2"/>
        <v>#DIV/0!</v>
      </c>
      <c r="S44" s="15">
        <f t="shared" si="2"/>
        <v>1.7040887252082262E-3</v>
      </c>
      <c r="T44" s="15">
        <f t="shared" si="2"/>
        <v>2.3934111863349882E-2</v>
      </c>
      <c r="U44" s="1"/>
      <c r="V44" s="1"/>
      <c r="W44" s="25" t="s">
        <v>35</v>
      </c>
      <c r="X44" s="45"/>
      <c r="Y44" s="13">
        <v>0.12365926044692759</v>
      </c>
      <c r="Z44" s="13">
        <v>0.11804142993372559</v>
      </c>
      <c r="AA44" s="13">
        <v>0.10237855218168385</v>
      </c>
      <c r="AB44" s="13">
        <v>8.6715704857421791E-2</v>
      </c>
      <c r="AC44" s="13">
        <v>6.4880839677866245E-2</v>
      </c>
      <c r="AD44" s="13">
        <v>5.0193660673356344E-2</v>
      </c>
      <c r="AE44" s="13">
        <v>2.9722361065958377E-2</v>
      </c>
      <c r="AF44" s="13">
        <v>9.2543381184580151E-3</v>
      </c>
      <c r="AG44" s="13">
        <v>0</v>
      </c>
    </row>
    <row r="45" spans="1:33" ht="17.25" thickBot="1">
      <c r="A45" s="31" t="s">
        <v>34</v>
      </c>
      <c r="M45" s="13">
        <v>0.89740582382683343</v>
      </c>
      <c r="N45" s="25" t="s">
        <v>36</v>
      </c>
      <c r="O45" s="15" t="e">
        <f t="shared" si="2"/>
        <v>#DIV/0!</v>
      </c>
      <c r="P45" s="15" t="e">
        <f t="shared" si="2"/>
        <v>#DIV/0!</v>
      </c>
      <c r="Q45" s="15" t="e">
        <f t="shared" si="2"/>
        <v>#DIV/0!</v>
      </c>
      <c r="R45" s="15" t="e">
        <f t="shared" si="2"/>
        <v>#DIV/0!</v>
      </c>
      <c r="S45" s="15" t="e">
        <f t="shared" si="2"/>
        <v>#DIV/0!</v>
      </c>
      <c r="T45" s="15">
        <f t="shared" si="2"/>
        <v>2.9668967217555578E-3</v>
      </c>
      <c r="U45" s="1"/>
      <c r="V45" s="1"/>
      <c r="W45" s="25" t="s">
        <v>36</v>
      </c>
      <c r="X45" s="45"/>
      <c r="Y45" s="13">
        <v>0.66253853966148657</v>
      </c>
      <c r="Z45" s="13">
        <v>0.71608056687324095</v>
      </c>
      <c r="AA45" s="13">
        <v>0.76565763941038967</v>
      </c>
      <c r="AB45" s="13">
        <v>0.81523471852423379</v>
      </c>
      <c r="AC45" s="13">
        <v>0.87741451378208846</v>
      </c>
      <c r="AD45" s="13">
        <v>0.90843016368006479</v>
      </c>
      <c r="AE45" s="13">
        <v>0.93153051321991176</v>
      </c>
      <c r="AF45" s="13">
        <v>0.95462716863933961</v>
      </c>
      <c r="AG45" s="13">
        <v>0.98333606571645005</v>
      </c>
    </row>
    <row r="46" spans="1:33">
      <c r="A46" t="s">
        <v>38</v>
      </c>
      <c r="M46" s="13">
        <v>-9.5438565308069809E-2</v>
      </c>
      <c r="N46" s="25" t="s">
        <v>37</v>
      </c>
      <c r="O46" s="48" t="e">
        <f t="shared" si="2"/>
        <v>#DIV/0!</v>
      </c>
      <c r="P46" s="48" t="e">
        <f t="shared" si="2"/>
        <v>#DIV/0!</v>
      </c>
      <c r="Q46" s="48" t="e">
        <f t="shared" si="2"/>
        <v>#DIV/0!</v>
      </c>
      <c r="R46" s="48" t="e">
        <f t="shared" si="2"/>
        <v>#DIV/0!</v>
      </c>
      <c r="S46" s="15" t="e">
        <f t="shared" si="2"/>
        <v>#DIV/0!</v>
      </c>
      <c r="T46" s="15" t="e">
        <f t="shared" si="2"/>
        <v>#DIV/0!</v>
      </c>
      <c r="U46" s="1"/>
      <c r="V46" s="1"/>
      <c r="W46" s="25" t="s">
        <v>37</v>
      </c>
      <c r="X46" s="45"/>
      <c r="Y46" s="13">
        <v>2.1173566249668006E-2</v>
      </c>
      <c r="Z46" s="13">
        <v>0</v>
      </c>
      <c r="AA46" s="13">
        <v>0</v>
      </c>
      <c r="AB46" s="13">
        <v>0</v>
      </c>
      <c r="AC46" s="13">
        <v>0</v>
      </c>
      <c r="AD46" s="13">
        <v>0</v>
      </c>
      <c r="AE46" s="13">
        <v>0</v>
      </c>
      <c r="AF46" s="13">
        <v>0</v>
      </c>
      <c r="AG46" s="13">
        <v>0</v>
      </c>
    </row>
    <row r="47" spans="1:33" ht="17.25" thickBot="1">
      <c r="M47" s="49">
        <f>SUM(M41:M46)</f>
        <v>1.0000000013844605</v>
      </c>
      <c r="O47" s="42" t="e">
        <f t="shared" ref="O47:T47" si="3">O39*SUMPRODUCT($M$41:$M$46,O41:O46)</f>
        <v>#DIV/0!</v>
      </c>
      <c r="P47" s="42" t="e">
        <f t="shared" si="3"/>
        <v>#DIV/0!</v>
      </c>
      <c r="Q47" s="42" t="e">
        <f t="shared" si="3"/>
        <v>#DIV/0!</v>
      </c>
      <c r="R47" s="42" t="e">
        <f t="shared" si="3"/>
        <v>#DIV/0!</v>
      </c>
      <c r="S47" s="42" t="e">
        <f t="shared" si="3"/>
        <v>#DIV/0!</v>
      </c>
      <c r="T47" s="42" t="e">
        <f t="shared" si="3"/>
        <v>#DIV/0!</v>
      </c>
      <c r="U47" s="1"/>
      <c r="V47" s="1"/>
      <c r="W47" s="46" t="s">
        <v>86</v>
      </c>
      <c r="X47" s="46">
        <v>0</v>
      </c>
      <c r="Y47" s="15">
        <f>Y39*$AC$40</f>
        <v>0.14315618512817171</v>
      </c>
      <c r="Z47" s="15">
        <f>Z39*$AC$40</f>
        <v>0.14401331187395264</v>
      </c>
      <c r="AA47" s="15">
        <f>AA39*$AC$40</f>
        <v>0.1462835625305913</v>
      </c>
      <c r="AB47" s="15">
        <f t="shared" ref="AB47:AG47" si="4">AB39*$AC$40</f>
        <v>0.14998880329262765</v>
      </c>
      <c r="AC47" s="15">
        <f>AC39*$AC$40</f>
        <v>0.15649277267872536</v>
      </c>
      <c r="AD47" s="15">
        <f t="shared" si="4"/>
        <v>0.16021179432980534</v>
      </c>
      <c r="AE47" s="15">
        <f t="shared" si="4"/>
        <v>0.16267302897568323</v>
      </c>
      <c r="AF47" s="15">
        <f t="shared" si="4"/>
        <v>0.16546177503524226</v>
      </c>
      <c r="AG47" s="15">
        <f t="shared" si="4"/>
        <v>0.16879519270101948</v>
      </c>
    </row>
    <row r="48" spans="1:33">
      <c r="A48" s="29" t="s">
        <v>39</v>
      </c>
      <c r="B48" s="29"/>
      <c r="M48" s="42">
        <f>SUMPRODUCT(M41:M46,O22:O27)</f>
        <v>0.16090831509911269</v>
      </c>
      <c r="N48" s="40" t="s">
        <v>81</v>
      </c>
      <c r="O48" s="1"/>
      <c r="P48" s="1"/>
      <c r="Q48" s="1"/>
      <c r="R48" s="1"/>
      <c r="S48" s="1"/>
      <c r="T48" s="1"/>
      <c r="U48" s="1"/>
      <c r="V48" s="1"/>
      <c r="W48" s="40" t="s">
        <v>87</v>
      </c>
      <c r="X48" s="47"/>
      <c r="Y48" s="1"/>
      <c r="Z48" s="1"/>
      <c r="AA48" s="1"/>
      <c r="AB48" s="1"/>
      <c r="AC48" s="1"/>
      <c r="AD48" s="1"/>
      <c r="AE48" s="1"/>
      <c r="AF48" s="1"/>
      <c r="AG48" s="1"/>
    </row>
    <row r="49" spans="1:33">
      <c r="A49" t="s">
        <v>40</v>
      </c>
      <c r="B49">
        <v>0.39550108959598768</v>
      </c>
      <c r="M49" s="42" t="e">
        <f>SUM(O47:T47)^0.5</f>
        <v>#DIV/0!</v>
      </c>
      <c r="N49" s="40" t="s">
        <v>67</v>
      </c>
      <c r="O49" s="1"/>
      <c r="P49" s="1"/>
      <c r="Q49" s="1"/>
      <c r="R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</row>
    <row r="50" spans="1:33">
      <c r="A50" t="s">
        <v>41</v>
      </c>
      <c r="B50">
        <v>0.15642111187161345</v>
      </c>
      <c r="M50" s="42" t="e">
        <f>M48/M49</f>
        <v>#DIV/0!</v>
      </c>
      <c r="N50" s="39" t="s">
        <v>82</v>
      </c>
      <c r="W50" s="1"/>
      <c r="X50" s="1"/>
      <c r="Y50" s="1"/>
      <c r="Z50" s="1" t="s">
        <v>88</v>
      </c>
      <c r="AA50" s="1"/>
      <c r="AB50" s="1"/>
      <c r="AC50" s="1"/>
      <c r="AD50" s="1"/>
      <c r="AE50" s="1"/>
      <c r="AF50" s="1"/>
      <c r="AG50" s="1"/>
    </row>
    <row r="51" spans="1:33">
      <c r="A51" t="s">
        <v>42</v>
      </c>
      <c r="B51">
        <v>0.14187664828319299</v>
      </c>
    </row>
    <row r="52" spans="1:33">
      <c r="A52" t="s">
        <v>43</v>
      </c>
      <c r="B52" s="33">
        <v>0.11249397064309177</v>
      </c>
      <c r="N52" s="34"/>
      <c r="O52" s="34"/>
      <c r="P52" s="34"/>
      <c r="Q52" s="34"/>
      <c r="R52" s="34"/>
      <c r="S52" s="34"/>
      <c r="T52" s="34"/>
      <c r="U52" s="34"/>
    </row>
    <row r="53" spans="1:33" ht="17.25" thickBot="1">
      <c r="A53" s="24" t="s">
        <v>44</v>
      </c>
      <c r="B53" s="24">
        <v>60</v>
      </c>
      <c r="L53" s="26" t="s">
        <v>124</v>
      </c>
      <c r="M53" s="50" t="s">
        <v>91</v>
      </c>
      <c r="N53" s="50"/>
      <c r="O53" s="50"/>
      <c r="P53" s="50"/>
      <c r="Q53" s="50"/>
      <c r="R53" s="51"/>
      <c r="S53" s="50"/>
      <c r="T53" s="34"/>
      <c r="U53" s="34"/>
    </row>
    <row r="54" spans="1:33" ht="17.25" thickBot="1">
      <c r="M54" s="50"/>
      <c r="N54" s="50"/>
      <c r="O54" s="50"/>
      <c r="P54" s="50"/>
      <c r="Q54" s="50"/>
      <c r="R54" s="50"/>
      <c r="S54" s="50"/>
      <c r="T54" s="34"/>
      <c r="U54" s="34"/>
    </row>
    <row r="55" spans="1:33" ht="17.25" thickBot="1">
      <c r="A55" t="s">
        <v>45</v>
      </c>
      <c r="M55" s="50"/>
      <c r="N55" s="52" t="s">
        <v>92</v>
      </c>
      <c r="O55" s="53" t="s">
        <v>93</v>
      </c>
      <c r="P55" s="52"/>
      <c r="Q55" s="25" t="s">
        <v>32</v>
      </c>
      <c r="R55" s="25" t="s">
        <v>33</v>
      </c>
      <c r="S55" s="25" t="s">
        <v>34</v>
      </c>
      <c r="T55" s="25" t="s">
        <v>35</v>
      </c>
      <c r="U55" s="25" t="s">
        <v>36</v>
      </c>
    </row>
    <row r="56" spans="1:33">
      <c r="A56" s="28"/>
      <c r="B56" s="28" t="s">
        <v>50</v>
      </c>
      <c r="C56" s="28" t="s">
        <v>51</v>
      </c>
      <c r="D56" s="28" t="s">
        <v>52</v>
      </c>
      <c r="E56" s="28" t="s">
        <v>53</v>
      </c>
      <c r="F56" s="28" t="s">
        <v>54</v>
      </c>
      <c r="M56" s="50"/>
      <c r="N56" s="52"/>
      <c r="O56" s="36"/>
      <c r="Q56" s="54">
        <f>R4*R4</f>
        <v>4.7167940136505125E-2</v>
      </c>
      <c r="R56" s="55">
        <f>R5*R5</f>
        <v>9.5731114656176286E-2</v>
      </c>
      <c r="S56" s="56">
        <f>R6*R6</f>
        <v>0.15185872117258553</v>
      </c>
      <c r="T56" s="54">
        <f>R7*R7</f>
        <v>2.7932930794543769E-2</v>
      </c>
      <c r="U56" s="55">
        <f>R8*R8</f>
        <v>1.1376781311323612E-2</v>
      </c>
    </row>
    <row r="57" spans="1:33">
      <c r="A57" t="s">
        <v>46</v>
      </c>
      <c r="B57">
        <v>1</v>
      </c>
      <c r="C57">
        <v>0.13609938166969582</v>
      </c>
      <c r="D57">
        <v>0.13609938166969582</v>
      </c>
      <c r="E57">
        <v>10.75468413947887</v>
      </c>
      <c r="F57">
        <v>1.7618717683139521E-3</v>
      </c>
      <c r="M57" s="50"/>
      <c r="N57" s="57"/>
      <c r="O57" s="58">
        <f>SUM(Q57:U57)</f>
        <v>17.559248874092937</v>
      </c>
      <c r="P57" s="57"/>
      <c r="Q57" s="59">
        <f>N31/Q56</f>
        <v>0.38631497338789694</v>
      </c>
      <c r="R57" s="59">
        <f>O31/R56</f>
        <v>0.87478660020773802</v>
      </c>
      <c r="S57" s="59">
        <f>P31/S56</f>
        <v>0.12309546632719712</v>
      </c>
      <c r="T57" s="59">
        <f t="shared" ref="T57" si="5">Q31/T56</f>
        <v>1.7901713593127144</v>
      </c>
      <c r="U57" s="59">
        <f>R31/U56</f>
        <v>14.384880474857392</v>
      </c>
    </row>
    <row r="58" spans="1:33">
      <c r="A58" t="s">
        <v>47</v>
      </c>
      <c r="B58">
        <v>58</v>
      </c>
      <c r="C58">
        <v>0.7339838190008301</v>
      </c>
      <c r="D58">
        <v>1.2654893431048794E-2</v>
      </c>
      <c r="M58" s="50"/>
      <c r="N58" s="57"/>
      <c r="O58" s="58">
        <f>SUM(Q58:U58)</f>
        <v>1</v>
      </c>
      <c r="Q58" s="59">
        <f>Q57/$O$57</f>
        <v>2.2000654820598237E-2</v>
      </c>
      <c r="R58" s="59">
        <f t="shared" ref="R58:U58" si="6">R57/$O$57</f>
        <v>4.981913557238804E-2</v>
      </c>
      <c r="S58" s="59">
        <f t="shared" si="6"/>
        <v>7.0102922516698989E-3</v>
      </c>
      <c r="T58" s="59">
        <f t="shared" si="6"/>
        <v>0.10195033808957217</v>
      </c>
      <c r="U58" s="59">
        <f t="shared" si="6"/>
        <v>0.81921957926577171</v>
      </c>
    </row>
    <row r="59" spans="1:33" ht="17.25" thickBot="1">
      <c r="A59" s="24" t="s">
        <v>48</v>
      </c>
      <c r="B59" s="24">
        <v>59</v>
      </c>
      <c r="C59" s="24">
        <v>0.87008320067052591</v>
      </c>
      <c r="D59" s="24"/>
      <c r="E59" s="24"/>
      <c r="F59" s="24"/>
      <c r="M59" s="50"/>
      <c r="N59" s="60"/>
      <c r="O59" s="61"/>
      <c r="Q59" s="62">
        <f>Q58*Q58</f>
        <v>4.8402881253511244E-4</v>
      </c>
      <c r="R59" s="62">
        <f t="shared" ref="R59:U59" si="7">R58*R58</f>
        <v>2.4819462691799796E-3</v>
      </c>
      <c r="S59" s="62">
        <f t="shared" si="7"/>
        <v>4.9144197453823022E-5</v>
      </c>
      <c r="T59" s="62">
        <f t="shared" si="7"/>
        <v>1.039387143657807E-2</v>
      </c>
      <c r="U59" s="62">
        <f t="shared" si="7"/>
        <v>0.67112071905238802</v>
      </c>
    </row>
    <row r="60" spans="1:33" ht="17.25" thickBot="1">
      <c r="M60" s="63" t="s">
        <v>94</v>
      </c>
      <c r="N60" s="36"/>
      <c r="O60" s="64">
        <f>SUMPRODUCT(Q58:U58,$N$31:$R$31)</f>
        <v>0.143870266591829</v>
      </c>
      <c r="P60" s="50"/>
      <c r="Q60" s="52"/>
      <c r="R60" s="65"/>
      <c r="S60" s="65"/>
    </row>
    <row r="61" spans="1:33" ht="17.25" thickBot="1">
      <c r="A61" s="28"/>
      <c r="B61" s="28" t="s">
        <v>55</v>
      </c>
      <c r="C61" s="28" t="s">
        <v>43</v>
      </c>
      <c r="D61" s="28" t="s">
        <v>56</v>
      </c>
      <c r="E61" s="28" t="s">
        <v>57</v>
      </c>
      <c r="F61" s="28" t="s">
        <v>58</v>
      </c>
      <c r="G61" s="28" t="s">
        <v>59</v>
      </c>
      <c r="H61" s="28" t="s">
        <v>60</v>
      </c>
      <c r="I61" s="28" t="s">
        <v>61</v>
      </c>
      <c r="M61" s="66" t="s">
        <v>95</v>
      </c>
      <c r="N61" s="67"/>
      <c r="O61" s="58">
        <f>SUMPRODUCT(Q59:U59,Q56:U56)</f>
        <v>8.19341804558032E-3</v>
      </c>
      <c r="P61" s="50"/>
      <c r="Q61" s="57"/>
      <c r="R61" s="50"/>
      <c r="S61" s="50"/>
      <c r="Z61" s="90" t="s">
        <v>115</v>
      </c>
      <c r="AA61" s="92">
        <f>O60^2/O61</f>
        <v>2.5262538166680244</v>
      </c>
    </row>
    <row r="62" spans="1:33">
      <c r="A62" t="s">
        <v>49</v>
      </c>
      <c r="B62">
        <v>1.882954518997082E-2</v>
      </c>
      <c r="C62">
        <v>1.5142743338120436E-2</v>
      </c>
      <c r="D62">
        <v>1.2434698765955576</v>
      </c>
      <c r="E62">
        <v>0.21869750666993584</v>
      </c>
      <c r="F62">
        <v>-1.148194890786864E-2</v>
      </c>
      <c r="G62">
        <v>4.914103928781028E-2</v>
      </c>
      <c r="H62">
        <v>-1.148194890786864E-2</v>
      </c>
      <c r="I62">
        <v>4.914103928781028E-2</v>
      </c>
      <c r="M62" s="57" t="s">
        <v>96</v>
      </c>
      <c r="N62" s="67"/>
      <c r="O62" s="59" t="e">
        <f>(O60/O61)/($S$32/$T$19)</f>
        <v>#DIV/0!</v>
      </c>
      <c r="P62" s="68" t="s">
        <v>97</v>
      </c>
      <c r="Q62" s="50"/>
      <c r="R62" s="50"/>
      <c r="S62" s="50"/>
      <c r="Z62" s="90" t="s">
        <v>116</v>
      </c>
      <c r="AA62" s="91" t="e">
        <f>P65+N28</f>
        <v>#DIV/0!</v>
      </c>
    </row>
    <row r="63" spans="1:33" ht="17.25" thickBot="1">
      <c r="A63" s="24" t="s">
        <v>62</v>
      </c>
      <c r="B63" s="32">
        <v>0.81503999790231463</v>
      </c>
      <c r="C63" s="24">
        <v>0.248530728152734</v>
      </c>
      <c r="D63" s="24">
        <v>3.2794335089278523</v>
      </c>
      <c r="E63" s="24">
        <v>1.7618717683139796E-3</v>
      </c>
      <c r="F63" s="24">
        <v>0.31755169401164057</v>
      </c>
      <c r="G63" s="24">
        <v>1.3125283017929887</v>
      </c>
      <c r="H63" s="24">
        <v>0.31755169401164057</v>
      </c>
      <c r="I63" s="24">
        <v>1.3125283017929887</v>
      </c>
      <c r="M63" s="57" t="s">
        <v>98</v>
      </c>
      <c r="N63" s="69" t="e">
        <f>1-O63</f>
        <v>#DIV/0!</v>
      </c>
      <c r="O63" s="85" t="e">
        <f>P69/((1-O64)^2*N66^2+O61)^0.5</f>
        <v>#DIV/0!</v>
      </c>
      <c r="P63" s="71" t="s">
        <v>99</v>
      </c>
      <c r="Q63" s="72" t="e">
        <f>$O$63*Q58</f>
        <v>#DIV/0!</v>
      </c>
      <c r="R63" s="72" t="e">
        <f t="shared" ref="R63:U63" si="8">$O$63*R58</f>
        <v>#DIV/0!</v>
      </c>
      <c r="S63" s="72" t="e">
        <f t="shared" si="8"/>
        <v>#DIV/0!</v>
      </c>
      <c r="T63" s="72" t="e">
        <f t="shared" si="8"/>
        <v>#DIV/0!</v>
      </c>
      <c r="U63" s="72" t="e">
        <f t="shared" si="8"/>
        <v>#DIV/0!</v>
      </c>
    </row>
    <row r="64" spans="1:33">
      <c r="M64" s="57" t="s">
        <v>100</v>
      </c>
      <c r="N64" s="73">
        <v>1</v>
      </c>
      <c r="O64" s="74">
        <f>SUMPRODUCT(Q58:U58,O13:S13)</f>
        <v>0.15135810687656981</v>
      </c>
      <c r="P64" s="75" t="e">
        <f>N63*N64+O63*O64</f>
        <v>#DIV/0!</v>
      </c>
      <c r="Q64" s="50"/>
      <c r="R64" s="50"/>
      <c r="S64" s="50"/>
    </row>
    <row r="65" spans="1:21">
      <c r="M65" s="57" t="s">
        <v>80</v>
      </c>
      <c r="N65" s="82">
        <f>$S$32</f>
        <v>4.7E-2</v>
      </c>
      <c r="O65" s="59">
        <f>O64*N65+O60</f>
        <v>0.15098409761502779</v>
      </c>
      <c r="P65" s="76" t="e">
        <f>N63*N65+O63*O65</f>
        <v>#DIV/0!</v>
      </c>
      <c r="Q65" s="50"/>
      <c r="R65" s="50"/>
      <c r="S65" s="50"/>
    </row>
    <row r="66" spans="1:21" ht="17.25" thickBot="1">
      <c r="M66" s="57" t="s">
        <v>67</v>
      </c>
      <c r="N66" s="77" t="e">
        <f>$N$9</f>
        <v>#DIV/0!</v>
      </c>
      <c r="O66" s="59" t="e">
        <f>((O64*N66)^2+O61)^0.5</f>
        <v>#DIV/0!</v>
      </c>
      <c r="P66" s="76" t="e">
        <f>((P64^2*$T$19+O63^2*O61))^0.5</f>
        <v>#DIV/0!</v>
      </c>
      <c r="Q66" s="50"/>
      <c r="R66" s="50"/>
      <c r="S66" s="50"/>
    </row>
    <row r="67" spans="1:21">
      <c r="A67" s="31" t="s">
        <v>35</v>
      </c>
      <c r="M67" s="57" t="s">
        <v>101</v>
      </c>
      <c r="N67" s="77" t="e">
        <f>N65/N66</f>
        <v>#DIV/0!</v>
      </c>
      <c r="O67" s="59" t="e">
        <f>O65/O66</f>
        <v>#DIV/0!</v>
      </c>
      <c r="P67" s="76" t="e">
        <f>P65/P66</f>
        <v>#DIV/0!</v>
      </c>
      <c r="Q67" s="50"/>
      <c r="R67" s="50"/>
      <c r="S67" s="50"/>
    </row>
    <row r="68" spans="1:21">
      <c r="A68" t="s">
        <v>38</v>
      </c>
      <c r="M68" s="57" t="s">
        <v>102</v>
      </c>
      <c r="N68" s="78">
        <v>0</v>
      </c>
      <c r="O68" s="59" t="e">
        <f>N66*(O67-N67)</f>
        <v>#DIV/0!</v>
      </c>
      <c r="P68" s="76" t="e">
        <f>N66*(P67-N67)</f>
        <v>#DIV/0!</v>
      </c>
      <c r="Q68" s="50"/>
      <c r="R68" s="50"/>
      <c r="S68" s="50"/>
    </row>
    <row r="69" spans="1:21" ht="17.25" thickBot="1">
      <c r="M69" s="60" t="s">
        <v>103</v>
      </c>
      <c r="N69" s="79"/>
      <c r="O69" s="80"/>
      <c r="P69" s="89">
        <f>0.04</f>
        <v>0.04</v>
      </c>
      <c r="Q69" s="50"/>
      <c r="R69" s="50"/>
      <c r="S69" s="50"/>
    </row>
    <row r="70" spans="1:21">
      <c r="A70" s="29" t="s">
        <v>39</v>
      </c>
      <c r="B70" s="29"/>
    </row>
    <row r="71" spans="1:21">
      <c r="A71" t="s">
        <v>40</v>
      </c>
      <c r="B71">
        <v>0.57759159888275835</v>
      </c>
    </row>
    <row r="72" spans="1:21">
      <c r="A72" t="s">
        <v>41</v>
      </c>
      <c r="B72">
        <v>0.33361205509994118</v>
      </c>
    </row>
    <row r="73" spans="1:21">
      <c r="A73" t="s">
        <v>42</v>
      </c>
      <c r="B73">
        <v>0.32212260777407808</v>
      </c>
    </row>
    <row r="74" spans="1:21">
      <c r="A74" t="s">
        <v>43</v>
      </c>
      <c r="B74" s="33">
        <v>4.8246701782387651E-2</v>
      </c>
    </row>
    <row r="75" spans="1:21" ht="17.25" thickBot="1">
      <c r="A75" s="24" t="s">
        <v>44</v>
      </c>
      <c r="B75" s="24">
        <v>60</v>
      </c>
    </row>
    <row r="76" spans="1:21">
      <c r="U76" s="34"/>
    </row>
    <row r="77" spans="1:21" ht="17.25" thickBot="1">
      <c r="A77" t="s">
        <v>45</v>
      </c>
      <c r="L77" s="26" t="s">
        <v>117</v>
      </c>
      <c r="M77" s="1" t="s">
        <v>118</v>
      </c>
      <c r="N77" s="93">
        <v>1000000</v>
      </c>
      <c r="O77" s="1" t="s">
        <v>119</v>
      </c>
    </row>
    <row r="78" spans="1:21">
      <c r="A78" s="28"/>
      <c r="B78" s="28" t="s">
        <v>50</v>
      </c>
      <c r="C78" s="28" t="s">
        <v>51</v>
      </c>
      <c r="D78" s="28" t="s">
        <v>52</v>
      </c>
      <c r="E78" s="28" t="s">
        <v>53</v>
      </c>
      <c r="F78" s="28" t="s">
        <v>54</v>
      </c>
      <c r="M78" s="1" t="s">
        <v>120</v>
      </c>
      <c r="N78" s="1">
        <v>2.5</v>
      </c>
      <c r="O78" s="1"/>
    </row>
    <row r="79" spans="1:21">
      <c r="A79" t="s">
        <v>46</v>
      </c>
      <c r="B79">
        <v>1</v>
      </c>
      <c r="C79">
        <v>6.758928565080885E-2</v>
      </c>
      <c r="D79">
        <v>6.758928565080885E-2</v>
      </c>
      <c r="E79">
        <v>29.036388403902656</v>
      </c>
      <c r="F79">
        <v>1.3532309604563018E-6</v>
      </c>
      <c r="M79" s="1"/>
      <c r="N79" s="1" t="s">
        <v>121</v>
      </c>
      <c r="O79" s="1" t="s">
        <v>119</v>
      </c>
    </row>
    <row r="80" spans="1:21">
      <c r="A80" t="s">
        <v>47</v>
      </c>
      <c r="B80">
        <v>58</v>
      </c>
      <c r="C80">
        <v>0.13500916550696157</v>
      </c>
      <c r="D80">
        <v>2.3277442328786479E-3</v>
      </c>
      <c r="M80" s="3" t="s">
        <v>122</v>
      </c>
      <c r="N80" s="94" t="e">
        <f>P65/(N78*P66^2)</f>
        <v>#DIV/0!</v>
      </c>
      <c r="O80" s="1"/>
    </row>
    <row r="81" spans="1:15" ht="17.25" thickBot="1">
      <c r="A81" s="24" t="s">
        <v>48</v>
      </c>
      <c r="B81" s="24">
        <v>59</v>
      </c>
      <c r="C81" s="24">
        <v>0.20259845115777042</v>
      </c>
      <c r="D81" s="24"/>
      <c r="E81" s="24"/>
      <c r="F81" s="24"/>
      <c r="M81" s="3" t="s">
        <v>125</v>
      </c>
      <c r="N81" s="1" t="e">
        <f>N80*Q63</f>
        <v>#DIV/0!</v>
      </c>
      <c r="O81" s="95" t="e">
        <f>$N$77*N81</f>
        <v>#DIV/0!</v>
      </c>
    </row>
    <row r="82" spans="1:15" ht="17.25" thickBot="1">
      <c r="M82" s="3" t="s">
        <v>126</v>
      </c>
      <c r="N82" s="1" t="e">
        <f>N80*R63</f>
        <v>#DIV/0!</v>
      </c>
      <c r="O82" s="95" t="e">
        <f t="shared" ref="O82:O87" si="9">$N$77*N82</f>
        <v>#DIV/0!</v>
      </c>
    </row>
    <row r="83" spans="1:15">
      <c r="A83" s="28"/>
      <c r="B83" s="28" t="s">
        <v>55</v>
      </c>
      <c r="C83" s="28" t="s">
        <v>43</v>
      </c>
      <c r="D83" s="28" t="s">
        <v>56</v>
      </c>
      <c r="E83" s="28" t="s">
        <v>57</v>
      </c>
      <c r="F83" s="28" t="s">
        <v>58</v>
      </c>
      <c r="G83" s="28" t="s">
        <v>59</v>
      </c>
      <c r="H83" s="28" t="s">
        <v>60</v>
      </c>
      <c r="I83" s="28" t="s">
        <v>61</v>
      </c>
      <c r="M83" s="3" t="s">
        <v>127</v>
      </c>
      <c r="N83" s="1" t="e">
        <f>N80*S63</f>
        <v>#DIV/0!</v>
      </c>
      <c r="O83" s="95" t="e">
        <f t="shared" si="9"/>
        <v>#DIV/0!</v>
      </c>
    </row>
    <row r="84" spans="1:15">
      <c r="A84" t="s">
        <v>49</v>
      </c>
      <c r="B84">
        <v>4.2923275691551365E-3</v>
      </c>
      <c r="C84">
        <v>6.4944584836414002E-3</v>
      </c>
      <c r="D84">
        <v>0.66092155026733757</v>
      </c>
      <c r="E84">
        <v>0.51127943922102048</v>
      </c>
      <c r="F84">
        <v>-8.7077435276052065E-3</v>
      </c>
      <c r="G84">
        <v>1.7292398665915479E-2</v>
      </c>
      <c r="H84">
        <v>-8.7077435276052065E-3</v>
      </c>
      <c r="I84">
        <v>1.7292398665915479E-2</v>
      </c>
      <c r="M84" s="3" t="s">
        <v>128</v>
      </c>
      <c r="N84" s="1" t="e">
        <f>N80*T63</f>
        <v>#DIV/0!</v>
      </c>
      <c r="O84" s="95" t="e">
        <f t="shared" si="9"/>
        <v>#DIV/0!</v>
      </c>
    </row>
    <row r="85" spans="1:15" ht="17.25" thickBot="1">
      <c r="A85" s="24" t="s">
        <v>62</v>
      </c>
      <c r="B85" s="32">
        <v>0.57436738957326805</v>
      </c>
      <c r="C85" s="24">
        <v>0.10659049419624129</v>
      </c>
      <c r="D85" s="24">
        <v>5.3885423264462355</v>
      </c>
      <c r="E85" s="24">
        <v>1.3532309604563217E-6</v>
      </c>
      <c r="F85" s="24">
        <v>0.36100333369697063</v>
      </c>
      <c r="G85" s="24">
        <v>0.78773144544956542</v>
      </c>
      <c r="H85" s="24">
        <v>0.36100333369697063</v>
      </c>
      <c r="I85" s="24">
        <v>0.78773144544956542</v>
      </c>
      <c r="M85" s="3" t="s">
        <v>129</v>
      </c>
      <c r="N85" s="1" t="e">
        <f>N80*U63</f>
        <v>#DIV/0!</v>
      </c>
      <c r="O85" s="95" t="e">
        <f t="shared" si="9"/>
        <v>#DIV/0!</v>
      </c>
    </row>
    <row r="86" spans="1:15">
      <c r="M86" s="3" t="s">
        <v>130</v>
      </c>
      <c r="N86" s="1" t="e">
        <f>N80*N63</f>
        <v>#DIV/0!</v>
      </c>
      <c r="O86" s="95" t="e">
        <f t="shared" si="9"/>
        <v>#DIV/0!</v>
      </c>
    </row>
    <row r="87" spans="1:15">
      <c r="M87" s="3" t="s">
        <v>123</v>
      </c>
      <c r="N87" s="1" t="e">
        <f>1-N80</f>
        <v>#DIV/0!</v>
      </c>
      <c r="O87" s="95" t="e">
        <f t="shared" si="9"/>
        <v>#DIV/0!</v>
      </c>
    </row>
    <row r="88" spans="1:15" ht="17.25" thickBot="1"/>
    <row r="89" spans="1:15">
      <c r="A89" s="31" t="s">
        <v>36</v>
      </c>
    </row>
    <row r="90" spans="1:15">
      <c r="A90" t="s">
        <v>38</v>
      </c>
    </row>
    <row r="91" spans="1:15" ht="17.25" thickBot="1"/>
    <row r="92" spans="1:15">
      <c r="A92" s="29" t="s">
        <v>39</v>
      </c>
      <c r="B92" s="29"/>
    </row>
    <row r="93" spans="1:15">
      <c r="A93" t="s">
        <v>40</v>
      </c>
      <c r="B93">
        <v>0.13615317571440128</v>
      </c>
    </row>
    <row r="94" spans="1:15">
      <c r="A94" t="s">
        <v>41</v>
      </c>
      <c r="B94">
        <v>1.8537687257116631E-2</v>
      </c>
    </row>
    <row r="95" spans="1:15">
      <c r="A95" t="s">
        <v>42</v>
      </c>
      <c r="B95">
        <v>1.6159232443082978E-3</v>
      </c>
    </row>
    <row r="96" spans="1:15">
      <c r="A96" t="s">
        <v>43</v>
      </c>
      <c r="B96" s="33">
        <v>3.0790665944031931E-2</v>
      </c>
    </row>
    <row r="97" spans="1:9" ht="17.25" thickBot="1">
      <c r="A97" s="24" t="s">
        <v>44</v>
      </c>
      <c r="B97" s="24">
        <v>60</v>
      </c>
    </row>
    <row r="99" spans="1:9" ht="17.25" thickBot="1">
      <c r="A99" t="s">
        <v>45</v>
      </c>
    </row>
    <row r="100" spans="1:9">
      <c r="A100" s="28"/>
      <c r="B100" s="28" t="s">
        <v>50</v>
      </c>
      <c r="C100" s="28" t="s">
        <v>51</v>
      </c>
      <c r="D100" s="28" t="s">
        <v>52</v>
      </c>
      <c r="E100" s="28" t="s">
        <v>53</v>
      </c>
      <c r="F100" s="28" t="s">
        <v>54</v>
      </c>
    </row>
    <row r="101" spans="1:9">
      <c r="A101" t="s">
        <v>46</v>
      </c>
      <c r="B101">
        <v>1</v>
      </c>
      <c r="C101">
        <v>1.0385994321784539E-3</v>
      </c>
      <c r="D101">
        <v>1.0385994321784539E-3</v>
      </c>
      <c r="E101">
        <v>1.0954937820362689</v>
      </c>
      <c r="F101">
        <v>0.29959951865419332</v>
      </c>
    </row>
    <row r="102" spans="1:9">
      <c r="A102" t="s">
        <v>47</v>
      </c>
      <c r="B102">
        <v>58</v>
      </c>
      <c r="C102">
        <v>5.4987776338064134E-2</v>
      </c>
      <c r="D102">
        <v>9.4806510927696779E-4</v>
      </c>
    </row>
    <row r="103" spans="1:9" ht="17.25" thickBot="1">
      <c r="A103" s="24" t="s">
        <v>48</v>
      </c>
      <c r="B103" s="24">
        <v>59</v>
      </c>
      <c r="C103" s="24">
        <v>5.6026375770242588E-2</v>
      </c>
      <c r="D103" s="24"/>
      <c r="E103" s="24"/>
      <c r="F103" s="24"/>
    </row>
    <row r="104" spans="1:9" ht="17.25" thickBot="1"/>
    <row r="105" spans="1:9">
      <c r="A105" s="28"/>
      <c r="B105" s="28" t="s">
        <v>55</v>
      </c>
      <c r="C105" s="28" t="s">
        <v>43</v>
      </c>
      <c r="D105" s="28" t="s">
        <v>56</v>
      </c>
      <c r="E105" s="28" t="s">
        <v>57</v>
      </c>
      <c r="F105" s="28" t="s">
        <v>58</v>
      </c>
      <c r="G105" s="28" t="s">
        <v>59</v>
      </c>
      <c r="H105" s="28" t="s">
        <v>60</v>
      </c>
      <c r="I105" s="28" t="s">
        <v>61</v>
      </c>
    </row>
    <row r="106" spans="1:9">
      <c r="A106" t="s">
        <v>49</v>
      </c>
      <c r="B106">
        <v>-7.0182794047517823E-4</v>
      </c>
      <c r="C106">
        <v>4.1447123693372266E-3</v>
      </c>
      <c r="D106">
        <v>-0.16933091561849592</v>
      </c>
      <c r="E106">
        <v>0.86612556110155969</v>
      </c>
      <c r="F106">
        <v>-8.9983711569305291E-3</v>
      </c>
      <c r="G106">
        <v>7.594715275980172E-3</v>
      </c>
      <c r="H106">
        <v>-8.9983711569305291E-3</v>
      </c>
      <c r="I106">
        <v>7.594715275980172E-3</v>
      </c>
    </row>
    <row r="107" spans="1:9" ht="17.25" thickBot="1">
      <c r="A107" s="24" t="s">
        <v>62</v>
      </c>
      <c r="B107" s="32">
        <v>7.119916272379774E-2</v>
      </c>
      <c r="C107" s="24">
        <v>6.8025215783845017E-2</v>
      </c>
      <c r="D107" s="24">
        <v>1.0466583884134697</v>
      </c>
      <c r="E107" s="24">
        <v>0.29959951865419177</v>
      </c>
      <c r="F107" s="24">
        <v>-6.4968101073477239E-2</v>
      </c>
      <c r="G107" s="24">
        <v>0.20736642652107273</v>
      </c>
      <c r="H107" s="24">
        <v>-6.4968101073477239E-2</v>
      </c>
      <c r="I107" s="24">
        <v>0.20736642652107273</v>
      </c>
    </row>
  </sheetData>
  <mergeCells count="1">
    <mergeCell ref="W35:X35"/>
  </mergeCells>
  <phoneticPr fontId="17" type="noConversion"/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DSMT4" shapeId="5121" r:id="rId3">
          <objectPr defaultSize="0" autoPict="0" r:id="rId4">
            <anchor moveWithCells="1" sizeWithCells="1">
              <from>
                <xdr:col>15</xdr:col>
                <xdr:colOff>0</xdr:colOff>
                <xdr:row>54</xdr:row>
                <xdr:rowOff>180975</xdr:rowOff>
              </from>
              <to>
                <xdr:col>15</xdr:col>
                <xdr:colOff>447675</xdr:colOff>
                <xdr:row>56</xdr:row>
                <xdr:rowOff>19050</xdr:rowOff>
              </to>
            </anchor>
          </objectPr>
        </oleObject>
      </mc:Choice>
      <mc:Fallback>
        <oleObject progId="Equation.DSMT4" shapeId="5121" r:id="rId3"/>
      </mc:Fallback>
    </mc:AlternateContent>
    <mc:AlternateContent xmlns:mc="http://schemas.openxmlformats.org/markup-compatibility/2006">
      <mc:Choice Requires="x14">
        <oleObject progId="Equation.DSMT4" shapeId="5122" r:id="rId5">
          <objectPr defaultSize="0" autoPict="0" r:id="rId6">
            <anchor moveWithCells="1" sizeWithCells="1">
              <from>
                <xdr:col>15</xdr:col>
                <xdr:colOff>0</xdr:colOff>
                <xdr:row>56</xdr:row>
                <xdr:rowOff>0</xdr:rowOff>
              </from>
              <to>
                <xdr:col>15</xdr:col>
                <xdr:colOff>619125</xdr:colOff>
                <xdr:row>57</xdr:row>
                <xdr:rowOff>28575</xdr:rowOff>
              </to>
            </anchor>
          </objectPr>
        </oleObject>
      </mc:Choice>
      <mc:Fallback>
        <oleObject progId="Equation.DSMT4" shapeId="5122" r:id="rId5"/>
      </mc:Fallback>
    </mc:AlternateContent>
    <mc:AlternateContent xmlns:mc="http://schemas.openxmlformats.org/markup-compatibility/2006">
      <mc:Choice Requires="x14">
        <oleObject progId="Equation.DSMT4" shapeId="5123" r:id="rId7">
          <objectPr defaultSize="0" autoPict="0" r:id="rId8">
            <anchor moveWithCells="1" sizeWithCells="1">
              <from>
                <xdr:col>15</xdr:col>
                <xdr:colOff>0</xdr:colOff>
                <xdr:row>57</xdr:row>
                <xdr:rowOff>0</xdr:rowOff>
              </from>
              <to>
                <xdr:col>15</xdr:col>
                <xdr:colOff>219075</xdr:colOff>
                <xdr:row>58</xdr:row>
                <xdr:rowOff>38100</xdr:rowOff>
              </to>
            </anchor>
          </objectPr>
        </oleObject>
      </mc:Choice>
      <mc:Fallback>
        <oleObject progId="Equation.DSMT4" shapeId="5123" r:id="rId7"/>
      </mc:Fallback>
    </mc:AlternateContent>
    <mc:AlternateContent xmlns:mc="http://schemas.openxmlformats.org/markup-compatibility/2006">
      <mc:Choice Requires="x14">
        <oleObject progId="Equation.DSMT4" shapeId="5124" r:id="rId9">
          <objectPr defaultSize="0" autoPict="0" r:id="rId10">
            <anchor moveWithCells="1" sizeWithCells="1">
              <from>
                <xdr:col>15</xdr:col>
                <xdr:colOff>0</xdr:colOff>
                <xdr:row>58</xdr:row>
                <xdr:rowOff>0</xdr:rowOff>
              </from>
              <to>
                <xdr:col>15</xdr:col>
                <xdr:colOff>409575</xdr:colOff>
                <xdr:row>59</xdr:row>
                <xdr:rowOff>38100</xdr:rowOff>
              </to>
            </anchor>
          </objectPr>
        </oleObject>
      </mc:Choice>
      <mc:Fallback>
        <oleObject progId="Equation.DSMT4" shapeId="5124" r:id="rId9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1A416-870E-4862-8575-C32ACA3A4936}">
  <dimension ref="A1:B11"/>
  <sheetViews>
    <sheetView workbookViewId="0">
      <selection activeCell="F17" sqref="F17"/>
    </sheetView>
  </sheetViews>
  <sheetFormatPr defaultRowHeight="16.5"/>
  <sheetData>
    <row r="1" spans="1:2" ht="17.25" thickBot="1">
      <c r="A1" s="107" t="s">
        <v>147</v>
      </c>
      <c r="B1" s="107" t="s">
        <v>148</v>
      </c>
    </row>
    <row r="2" spans="1:2" ht="17.25" thickBot="1">
      <c r="A2" s="25" t="s">
        <v>133</v>
      </c>
      <c r="B2" s="108">
        <v>0.22109999999999999</v>
      </c>
    </row>
    <row r="3" spans="1:2" ht="17.25" thickBot="1">
      <c r="A3" s="25" t="s">
        <v>131</v>
      </c>
      <c r="B3" s="108">
        <v>0.18770000000000001</v>
      </c>
    </row>
    <row r="4" spans="1:2" ht="17.25" thickBot="1">
      <c r="A4" s="25" t="s">
        <v>134</v>
      </c>
      <c r="B4" s="108">
        <v>0.33450000000000002</v>
      </c>
    </row>
    <row r="5" spans="1:2" ht="17.25" thickBot="1">
      <c r="A5" s="25" t="s">
        <v>135</v>
      </c>
      <c r="B5" s="108">
        <v>0.22650000000000001</v>
      </c>
    </row>
    <row r="6" spans="1:2">
      <c r="A6" s="25" t="s">
        <v>136</v>
      </c>
      <c r="B6" s="108">
        <v>0.18770000000000001</v>
      </c>
    </row>
    <row r="7" spans="1:2">
      <c r="A7" s="3"/>
      <c r="B7" s="108"/>
    </row>
    <row r="8" spans="1:2">
      <c r="A8" s="3"/>
      <c r="B8" s="108"/>
    </row>
    <row r="9" spans="1:2">
      <c r="A9" s="3"/>
      <c r="B9" s="108"/>
    </row>
    <row r="10" spans="1:2">
      <c r="A10" s="3"/>
      <c r="B10" s="108"/>
    </row>
    <row r="11" spans="1:2">
      <c r="A11" s="3"/>
      <c r="B11" s="109"/>
    </row>
  </sheetData>
  <phoneticPr fontId="1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具名範圍</vt:lpstr>
      </vt:variant>
      <vt:variant>
        <vt:i4>4</vt:i4>
      </vt:variant>
    </vt:vector>
  </HeadingPairs>
  <TitlesOfParts>
    <vt:vector size="10" baseType="lpstr">
      <vt:lpstr>Answer sheet</vt:lpstr>
      <vt:lpstr>raw data</vt:lpstr>
      <vt:lpstr>Index &amp; TB Model</vt:lpstr>
      <vt:lpstr>Expected Return x 0.5</vt:lpstr>
      <vt:lpstr>Benchmark risk = 0.04</vt:lpstr>
      <vt:lpstr>raw</vt:lpstr>
      <vt:lpstr>XX_TEJ1</vt:lpstr>
      <vt:lpstr>XX_TEJ2</vt:lpstr>
      <vt:lpstr>XX_TEJ6</vt:lpstr>
      <vt:lpstr>XX_TEJ7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yi-chun</dc:creator>
  <cp:lastModifiedBy>陳柏融</cp:lastModifiedBy>
  <cp:lastPrinted>2015-11-13T05:38:00Z</cp:lastPrinted>
  <dcterms:created xsi:type="dcterms:W3CDTF">2015-11-07T02:52:00Z</dcterms:created>
  <dcterms:modified xsi:type="dcterms:W3CDTF">2025-07-29T14:46:53Z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92494A22CF1B4934BAA17A4144D825FF_12</vt:lpwstr>
  </property>
  <property fmtid="{D5CDD505-2E9C-101B-9397-08002B2CF9AE}" pid="3" name="KSOProductBuildVer">
    <vt:lpwstr>1033-12.2.0.20795</vt:lpwstr>
  </property>
</Properties>
</file>