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palazzi/Programming/shipping_sprint/lcoa_model/LCOA_Optimisation/data/"/>
    </mc:Choice>
  </mc:AlternateContent>
  <xr:revisionPtr revIDLastSave="0" documentId="13_ncr:1_{8FC56EBB-5D49-594B-8B2C-6071C8F240D8}" xr6:coauthVersionLast="47" xr6:coauthVersionMax="47" xr10:uidLastSave="{00000000-0000-0000-0000-000000000000}"/>
  <bookViews>
    <workbookView xWindow="1000" yWindow="500" windowWidth="27800" windowHeight="17500" activeTab="2" xr2:uid="{A11FE8FD-DB30-4178-A38C-42FEF5E50A0D}"/>
  </bookViews>
  <sheets>
    <sheet name="Cost Trajectories" sheetId="2" r:id="rId1"/>
    <sheet name="Discount Rate Calculation" sheetId="3" r:id="rId2"/>
    <sheet name="Costs" sheetId="4" r:id="rId3"/>
    <sheet name="Efficienc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3" l="1"/>
  <c r="G6" i="3"/>
  <c r="K3" i="3" l="1"/>
  <c r="B1" i="3" s="1"/>
  <c r="B10" i="4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11" i="4" l="1"/>
  <c r="C12" i="4" s="1"/>
  <c r="D11" i="4"/>
  <c r="D12" i="4" s="1"/>
  <c r="E11" i="4"/>
  <c r="E12" i="4" s="1"/>
  <c r="F11" i="4"/>
  <c r="F12" i="4" s="1"/>
  <c r="B11" i="4"/>
  <c r="B12" i="4" s="1"/>
  <c r="C1" i="5"/>
  <c r="D1" i="5" s="1"/>
  <c r="E1" i="5" s="1"/>
  <c r="F1" i="5" s="1"/>
  <c r="C10" i="4"/>
  <c r="D10" i="4"/>
  <c r="E10" i="4"/>
  <c r="F10" i="4"/>
  <c r="K6" i="3" l="1"/>
  <c r="K7" i="3"/>
  <c r="K8" i="3"/>
  <c r="K9" i="3"/>
  <c r="K10" i="3"/>
  <c r="J10" i="3"/>
  <c r="J9" i="3"/>
  <c r="J8" i="3"/>
  <c r="J7" i="3"/>
  <c r="J6" i="3"/>
  <c r="F14" i="3"/>
  <c r="F15" i="3" s="1"/>
  <c r="F16" i="3" s="1"/>
  <c r="F17" i="3" s="1"/>
  <c r="F7" i="3"/>
  <c r="F8" i="3" s="1"/>
  <c r="F9" i="3" s="1"/>
  <c r="F10" i="3" s="1"/>
  <c r="C1" i="4"/>
  <c r="D1" i="4" s="1"/>
  <c r="E1" i="4" s="1"/>
  <c r="F1" i="4" s="1"/>
  <c r="B8" i="3"/>
  <c r="B9" i="3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/>
  <c r="B28" i="3"/>
  <c r="B29" i="3"/>
  <c r="B30" i="3"/>
  <c r="B31" i="3"/>
  <c r="B32" i="3"/>
  <c r="B33" i="3"/>
  <c r="B34" i="3"/>
  <c r="B35" i="3"/>
  <c r="B36" i="3"/>
  <c r="B37" i="3"/>
  <c r="A9" i="3" l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B7" i="3"/>
  <c r="H9" i="3" l="1"/>
  <c r="H10" i="3"/>
  <c r="H7" i="3"/>
  <c r="H6" i="3"/>
  <c r="G7" i="3"/>
  <c r="H8" i="3"/>
  <c r="G9" i="3"/>
  <c r="G8" i="3"/>
  <c r="C7" i="3"/>
  <c r="D7" i="3" s="1"/>
  <c r="D8" i="3" l="1"/>
  <c r="D9" i="3" l="1"/>
  <c r="D10" i="3" l="1"/>
  <c r="D11" i="3" l="1"/>
  <c r="D12" i="3" l="1"/>
  <c r="D13" i="3" l="1"/>
  <c r="D14" i="3" l="1"/>
  <c r="D15" i="3" l="1"/>
  <c r="D16" i="3" l="1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G1" i="3" s="1"/>
  <c r="G2" i="3"/>
  <c r="G3" i="3" l="1"/>
  <c r="G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tc={F3617B89-24BA-4027-98C0-525B2CD6ACD2}</author>
  </authors>
  <commentList>
    <comment ref="B1" authorId="0" shapeId="0" xr:uid="{F3617B89-24BA-4027-98C0-525B2CD6ACD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tc={54B181E5-E430-4250-A23A-19F9F1006FE3}</author>
  </authors>
  <commentList>
    <comment ref="B1" authorId="0" shapeId="0" xr:uid="{54B181E5-E430-4250-A23A-19F9F1006FE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  </r>
      </text>
    </comment>
  </commentList>
</comments>
</file>

<file path=xl/sharedStrings.xml><?xml version="1.0" encoding="utf-8"?>
<sst xmlns="http://schemas.openxmlformats.org/spreadsheetml/2006/main" count="45" uniqueCount="36">
  <si>
    <t>Wind electricity, $(2018)/MWh</t>
  </si>
  <si>
    <t>Solar PV electricity, $(2018)/MWh</t>
  </si>
  <si>
    <t>batteries_ST_electricity, $(2018)/kWh</t>
  </si>
  <si>
    <t>Hydrogen electrolysers, $(2018)/kW</t>
  </si>
  <si>
    <t>Wind</t>
  </si>
  <si>
    <t>Fixed PV</t>
  </si>
  <si>
    <t>FC</t>
  </si>
  <si>
    <t>Battery</t>
  </si>
  <si>
    <t>CAPEX</t>
  </si>
  <si>
    <t>Discount Rate</t>
  </si>
  <si>
    <t>NPV</t>
  </si>
  <si>
    <t>Inputs</t>
  </si>
  <si>
    <t>O&amp;M (as frac)</t>
  </si>
  <si>
    <t>Net Time</t>
  </si>
  <si>
    <t>Outputs</t>
  </si>
  <si>
    <t>O&amp;M (As value)</t>
  </si>
  <si>
    <t>Annual Cost</t>
  </si>
  <si>
    <t>Year</t>
  </si>
  <si>
    <t>Discount Factor</t>
  </si>
  <si>
    <t>Discounted CAPEX</t>
  </si>
  <si>
    <t>Discounted OPEX</t>
  </si>
  <si>
    <t>Solar</t>
  </si>
  <si>
    <t>Electrolysis</t>
  </si>
  <si>
    <t>H2 Storage</t>
  </si>
  <si>
    <t>Project lifetime</t>
  </si>
  <si>
    <t>HB</t>
  </si>
  <si>
    <t>BatteryInterfaceIn</t>
  </si>
  <si>
    <t>HydrogenFuelCell</t>
  </si>
  <si>
    <t>Ammonia</t>
  </si>
  <si>
    <t>Equipment</t>
  </si>
  <si>
    <t>CompressedH2Store</t>
  </si>
  <si>
    <t>Nuclear Electricity (USD/MWh)</t>
  </si>
  <si>
    <t>Nuclear Hydrogen (USD/kg)</t>
  </si>
  <si>
    <t>Discounted</t>
  </si>
  <si>
    <t>Note that for this version of the model, we pre-calculate the annualised cost of all capital equipment. This tab takes the capital costs of the equipment and uses a Data Table to discount them at the appropriate rate over the project lifetime</t>
  </si>
  <si>
    <t>^ These values come from Nastya's data on the Raw 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</si>
</sst>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5" borderId="2" applyNumberFormat="0" applyFont="0" applyAlignment="0" applyProtection="0"/>
  </cellStyleXfs>
  <cellXfs count="10">
    <xf numFmtId="0" fontId="0" fillId="0" borderId="0" xfId="0"/>
    <xf numFmtId="11" fontId="1" fillId="2" borderId="1" xfId="1" applyNumberFormat="1"/>
    <xf numFmtId="1" fontId="2" fillId="3" borderId="1" xfId="2" applyNumberFormat="1"/>
    <xf numFmtId="11" fontId="0" fillId="0" borderId="0" xfId="0" applyNumberFormat="1"/>
    <xf numFmtId="2" fontId="2" fillId="3" borderId="1" xfId="2" applyNumberFormat="1"/>
    <xf numFmtId="0" fontId="2" fillId="3" borderId="1" xfId="2"/>
    <xf numFmtId="164" fontId="2" fillId="3" borderId="1" xfId="2" applyNumberFormat="1"/>
    <xf numFmtId="0" fontId="0" fillId="4" borderId="0" xfId="0" applyFill="1"/>
    <xf numFmtId="164" fontId="0" fillId="0" borderId="0" xfId="0" applyNumberFormat="1"/>
    <xf numFmtId="0" fontId="0" fillId="5" borderId="2" xfId="3" applyFont="1" applyAlignment="1">
      <alignment horizont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almon" id="{511D7361-E6AA-4A83-B1A1-9A38ED9EB822}" userId="S::worc5561@ox.ac.uk::07791949-7686-4e00-86c5-eaf8eac814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F3617B89-24BA-4027-98C0-525B2CD6ACD2}">
    <text>Note costs are capitalised to per 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54B181E5-E430-4250-A23A-19F9F1006FE3}">
    <text>Note costs are capitalised to per year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997-6B81-4F41-B7A2-83912DF5638D}">
  <dimension ref="A1:AG11"/>
  <sheetViews>
    <sheetView topLeftCell="L1" workbookViewId="0">
      <selection activeCell="AG3" sqref="AG3"/>
    </sheetView>
  </sheetViews>
  <sheetFormatPr baseColWidth="10" defaultColWidth="8.83203125" defaultRowHeight="15" x14ac:dyDescent="0.2"/>
  <cols>
    <col min="13" max="13" width="9.1640625" style="7"/>
    <col min="18" max="18" width="9.1640625" style="7"/>
    <col min="23" max="23" width="9.1640625" style="7"/>
    <col min="28" max="28" width="9.1640625" style="7"/>
    <col min="33" max="33" width="9.1640625" style="7"/>
  </cols>
  <sheetData>
    <row r="1" spans="1:33" x14ac:dyDescent="0.2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 s="7">
        <v>2030</v>
      </c>
      <c r="N1">
        <v>2031</v>
      </c>
      <c r="O1">
        <v>2032</v>
      </c>
      <c r="P1">
        <v>2033</v>
      </c>
      <c r="Q1">
        <v>2034</v>
      </c>
      <c r="R1" s="7">
        <v>2035</v>
      </c>
      <c r="S1">
        <v>2036</v>
      </c>
      <c r="T1">
        <v>2037</v>
      </c>
      <c r="U1">
        <v>2038</v>
      </c>
      <c r="V1">
        <v>2039</v>
      </c>
      <c r="W1" s="7">
        <v>2040</v>
      </c>
      <c r="X1">
        <v>2041</v>
      </c>
      <c r="Y1">
        <v>2042</v>
      </c>
      <c r="Z1">
        <v>2043</v>
      </c>
      <c r="AA1">
        <v>2044</v>
      </c>
      <c r="AB1" s="7">
        <v>2045</v>
      </c>
      <c r="AC1">
        <v>2046</v>
      </c>
      <c r="AD1">
        <v>2047</v>
      </c>
      <c r="AE1">
        <v>2048</v>
      </c>
      <c r="AF1">
        <v>2049</v>
      </c>
      <c r="AG1" s="7">
        <v>2050</v>
      </c>
    </row>
    <row r="2" spans="1:33" x14ac:dyDescent="0.2">
      <c r="A2" t="s">
        <v>0</v>
      </c>
      <c r="B2">
        <v>53.670785033390501</v>
      </c>
      <c r="C2">
        <v>52.3589653374436</v>
      </c>
      <c r="D2">
        <v>51.1294970260018</v>
      </c>
      <c r="E2">
        <v>49.970902237220699</v>
      </c>
      <c r="F2">
        <v>48.874266865465501</v>
      </c>
      <c r="G2">
        <v>47.832563913698699</v>
      </c>
      <c r="H2">
        <v>46.8401825215416</v>
      </c>
      <c r="I2">
        <v>45.892591128617603</v>
      </c>
      <c r="J2">
        <v>44.986090567625702</v>
      </c>
      <c r="K2">
        <v>44.117628980589799</v>
      </c>
      <c r="L2">
        <v>43.284660247136998</v>
      </c>
      <c r="M2" s="7">
        <v>42.4850337759773</v>
      </c>
      <c r="N2">
        <v>41.716907461161597</v>
      </c>
      <c r="O2">
        <v>40.978678232212197</v>
      </c>
      <c r="P2">
        <v>40.268926352452198</v>
      </c>
      <c r="Q2">
        <v>39.586370791037503</v>
      </c>
      <c r="R2" s="7">
        <v>38.929833748509701</v>
      </c>
      <c r="S2">
        <v>38.298212909607599</v>
      </c>
      <c r="T2">
        <v>37.690460291225001</v>
      </c>
      <c r="U2">
        <v>37.105566726567503</v>
      </c>
      <c r="V2">
        <v>36.542551117420203</v>
      </c>
      <c r="W2" s="7">
        <v>36.000453638509498</v>
      </c>
      <c r="X2">
        <v>35.478332119579299</v>
      </c>
      <c r="Y2">
        <v>34.975260875243499</v>
      </c>
      <c r="Z2">
        <v>34.490331312049399</v>
      </c>
      <c r="AA2">
        <v>34.022653721199099</v>
      </c>
      <c r="AB2" s="7">
        <v>33.571359751516098</v>
      </c>
      <c r="AC2">
        <v>33.135605155891497</v>
      </c>
      <c r="AD2">
        <v>32.714572500203097</v>
      </c>
      <c r="AE2">
        <v>32.307473612151099</v>
      </c>
      <c r="AF2">
        <v>31.916943531406801</v>
      </c>
      <c r="AG2" s="7">
        <v>31.5413680487299</v>
      </c>
    </row>
    <row r="3" spans="1:33" x14ac:dyDescent="0.2">
      <c r="A3" t="s">
        <v>1</v>
      </c>
      <c r="B3">
        <v>64.483964491187194</v>
      </c>
      <c r="C3">
        <v>59.862393923900498</v>
      </c>
      <c r="D3">
        <v>55.873004289262603</v>
      </c>
      <c r="E3">
        <v>52.361384390656099</v>
      </c>
      <c r="F3">
        <v>49.224816573715799</v>
      </c>
      <c r="G3">
        <v>46.391775833927497</v>
      </c>
      <c r="H3">
        <v>43.810606718272901</v>
      </c>
      <c r="I3">
        <v>41.442868310614301</v>
      </c>
      <c r="J3">
        <v>39.259221669360301</v>
      </c>
      <c r="K3">
        <v>37.2367811062879</v>
      </c>
      <c r="L3">
        <v>35.357347909237397</v>
      </c>
      <c r="M3" s="7">
        <v>33.606196986752799</v>
      </c>
      <c r="N3">
        <v>31.971221614622401</v>
      </c>
      <c r="O3">
        <v>30.442316783374601</v>
      </c>
      <c r="P3">
        <v>29.0109255510718</v>
      </c>
      <c r="Q3">
        <v>27.6696993159781</v>
      </c>
      <c r="R3" s="7">
        <v>26.4122393675786</v>
      </c>
      <c r="S3">
        <v>25.232897660412402</v>
      </c>
      <c r="T3">
        <v>24.1266216506224</v>
      </c>
      <c r="U3">
        <v>23.088832675002799</v>
      </c>
      <c r="V3">
        <v>22.115330473138702</v>
      </c>
      <c r="W3" s="7">
        <v>21.202218578529699</v>
      </c>
      <c r="X3">
        <v>20.345846722134201</v>
      </c>
      <c r="Y3">
        <v>19.542767318837001</v>
      </c>
      <c r="Z3">
        <v>18.789703682206099</v>
      </c>
      <c r="AA3">
        <v>18.083527952880502</v>
      </c>
      <c r="AB3" s="7">
        <v>17.421246918880001</v>
      </c>
      <c r="AC3">
        <v>16.799994028845902</v>
      </c>
      <c r="AD3">
        <v>16.217026007321401</v>
      </c>
      <c r="AE3">
        <v>15.669722607969801</v>
      </c>
      <c r="AF3">
        <v>15.1555882089094</v>
      </c>
      <c r="AG3" s="7">
        <v>14.672254159986901</v>
      </c>
    </row>
    <row r="4" spans="1:33" x14ac:dyDescent="0.2">
      <c r="A4" t="s">
        <v>2</v>
      </c>
      <c r="B4">
        <v>338.56754410003799</v>
      </c>
      <c r="C4">
        <v>326.20061404106002</v>
      </c>
      <c r="D4">
        <v>310.40673284133601</v>
      </c>
      <c r="E4">
        <v>290.93518593974102</v>
      </c>
      <c r="F4">
        <v>268.10877331006498</v>
      </c>
      <c r="G4">
        <v>242.872329028384</v>
      </c>
      <c r="H4">
        <v>216.57433290636601</v>
      </c>
      <c r="I4">
        <v>190.59120143255899</v>
      </c>
      <c r="J4">
        <v>167.41298034901899</v>
      </c>
      <c r="K4">
        <v>161.77157374042201</v>
      </c>
      <c r="L4">
        <v>156.32402719441399</v>
      </c>
      <c r="M4" s="7">
        <v>150.429626194268</v>
      </c>
      <c r="N4">
        <v>144.25429760216699</v>
      </c>
      <c r="O4">
        <v>137.56141418355199</v>
      </c>
      <c r="P4">
        <v>130.14999748157501</v>
      </c>
      <c r="Q4">
        <v>121.23167770011401</v>
      </c>
      <c r="R4" s="7">
        <v>111.720727357351</v>
      </c>
      <c r="S4">
        <v>106.334315178944</v>
      </c>
      <c r="T4">
        <v>101.01318367309</v>
      </c>
      <c r="U4">
        <v>97.929286341762193</v>
      </c>
      <c r="V4">
        <v>95.030602799729706</v>
      </c>
      <c r="W4" s="7">
        <v>92.224518964287995</v>
      </c>
      <c r="X4">
        <v>89.532376465837899</v>
      </c>
      <c r="Y4">
        <v>86.916982218914299</v>
      </c>
      <c r="Z4">
        <v>84.332877546609197</v>
      </c>
      <c r="AA4">
        <v>81.586147373130302</v>
      </c>
      <c r="AB4" s="7">
        <v>78.760686827086602</v>
      </c>
      <c r="AC4">
        <v>75.771030639414107</v>
      </c>
      <c r="AD4">
        <v>72.573234937594904</v>
      </c>
      <c r="AE4">
        <v>70.7321902709879</v>
      </c>
      <c r="AF4">
        <v>69.000353110324198</v>
      </c>
      <c r="AG4" s="7">
        <v>67.355455146569199</v>
      </c>
    </row>
    <row r="5" spans="1:33" x14ac:dyDescent="0.2">
      <c r="A5" t="s">
        <v>3</v>
      </c>
      <c r="B5">
        <v>977.36748408921801</v>
      </c>
      <c r="C5">
        <v>939.10049869203101</v>
      </c>
      <c r="D5">
        <v>899.81788953203397</v>
      </c>
      <c r="E5">
        <v>859.58606545228395</v>
      </c>
      <c r="F5">
        <v>818.64305516714705</v>
      </c>
      <c r="G5">
        <v>777.34619167109599</v>
      </c>
      <c r="H5">
        <v>736.11203204916103</v>
      </c>
      <c r="I5">
        <v>695.36137482103004</v>
      </c>
      <c r="J5">
        <v>655.47621312395199</v>
      </c>
      <c r="K5">
        <v>616.77402800105995</v>
      </c>
      <c r="L5">
        <v>579.51602732760296</v>
      </c>
      <c r="M5" s="7">
        <v>542.92513010859898</v>
      </c>
      <c r="N5">
        <v>508.40440641465602</v>
      </c>
      <c r="O5">
        <v>460.11767203788901</v>
      </c>
      <c r="P5">
        <v>431.10279301062798</v>
      </c>
      <c r="Q5">
        <v>403.75711494109697</v>
      </c>
      <c r="R5" s="7">
        <v>378.09918840464098</v>
      </c>
      <c r="S5">
        <v>354.07025927067298</v>
      </c>
      <c r="T5">
        <v>331.623887887075</v>
      </c>
      <c r="U5">
        <v>310.73234219508402</v>
      </c>
      <c r="V5">
        <v>291.39447352921798</v>
      </c>
      <c r="W5" s="7">
        <v>273.62839462440598</v>
      </c>
      <c r="X5">
        <v>257.51902808023402</v>
      </c>
      <c r="Y5">
        <v>242.87115106160101</v>
      </c>
      <c r="Z5">
        <v>230.31143106857101</v>
      </c>
      <c r="AA5">
        <v>219.51593861236799</v>
      </c>
      <c r="AB5" s="7">
        <v>210.32147314159701</v>
      </c>
      <c r="AC5">
        <v>202.44351494554999</v>
      </c>
      <c r="AD5">
        <v>195.55519853215699</v>
      </c>
      <c r="AE5">
        <v>189.36699151365701</v>
      </c>
      <c r="AF5">
        <v>183.65454608101601</v>
      </c>
      <c r="AG5" s="7">
        <v>178.29650525413601</v>
      </c>
    </row>
    <row r="8" spans="1:33" s="7" customFormat="1" x14ac:dyDescent="0.2">
      <c r="C8" s="7" t="s">
        <v>4</v>
      </c>
      <c r="D8" s="5">
        <v>1.325</v>
      </c>
      <c r="E8" s="7">
        <f t="shared" ref="E8:AG8" si="0">$D8*E2/$D2</f>
        <v>1.294975489992513</v>
      </c>
      <c r="F8" s="7">
        <f t="shared" si="0"/>
        <v>1.2665566329316527</v>
      </c>
      <c r="G8" s="7">
        <f t="shared" si="0"/>
        <v>1.2395613270637094</v>
      </c>
      <c r="H8" s="7">
        <f t="shared" si="0"/>
        <v>1.2138441692371917</v>
      </c>
      <c r="I8" s="7">
        <f t="shared" si="0"/>
        <v>1.1892877259186552</v>
      </c>
      <c r="J8" s="7">
        <f t="shared" si="0"/>
        <v>1.1657961347007042</v>
      </c>
      <c r="K8" s="7">
        <f t="shared" si="0"/>
        <v>1.1432903079323051</v>
      </c>
      <c r="L8" s="7">
        <f t="shared" si="0"/>
        <v>1.1217042639455301</v>
      </c>
      <c r="M8" s="7">
        <f t="shared" si="0"/>
        <v>1.1009822710468362</v>
      </c>
      <c r="N8" s="7">
        <f t="shared" si="0"/>
        <v>1.0810765918140985</v>
      </c>
      <c r="O8" s="7">
        <f t="shared" si="0"/>
        <v>1.0619456833316521</v>
      </c>
      <c r="P8" s="7">
        <f t="shared" si="0"/>
        <v>1.0435527537042837</v>
      </c>
      <c r="Q8" s="7">
        <f t="shared" si="0"/>
        <v>1.0258646055416967</v>
      </c>
      <c r="R8" s="7">
        <f t="shared" si="0"/>
        <v>1.0088507166527263</v>
      </c>
      <c r="S8" s="7">
        <f t="shared" si="0"/>
        <v>0.99248252098830025</v>
      </c>
      <c r="T8" s="7">
        <f t="shared" si="0"/>
        <v>0.9767328604949177</v>
      </c>
      <c r="U8" s="7">
        <f t="shared" si="0"/>
        <v>0.96157558302791912</v>
      </c>
      <c r="V8" s="7">
        <f t="shared" si="0"/>
        <v>0.9469852638284012</v>
      </c>
      <c r="W8" s="7">
        <f t="shared" si="0"/>
        <v>0.93293702941703183</v>
      </c>
      <c r="X8" s="7">
        <f t="shared" si="0"/>
        <v>0.91940646383703617</v>
      </c>
      <c r="Y8" s="7">
        <f t="shared" si="0"/>
        <v>0.90636957833030118</v>
      </c>
      <c r="Z8" s="7">
        <f t="shared" si="0"/>
        <v>0.89380282706917635</v>
      </c>
      <c r="AA8" s="7">
        <f t="shared" si="0"/>
        <v>0.88168315361411553</v>
      </c>
      <c r="AB8" s="7">
        <f t="shared" si="0"/>
        <v>0.86998805499959397</v>
      </c>
      <c r="AC8" s="7">
        <f t="shared" si="0"/>
        <v>0.8586956529071389</v>
      </c>
      <c r="AD8" s="7">
        <f t="shared" si="0"/>
        <v>0.84778476386585955</v>
      </c>
      <c r="AE8" s="7">
        <f t="shared" si="0"/>
        <v>0.83723496271302233</v>
      </c>
      <c r="AF8" s="7">
        <f t="shared" si="0"/>
        <v>0.82711453542379931</v>
      </c>
      <c r="AG8" s="7">
        <f t="shared" si="0"/>
        <v>0.81738165042604893</v>
      </c>
    </row>
    <row r="9" spans="1:33" s="7" customFormat="1" x14ac:dyDescent="0.2">
      <c r="C9" s="7" t="s">
        <v>5</v>
      </c>
      <c r="D9" s="5">
        <v>0.85699999999999998</v>
      </c>
      <c r="E9" s="7">
        <f t="shared" ref="E9:AG9" si="1">$D9*E3/$D3</f>
        <v>0.80313752578033248</v>
      </c>
      <c r="F9" s="7">
        <f t="shared" si="1"/>
        <v>0.75502773370254361</v>
      </c>
      <c r="G9" s="7">
        <f t="shared" si="1"/>
        <v>0.7115735478236368</v>
      </c>
      <c r="H9" s="7">
        <f t="shared" si="1"/>
        <v>0.67198265844414629</v>
      </c>
      <c r="I9" s="7">
        <f t="shared" si="1"/>
        <v>0.63566544512842393</v>
      </c>
      <c r="J9" s="7">
        <f t="shared" si="1"/>
        <v>0.60217189676173422</v>
      </c>
      <c r="K9" s="7">
        <f t="shared" si="1"/>
        <v>0.57115098452333279</v>
      </c>
      <c r="L9" s="7">
        <f t="shared" si="1"/>
        <v>0.54232357009733212</v>
      </c>
      <c r="M9" s="7">
        <f t="shared" si="1"/>
        <v>0.51546379479690674</v>
      </c>
      <c r="N9" s="7">
        <f t="shared" si="1"/>
        <v>0.49038596138272927</v>
      </c>
      <c r="O9" s="7">
        <f t="shared" si="1"/>
        <v>0.46693507562767123</v>
      </c>
      <c r="P9" s="7">
        <f t="shared" si="1"/>
        <v>0.44497988811470546</v>
      </c>
      <c r="Q9" s="7">
        <f t="shared" si="1"/>
        <v>0.42440768337832635</v>
      </c>
      <c r="R9" s="7">
        <f t="shared" si="1"/>
        <v>0.40512031572221713</v>
      </c>
      <c r="S9" s="7">
        <f t="shared" si="1"/>
        <v>0.38703115341748562</v>
      </c>
      <c r="T9" s="7">
        <f t="shared" si="1"/>
        <v>0.37006269875051101</v>
      </c>
      <c r="U9" s="7">
        <f t="shared" si="1"/>
        <v>0.35414472255754453</v>
      </c>
      <c r="V9" s="7">
        <f t="shared" si="1"/>
        <v>0.33921279975134844</v>
      </c>
      <c r="W9" s="7">
        <f t="shared" si="1"/>
        <v>0.32520716494372987</v>
      </c>
      <c r="X9" s="7">
        <f t="shared" si="1"/>
        <v>0.31207182901063096</v>
      </c>
      <c r="Y9" s="7">
        <f t="shared" si="1"/>
        <v>0.2997539116661011</v>
      </c>
      <c r="Z9" s="7">
        <f t="shared" si="1"/>
        <v>0.28820315392893914</v>
      </c>
      <c r="AA9" s="7">
        <f t="shared" si="1"/>
        <v>0.2773715795804601</v>
      </c>
      <c r="AB9" s="7">
        <f t="shared" si="1"/>
        <v>0.26721327767136616</v>
      </c>
      <c r="AC9" s="7">
        <f t="shared" si="1"/>
        <v>0.25768428001799426</v>
      </c>
      <c r="AD9" s="7">
        <f t="shared" si="1"/>
        <v>0.24874250928628314</v>
      </c>
      <c r="AE9" s="7">
        <f t="shared" si="1"/>
        <v>0.2403477752065469</v>
      </c>
      <c r="AF9" s="7">
        <f t="shared" si="1"/>
        <v>0.23246179904328843</v>
      </c>
      <c r="AG9" s="7">
        <f t="shared" si="1"/>
        <v>0.22504824959851327</v>
      </c>
    </row>
    <row r="11" spans="1:33" x14ac:dyDescent="0.2">
      <c r="E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C51-4234-4A9B-98D5-1B0DA6F3EF1C}">
  <dimension ref="A1:L37"/>
  <sheetViews>
    <sheetView workbookViewId="0">
      <selection activeCell="L5" sqref="L5"/>
    </sheetView>
  </sheetViews>
  <sheetFormatPr baseColWidth="10" defaultColWidth="8.83203125" defaultRowHeight="15" x14ac:dyDescent="0.2"/>
  <cols>
    <col min="1" max="1" width="15" bestFit="1" customWidth="1"/>
    <col min="2" max="2" width="13.83203125" bestFit="1" customWidth="1"/>
    <col min="3" max="3" width="16" bestFit="1" customWidth="1"/>
    <col min="4" max="4" width="15.1640625" bestFit="1" customWidth="1"/>
    <col min="6" max="6" width="11.5" bestFit="1" customWidth="1"/>
    <col min="7" max="7" width="11.83203125" bestFit="1" customWidth="1"/>
    <col min="8" max="8" width="10" bestFit="1" customWidth="1"/>
    <col min="11" max="11" width="12" bestFit="1" customWidth="1"/>
  </cols>
  <sheetData>
    <row r="1" spans="1:12" x14ac:dyDescent="0.2">
      <c r="A1" t="s">
        <v>8</v>
      </c>
      <c r="B1" s="1">
        <f>VLOOKUP(K3, F5:L10, 4)*1000000</f>
        <v>385000</v>
      </c>
      <c r="C1" t="s">
        <v>9</v>
      </c>
      <c r="D1" s="1">
        <v>0.08</v>
      </c>
      <c r="F1" t="s">
        <v>10</v>
      </c>
      <c r="G1" s="2">
        <f>SUM(C7:D37)</f>
        <v>466647.71384034806</v>
      </c>
      <c r="I1" s="1" t="s">
        <v>11</v>
      </c>
    </row>
    <row r="2" spans="1:12" x14ac:dyDescent="0.2">
      <c r="A2" t="s">
        <v>12</v>
      </c>
      <c r="B2" s="1">
        <v>0.02</v>
      </c>
      <c r="D2" s="3"/>
      <c r="F2" t="s">
        <v>13</v>
      </c>
      <c r="G2" s="4">
        <f>SUM(B7:B37)</f>
        <v>10.603599200045229</v>
      </c>
      <c r="I2" s="5" t="s">
        <v>14</v>
      </c>
    </row>
    <row r="3" spans="1:12" x14ac:dyDescent="0.2">
      <c r="A3" t="s">
        <v>15</v>
      </c>
      <c r="B3" s="1">
        <v>0</v>
      </c>
      <c r="D3" s="3"/>
      <c r="E3" s="3"/>
      <c r="F3" t="s">
        <v>16</v>
      </c>
      <c r="G3" s="6">
        <f>G1/G2</f>
        <v>44008.426293437951</v>
      </c>
      <c r="K3">
        <f>2030</f>
        <v>2030</v>
      </c>
    </row>
    <row r="4" spans="1:12" x14ac:dyDescent="0.2">
      <c r="A4" t="s">
        <v>24</v>
      </c>
      <c r="B4" s="1">
        <v>20</v>
      </c>
      <c r="D4" s="3"/>
      <c r="E4" s="3"/>
    </row>
    <row r="5" spans="1:12" x14ac:dyDescent="0.2">
      <c r="D5" s="3"/>
      <c r="F5" t="s">
        <v>8</v>
      </c>
      <c r="G5" t="s">
        <v>4</v>
      </c>
      <c r="H5" t="s">
        <v>21</v>
      </c>
      <c r="I5" t="s">
        <v>22</v>
      </c>
      <c r="J5" t="s">
        <v>7</v>
      </c>
      <c r="K5" t="s">
        <v>23</v>
      </c>
      <c r="L5" t="s">
        <v>6</v>
      </c>
    </row>
    <row r="6" spans="1:12" x14ac:dyDescent="0.2">
      <c r="A6" t="s">
        <v>17</v>
      </c>
      <c r="B6" t="s">
        <v>18</v>
      </c>
      <c r="C6" t="s">
        <v>19</v>
      </c>
      <c r="D6" s="3" t="s">
        <v>20</v>
      </c>
      <c r="F6">
        <v>2030</v>
      </c>
      <c r="G6">
        <f>HLOOKUP('Discount Rate Calculation'!F6, 'Cost Trajectories'!$M$1:$AG$9,  8)</f>
        <v>1.1009822710468362</v>
      </c>
      <c r="H6">
        <f>HLOOKUP('Discount Rate Calculation'!F6, 'Cost Trajectories'!$M$1:$AG$9,  9)</f>
        <v>0.51546379479690674</v>
      </c>
      <c r="I6">
        <v>0.38500000000000001</v>
      </c>
      <c r="J6">
        <f>0.207/2</f>
        <v>0.10349999999999999</v>
      </c>
      <c r="K6">
        <f t="shared" ref="K6:K10" si="0">0.87/39.4</f>
        <v>2.2081218274111677E-2</v>
      </c>
      <c r="L6">
        <v>0.45700000000000002</v>
      </c>
    </row>
    <row r="7" spans="1:12" x14ac:dyDescent="0.2">
      <c r="A7">
        <v>0</v>
      </c>
      <c r="B7">
        <f>1</f>
        <v>1</v>
      </c>
      <c r="C7" s="1">
        <f>B1*B7</f>
        <v>385000</v>
      </c>
      <c r="D7" s="1">
        <f t="shared" ref="D7:D37" si="1">B7*($B$2*$C$7 + $B$3)</f>
        <v>7700</v>
      </c>
      <c r="F7">
        <f>F6+5</f>
        <v>2035</v>
      </c>
      <c r="G7">
        <f>HLOOKUP('Discount Rate Calculation'!F7, 'Cost Trajectories'!$M$1:$AG$9,  8)</f>
        <v>1.0088507166527263</v>
      </c>
      <c r="H7">
        <f>HLOOKUP('Discount Rate Calculation'!F7, 'Cost Trajectories'!$M$1:$AG$9,  9)</f>
        <v>0.40512031572221713</v>
      </c>
      <c r="I7">
        <v>0.36299999999999999</v>
      </c>
      <c r="J7">
        <f>0.194/2</f>
        <v>9.7000000000000003E-2</v>
      </c>
      <c r="K7">
        <f t="shared" si="0"/>
        <v>2.2081218274111677E-2</v>
      </c>
      <c r="L7">
        <v>0.316</v>
      </c>
    </row>
    <row r="8" spans="1:12" x14ac:dyDescent="0.2">
      <c r="A8">
        <v>1</v>
      </c>
      <c r="B8">
        <f t="shared" ref="B8:B37" si="2">IF(A8&lt;$B$4, B7/(1+$D$1), 0)</f>
        <v>0.92592592592592582</v>
      </c>
      <c r="C8" s="1">
        <v>0</v>
      </c>
      <c r="D8" s="1">
        <f t="shared" si="1"/>
        <v>7129.6296296296287</v>
      </c>
      <c r="F8">
        <f>F7+5</f>
        <v>2040</v>
      </c>
      <c r="G8">
        <f>HLOOKUP('Discount Rate Calculation'!F8, 'Cost Trajectories'!$M$1:$AG$9,  8)</f>
        <v>0.93293702941703183</v>
      </c>
      <c r="H8">
        <f>HLOOKUP('Discount Rate Calculation'!F8, 'Cost Trajectories'!$M$1:$AG$9,  9)</f>
        <v>0.32520716494372987</v>
      </c>
      <c r="I8">
        <v>0.34</v>
      </c>
      <c r="J8">
        <f>0.182/2</f>
        <v>9.0999999999999998E-2</v>
      </c>
      <c r="K8">
        <f t="shared" si="0"/>
        <v>2.2081218274111677E-2</v>
      </c>
      <c r="L8">
        <v>0.26700000000000002</v>
      </c>
    </row>
    <row r="9" spans="1:12" x14ac:dyDescent="0.2">
      <c r="A9">
        <f t="shared" ref="A9:A37" si="3">A8+1</f>
        <v>2</v>
      </c>
      <c r="B9" s="3">
        <f t="shared" si="2"/>
        <v>0.8573388203017831</v>
      </c>
      <c r="C9" s="1">
        <v>0</v>
      </c>
      <c r="D9" s="1">
        <f t="shared" si="1"/>
        <v>6601.5089163237299</v>
      </c>
      <c r="F9">
        <f>F8+5</f>
        <v>2045</v>
      </c>
      <c r="G9">
        <f>HLOOKUP('Discount Rate Calculation'!F9, 'Cost Trajectories'!$M$1:$AG$9,  8)</f>
        <v>0.86998805499959397</v>
      </c>
      <c r="H9">
        <f>HLOOKUP('Discount Rate Calculation'!F9, 'Cost Trajectories'!$M$1:$AG$9,  9)</f>
        <v>0.26721327767136616</v>
      </c>
      <c r="I9">
        <v>0.318</v>
      </c>
      <c r="J9">
        <f>0.169/2</f>
        <v>8.4500000000000006E-2</v>
      </c>
      <c r="K9">
        <f t="shared" si="0"/>
        <v>2.2081218274111677E-2</v>
      </c>
      <c r="L9">
        <v>0.24299999999999999</v>
      </c>
    </row>
    <row r="10" spans="1:12" x14ac:dyDescent="0.2">
      <c r="A10">
        <f t="shared" si="3"/>
        <v>3</v>
      </c>
      <c r="B10" s="3">
        <f t="shared" si="2"/>
        <v>0.79383224102016947</v>
      </c>
      <c r="C10" s="1">
        <v>0</v>
      </c>
      <c r="D10" s="1">
        <f t="shared" si="1"/>
        <v>6112.5082558553049</v>
      </c>
      <c r="F10">
        <f>F9+5</f>
        <v>2050</v>
      </c>
      <c r="G10">
        <f>HLOOKUP('Discount Rate Calculation'!F10, 'Cost Trajectories'!$M$1:$AG$9,  8)</f>
        <v>0.81738165042604893</v>
      </c>
      <c r="H10">
        <f>HLOOKUP('Discount Rate Calculation'!F10, 'Cost Trajectories'!$M$1:$AG$9,  9)</f>
        <v>0.22504824959851327</v>
      </c>
      <c r="I10">
        <v>0.29499999999999998</v>
      </c>
      <c r="J10">
        <f>0.156/2</f>
        <v>7.8E-2</v>
      </c>
      <c r="K10">
        <f t="shared" si="0"/>
        <v>2.2081218274111677E-2</v>
      </c>
      <c r="L10">
        <v>0.218</v>
      </c>
    </row>
    <row r="11" spans="1:12" x14ac:dyDescent="0.2">
      <c r="A11">
        <f t="shared" si="3"/>
        <v>4</v>
      </c>
      <c r="B11" s="3">
        <f t="shared" si="2"/>
        <v>0.73502985279645316</v>
      </c>
      <c r="C11" s="1">
        <v>0</v>
      </c>
      <c r="D11" s="1">
        <f t="shared" si="1"/>
        <v>5659.7298665326898</v>
      </c>
    </row>
    <row r="12" spans="1:12" ht="14.5" customHeight="1" x14ac:dyDescent="0.2">
      <c r="A12">
        <f t="shared" si="3"/>
        <v>5</v>
      </c>
      <c r="B12" s="3">
        <f t="shared" si="2"/>
        <v>0.68058319703375292</v>
      </c>
      <c r="C12" s="1">
        <v>0</v>
      </c>
      <c r="D12" s="1">
        <f t="shared" si="1"/>
        <v>5240.4906171598977</v>
      </c>
      <c r="F12" t="s">
        <v>33</v>
      </c>
      <c r="G12" s="8">
        <f>G3</f>
        <v>44008.426293437951</v>
      </c>
      <c r="J12" s="9" t="s">
        <v>34</v>
      </c>
      <c r="K12" s="9"/>
      <c r="L12" s="9"/>
    </row>
    <row r="13" spans="1:12" x14ac:dyDescent="0.2">
      <c r="A13">
        <f t="shared" si="3"/>
        <v>6</v>
      </c>
      <c r="B13" s="3">
        <f t="shared" si="2"/>
        <v>0.63016962688310452</v>
      </c>
      <c r="C13" s="1">
        <v>0</v>
      </c>
      <c r="D13" s="1">
        <f t="shared" si="1"/>
        <v>4852.3061269999043</v>
      </c>
      <c r="F13">
        <v>2030</v>
      </c>
      <c r="G13">
        <f t="dataTable" ref="G13:G17" dt2D="0" dtr="0" r1="K3"/>
        <v>44008.426293437951</v>
      </c>
      <c r="J13" s="9"/>
      <c r="K13" s="9"/>
      <c r="L13" s="9"/>
    </row>
    <row r="14" spans="1:12" x14ac:dyDescent="0.2">
      <c r="A14">
        <f t="shared" si="3"/>
        <v>7</v>
      </c>
      <c r="B14" s="3">
        <f t="shared" si="2"/>
        <v>0.58349039526213375</v>
      </c>
      <c r="C14" s="1">
        <v>0</v>
      </c>
      <c r="D14" s="1">
        <f t="shared" si="1"/>
        <v>4492.8760435184295</v>
      </c>
      <c r="F14">
        <f>F13+5</f>
        <v>2035</v>
      </c>
      <c r="G14">
        <v>41493.659076670083</v>
      </c>
      <c r="J14" s="9"/>
      <c r="K14" s="9"/>
      <c r="L14" s="9"/>
    </row>
    <row r="15" spans="1:12" x14ac:dyDescent="0.2">
      <c r="A15">
        <f t="shared" si="3"/>
        <v>8</v>
      </c>
      <c r="B15" s="3">
        <f t="shared" si="2"/>
        <v>0.54026888450197563</v>
      </c>
      <c r="C15" s="1">
        <v>0</v>
      </c>
      <c r="D15" s="1">
        <f t="shared" si="1"/>
        <v>4160.070410665212</v>
      </c>
      <c r="F15">
        <f>F14+5</f>
        <v>2040</v>
      </c>
      <c r="G15">
        <v>38864.584259140021</v>
      </c>
      <c r="J15" s="9"/>
      <c r="K15" s="9"/>
      <c r="L15" s="9"/>
    </row>
    <row r="16" spans="1:12" x14ac:dyDescent="0.2">
      <c r="A16">
        <f t="shared" si="3"/>
        <v>9</v>
      </c>
      <c r="B16" s="3">
        <f t="shared" si="2"/>
        <v>0.50024896713145883</v>
      </c>
      <c r="C16" s="1">
        <v>0</v>
      </c>
      <c r="D16" s="1">
        <f t="shared" si="1"/>
        <v>3851.9170469122332</v>
      </c>
      <c r="F16">
        <f>F15+5</f>
        <v>2045</v>
      </c>
      <c r="G16">
        <v>36349.817042372124</v>
      </c>
      <c r="J16" s="9"/>
      <c r="K16" s="9"/>
      <c r="L16" s="9"/>
    </row>
    <row r="17" spans="1:12" x14ac:dyDescent="0.2">
      <c r="A17">
        <f t="shared" si="3"/>
        <v>10</v>
      </c>
      <c r="B17" s="3">
        <f t="shared" si="2"/>
        <v>0.46319348808468408</v>
      </c>
      <c r="C17" s="1">
        <v>0</v>
      </c>
      <c r="D17" s="1">
        <f t="shared" si="1"/>
        <v>3566.5898582520672</v>
      </c>
      <c r="F17">
        <f>F16+5</f>
        <v>2050</v>
      </c>
      <c r="G17">
        <v>33720.742224842084</v>
      </c>
      <c r="J17" s="9"/>
      <c r="K17" s="9"/>
      <c r="L17" s="9"/>
    </row>
    <row r="18" spans="1:12" x14ac:dyDescent="0.2">
      <c r="A18">
        <f t="shared" si="3"/>
        <v>11</v>
      </c>
      <c r="B18" s="3">
        <f t="shared" si="2"/>
        <v>0.4288828593376704</v>
      </c>
      <c r="C18" s="1">
        <v>0</v>
      </c>
      <c r="D18" s="1">
        <f t="shared" si="1"/>
        <v>3302.398016900062</v>
      </c>
      <c r="J18" s="9"/>
      <c r="K18" s="9"/>
      <c r="L18" s="9"/>
    </row>
    <row r="19" spans="1:12" x14ac:dyDescent="0.2">
      <c r="A19">
        <f t="shared" si="3"/>
        <v>12</v>
      </c>
      <c r="B19" s="3">
        <f t="shared" si="2"/>
        <v>0.39711375864599108</v>
      </c>
      <c r="C19" s="1">
        <v>0</v>
      </c>
      <c r="D19" s="1">
        <f t="shared" si="1"/>
        <v>3057.7759415741311</v>
      </c>
      <c r="J19" s="9"/>
      <c r="K19" s="9"/>
      <c r="L19" s="9"/>
    </row>
    <row r="20" spans="1:12" x14ac:dyDescent="0.2">
      <c r="A20">
        <f t="shared" si="3"/>
        <v>13</v>
      </c>
      <c r="B20" s="3">
        <f t="shared" si="2"/>
        <v>0.36769792467221396</v>
      </c>
      <c r="C20" s="1">
        <v>0</v>
      </c>
      <c r="D20" s="1">
        <f t="shared" si="1"/>
        <v>2831.2740199760474</v>
      </c>
    </row>
    <row r="21" spans="1:12" x14ac:dyDescent="0.2">
      <c r="A21">
        <f t="shared" si="3"/>
        <v>14</v>
      </c>
      <c r="B21" s="3">
        <f t="shared" si="2"/>
        <v>0.34046104136316108</v>
      </c>
      <c r="C21" s="1">
        <v>0</v>
      </c>
      <c r="D21" s="1">
        <f t="shared" si="1"/>
        <v>2621.5500184963403</v>
      </c>
    </row>
    <row r="22" spans="1:12" x14ac:dyDescent="0.2">
      <c r="A22">
        <f t="shared" si="3"/>
        <v>15</v>
      </c>
      <c r="B22" s="3">
        <f t="shared" si="2"/>
        <v>0.31524170496588988</v>
      </c>
      <c r="C22" s="1">
        <v>0</v>
      </c>
      <c r="D22" s="1">
        <f t="shared" si="1"/>
        <v>2427.3611282373522</v>
      </c>
    </row>
    <row r="23" spans="1:12" x14ac:dyDescent="0.2">
      <c r="A23">
        <f t="shared" si="3"/>
        <v>16</v>
      </c>
      <c r="B23" s="3">
        <f t="shared" si="2"/>
        <v>0.29189046756100911</v>
      </c>
      <c r="C23" s="1">
        <v>0</v>
      </c>
      <c r="D23" s="1">
        <f t="shared" si="1"/>
        <v>2247.5566002197702</v>
      </c>
    </row>
    <row r="24" spans="1:12" x14ac:dyDescent="0.2">
      <c r="A24">
        <f t="shared" si="3"/>
        <v>17</v>
      </c>
      <c r="B24" s="3">
        <f t="shared" si="2"/>
        <v>0.27026895144537877</v>
      </c>
      <c r="C24" s="1">
        <v>0</v>
      </c>
      <c r="D24" s="1">
        <f t="shared" si="1"/>
        <v>2081.0709261294164</v>
      </c>
    </row>
    <row r="25" spans="1:12" x14ac:dyDescent="0.2">
      <c r="A25">
        <f t="shared" si="3"/>
        <v>18</v>
      </c>
      <c r="B25" s="3">
        <f t="shared" si="2"/>
        <v>0.25024902911609143</v>
      </c>
      <c r="C25" s="1">
        <v>0</v>
      </c>
      <c r="D25" s="1">
        <f t="shared" si="1"/>
        <v>1926.917524193904</v>
      </c>
    </row>
    <row r="26" spans="1:12" x14ac:dyDescent="0.2">
      <c r="A26">
        <f t="shared" si="3"/>
        <v>19</v>
      </c>
      <c r="B26" s="3">
        <f t="shared" si="2"/>
        <v>0.23171206399638095</v>
      </c>
      <c r="C26" s="1">
        <v>0</v>
      </c>
      <c r="D26" s="1">
        <f t="shared" si="1"/>
        <v>1784.1828927721333</v>
      </c>
    </row>
    <row r="27" spans="1:12" x14ac:dyDescent="0.2">
      <c r="A27">
        <f t="shared" si="3"/>
        <v>20</v>
      </c>
      <c r="B27" s="3">
        <f t="shared" si="2"/>
        <v>0</v>
      </c>
      <c r="C27" s="1">
        <v>0</v>
      </c>
      <c r="D27" s="1">
        <f t="shared" si="1"/>
        <v>0</v>
      </c>
    </row>
    <row r="28" spans="1:12" x14ac:dyDescent="0.2">
      <c r="A28">
        <f t="shared" si="3"/>
        <v>21</v>
      </c>
      <c r="B28" s="3">
        <f t="shared" si="2"/>
        <v>0</v>
      </c>
      <c r="C28" s="1">
        <v>0</v>
      </c>
      <c r="D28" s="1">
        <f t="shared" si="1"/>
        <v>0</v>
      </c>
    </row>
    <row r="29" spans="1:12" x14ac:dyDescent="0.2">
      <c r="A29">
        <f t="shared" si="3"/>
        <v>22</v>
      </c>
      <c r="B29" s="3">
        <f t="shared" si="2"/>
        <v>0</v>
      </c>
      <c r="C29" s="1">
        <v>0</v>
      </c>
      <c r="D29" s="1">
        <f t="shared" si="1"/>
        <v>0</v>
      </c>
    </row>
    <row r="30" spans="1:12" x14ac:dyDescent="0.2">
      <c r="A30">
        <f t="shared" si="3"/>
        <v>23</v>
      </c>
      <c r="B30" s="3">
        <f t="shared" si="2"/>
        <v>0</v>
      </c>
      <c r="C30" s="1">
        <v>0</v>
      </c>
      <c r="D30" s="1">
        <f t="shared" si="1"/>
        <v>0</v>
      </c>
    </row>
    <row r="31" spans="1:12" x14ac:dyDescent="0.2">
      <c r="A31">
        <f t="shared" si="3"/>
        <v>24</v>
      </c>
      <c r="B31" s="3">
        <f t="shared" si="2"/>
        <v>0</v>
      </c>
      <c r="C31" s="1">
        <v>0</v>
      </c>
      <c r="D31" s="1">
        <f t="shared" si="1"/>
        <v>0</v>
      </c>
    </row>
    <row r="32" spans="1:12" x14ac:dyDescent="0.2">
      <c r="A32">
        <f t="shared" si="3"/>
        <v>25</v>
      </c>
      <c r="B32" s="3">
        <f t="shared" si="2"/>
        <v>0</v>
      </c>
      <c r="C32" s="1">
        <v>0</v>
      </c>
      <c r="D32" s="1">
        <f t="shared" si="1"/>
        <v>0</v>
      </c>
    </row>
    <row r="33" spans="1:4" x14ac:dyDescent="0.2">
      <c r="A33">
        <f t="shared" si="3"/>
        <v>26</v>
      </c>
      <c r="B33" s="3">
        <f t="shared" si="2"/>
        <v>0</v>
      </c>
      <c r="C33" s="1">
        <v>0</v>
      </c>
      <c r="D33" s="1">
        <f t="shared" si="1"/>
        <v>0</v>
      </c>
    </row>
    <row r="34" spans="1:4" x14ac:dyDescent="0.2">
      <c r="A34">
        <f t="shared" si="3"/>
        <v>27</v>
      </c>
      <c r="B34" s="3">
        <f t="shared" si="2"/>
        <v>0</v>
      </c>
      <c r="C34" s="1">
        <v>0</v>
      </c>
      <c r="D34" s="1">
        <f t="shared" si="1"/>
        <v>0</v>
      </c>
    </row>
    <row r="35" spans="1:4" x14ac:dyDescent="0.2">
      <c r="A35">
        <f t="shared" si="3"/>
        <v>28</v>
      </c>
      <c r="B35" s="3">
        <f t="shared" si="2"/>
        <v>0</v>
      </c>
      <c r="C35" s="1">
        <v>0</v>
      </c>
      <c r="D35" s="1">
        <f t="shared" si="1"/>
        <v>0</v>
      </c>
    </row>
    <row r="36" spans="1:4" x14ac:dyDescent="0.2">
      <c r="A36">
        <f t="shared" si="3"/>
        <v>29</v>
      </c>
      <c r="B36" s="3">
        <f t="shared" si="2"/>
        <v>0</v>
      </c>
      <c r="C36" s="1">
        <v>0</v>
      </c>
      <c r="D36" s="1">
        <f t="shared" si="1"/>
        <v>0</v>
      </c>
    </row>
    <row r="37" spans="1:4" x14ac:dyDescent="0.2">
      <c r="A37">
        <f t="shared" si="3"/>
        <v>30</v>
      </c>
      <c r="B37" s="3">
        <f t="shared" si="2"/>
        <v>0</v>
      </c>
      <c r="C37" s="1">
        <v>0</v>
      </c>
      <c r="D37" s="1">
        <f t="shared" si="1"/>
        <v>0</v>
      </c>
    </row>
  </sheetData>
  <mergeCells count="1">
    <mergeCell ref="J12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BA3-187E-4794-8240-E3D7E1B81E48}">
  <dimension ref="A1:F1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2.33203125" bestFit="1" customWidth="1"/>
    <col min="2" max="6" width="12" bestFit="1" customWidth="1"/>
  </cols>
  <sheetData>
    <row r="1" spans="1:6" x14ac:dyDescent="0.2">
      <c r="A1" t="s">
        <v>29</v>
      </c>
      <c r="B1">
        <v>2030</v>
      </c>
      <c r="C1">
        <f>B1+5</f>
        <v>2035</v>
      </c>
      <c r="D1">
        <f>C1+5</f>
        <v>2040</v>
      </c>
      <c r="E1">
        <f>D1+5</f>
        <v>2045</v>
      </c>
      <c r="F1">
        <f>E1+5</f>
        <v>2050</v>
      </c>
    </row>
    <row r="2" spans="1:6" x14ac:dyDescent="0.2">
      <c r="A2" t="s">
        <v>4</v>
      </c>
      <c r="B2">
        <v>125850.64188505619</v>
      </c>
      <c r="C2">
        <v>115319.30494777554</v>
      </c>
      <c r="D2">
        <v>106641.79349485303</v>
      </c>
      <c r="E2">
        <v>99446.247258756062</v>
      </c>
      <c r="F2">
        <v>93432.935367229744</v>
      </c>
    </row>
    <row r="3" spans="1:6" x14ac:dyDescent="0.2">
      <c r="A3" t="s">
        <v>21</v>
      </c>
      <c r="B3">
        <v>58921.429663001305</v>
      </c>
      <c r="C3">
        <v>46308.331310222107</v>
      </c>
      <c r="D3">
        <v>37173.650775387156</v>
      </c>
      <c r="E3">
        <v>30544.508662411143</v>
      </c>
      <c r="F3">
        <v>25724.725467333516</v>
      </c>
    </row>
    <row r="4" spans="1:6" x14ac:dyDescent="0.2">
      <c r="A4" t="s">
        <v>22</v>
      </c>
      <c r="B4">
        <v>44008.426293437951</v>
      </c>
      <c r="C4">
        <v>41493.659076670083</v>
      </c>
      <c r="D4">
        <v>38864.584259140021</v>
      </c>
      <c r="E4">
        <v>36349.817042372124</v>
      </c>
      <c r="F4">
        <v>33720.742224842084</v>
      </c>
    </row>
    <row r="5" spans="1:6" x14ac:dyDescent="0.2">
      <c r="A5" t="s">
        <v>26</v>
      </c>
      <c r="B5">
        <v>11830.836678885275</v>
      </c>
      <c r="C5">
        <v>11087.837273931125</v>
      </c>
      <c r="D5">
        <v>10401.991669358067</v>
      </c>
      <c r="E5">
        <v>9658.9922644039179</v>
      </c>
      <c r="F5">
        <v>8915.9928594497705</v>
      </c>
    </row>
    <row r="6" spans="1:6" x14ac:dyDescent="0.2">
      <c r="A6" t="s">
        <v>7</v>
      </c>
      <c r="B6">
        <v>11830.836678885275</v>
      </c>
      <c r="C6">
        <v>11087.837273931125</v>
      </c>
      <c r="D6">
        <v>10401.991669358067</v>
      </c>
      <c r="E6">
        <v>9658.9922644039179</v>
      </c>
      <c r="F6">
        <v>8915.9928594497705</v>
      </c>
    </row>
    <row r="7" spans="1:6" x14ac:dyDescent="0.2">
      <c r="A7" t="s">
        <v>30</v>
      </c>
      <c r="B7">
        <v>2524.0510828196348</v>
      </c>
      <c r="C7">
        <v>2524.0510828196348</v>
      </c>
      <c r="D7">
        <v>2524.0510828196348</v>
      </c>
      <c r="E7">
        <v>2524.0510828196348</v>
      </c>
      <c r="F7">
        <v>2524.0510828196348</v>
      </c>
    </row>
    <row r="8" spans="1:6" x14ac:dyDescent="0.2">
      <c r="A8" t="s">
        <v>27</v>
      </c>
      <c r="B8">
        <v>52238.573548314671</v>
      </c>
      <c r="C8">
        <v>36121.201840847789</v>
      </c>
      <c r="D8">
        <v>30520.129403501138</v>
      </c>
      <c r="E8">
        <v>27776.746985208902</v>
      </c>
      <c r="F8">
        <v>24919.056966154491</v>
      </c>
    </row>
    <row r="9" spans="1:6" x14ac:dyDescent="0.2">
      <c r="A9" t="s">
        <v>25</v>
      </c>
      <c r="B9" s="3">
        <v>565000</v>
      </c>
      <c r="C9">
        <v>565000</v>
      </c>
      <c r="D9">
        <v>565000</v>
      </c>
      <c r="E9">
        <v>565000</v>
      </c>
      <c r="F9">
        <v>565000</v>
      </c>
    </row>
    <row r="10" spans="1:6" x14ac:dyDescent="0.2">
      <c r="A10" t="s">
        <v>28</v>
      </c>
      <c r="B10">
        <f>2.88*2</f>
        <v>5.76</v>
      </c>
      <c r="C10">
        <f>2.88*2</f>
        <v>5.76</v>
      </c>
      <c r="D10">
        <f>2.88*2</f>
        <v>5.76</v>
      </c>
      <c r="E10">
        <f>2.88*2</f>
        <v>5.76</v>
      </c>
      <c r="F10">
        <f>2.88*2</f>
        <v>5.76</v>
      </c>
    </row>
    <row r="11" spans="1:6" x14ac:dyDescent="0.2">
      <c r="A11" t="s">
        <v>31</v>
      </c>
      <c r="B11">
        <f>0.019*1000</f>
        <v>19</v>
      </c>
      <c r="C11">
        <f>0.019*1000</f>
        <v>19</v>
      </c>
      <c r="D11">
        <f>0.019*1000</f>
        <v>19</v>
      </c>
      <c r="E11">
        <f>0.019*1000</f>
        <v>19</v>
      </c>
      <c r="F11">
        <f>0.019*1000</f>
        <v>19</v>
      </c>
    </row>
    <row r="12" spans="1:6" x14ac:dyDescent="0.2">
      <c r="A12" t="s">
        <v>32</v>
      </c>
      <c r="B12">
        <f>(B4+8760*B11)/(8760*Efficiencies!B2/39.4*1000)</f>
        <v>1.1776463306968412</v>
      </c>
      <c r="C12">
        <f>(C4+8760*C11)/(8760*Efficiencies!C2/39.4*1000)</f>
        <v>1.1343778044833404</v>
      </c>
      <c r="D12">
        <f>(D4+8760*D11)/(8760*Efficiencies!D2/39.4*1000)</f>
        <v>1.0926141230777517</v>
      </c>
      <c r="E12">
        <f>(E4+8760*E11)/(8760*Efficiencies!E2/39.4*1000)</f>
        <v>1.0534421705856378</v>
      </c>
      <c r="F12">
        <f>(F4+8760*F11)/(8760*Efficiencies!F2/39.4*1000)</f>
        <v>1.0155187245937081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2E2-FE6C-4A81-A381-EA94F616712A}">
  <dimension ref="A1:F3"/>
  <sheetViews>
    <sheetView workbookViewId="0">
      <selection activeCell="B2" sqref="B2:F2"/>
    </sheetView>
  </sheetViews>
  <sheetFormatPr baseColWidth="10" defaultColWidth="8.83203125" defaultRowHeight="15" x14ac:dyDescent="0.2"/>
  <sheetData>
    <row r="1" spans="1:6" x14ac:dyDescent="0.2">
      <c r="A1" t="s">
        <v>29</v>
      </c>
      <c r="B1">
        <v>2030</v>
      </c>
      <c r="C1">
        <f t="shared" ref="C1:F1" si="0">B1+5</f>
        <v>2035</v>
      </c>
      <c r="D1">
        <f t="shared" si="0"/>
        <v>2040</v>
      </c>
      <c r="E1">
        <f t="shared" si="0"/>
        <v>2045</v>
      </c>
      <c r="F1">
        <f t="shared" si="0"/>
        <v>2050</v>
      </c>
    </row>
    <row r="2" spans="1:6" x14ac:dyDescent="0.2">
      <c r="A2" t="s">
        <v>22</v>
      </c>
      <c r="B2">
        <v>0.8037535699714401</v>
      </c>
      <c r="C2">
        <v>0.82444025946850807</v>
      </c>
      <c r="D2">
        <v>0.84513084513084513</v>
      </c>
      <c r="E2">
        <v>0.86581989188238906</v>
      </c>
      <c r="F2">
        <v>0.88650886508865079</v>
      </c>
    </row>
    <row r="3" spans="1:6" x14ac:dyDescent="0.2">
      <c r="A3" t="s">
        <v>27</v>
      </c>
      <c r="B3">
        <v>0.50761421319796951</v>
      </c>
      <c r="C3">
        <v>0.51797368693670365</v>
      </c>
      <c r="D3">
        <v>0.52876480541455162</v>
      </c>
      <c r="E3">
        <v>0.52876480541455162</v>
      </c>
      <c r="F3">
        <v>0.54001512042337185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Trajectories</vt:lpstr>
      <vt:lpstr>Discount Rate Calculation</vt:lpstr>
      <vt:lpstr>Costs</vt:lpstr>
      <vt:lpstr>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 Palazzi</cp:lastModifiedBy>
  <dcterms:created xsi:type="dcterms:W3CDTF">2023-03-22T20:13:22Z</dcterms:created>
  <dcterms:modified xsi:type="dcterms:W3CDTF">2023-09-10T10:14:05Z</dcterms:modified>
</cp:coreProperties>
</file>