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mercedes/Desktop/Classes/FALL 2021/Corporate Finance/Final Project/"/>
    </mc:Choice>
  </mc:AlternateContent>
  <xr:revisionPtr revIDLastSave="0" documentId="13_ncr:1_{507B3817-4CCD-A54D-B4D7-A504547ED042}" xr6:coauthVersionLast="47" xr6:coauthVersionMax="47" xr10:uidLastSave="{00000000-0000-0000-0000-000000000000}"/>
  <bookViews>
    <workbookView xWindow="0" yWindow="0" windowWidth="28800" windowHeight="16220" activeTab="1" xr2:uid="{A4FCC514-CD26-2D47-85CA-7209DC79F886}"/>
  </bookViews>
  <sheets>
    <sheet name="WACC" sheetId="18" r:id="rId1"/>
    <sheet name="Company Valuation" sheetId="13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lling_Price">'[1]Base Case'!$B$11</definedName>
    <definedName name="taxtable">#REF!</definedName>
    <definedName name="Variable_Cost_per_unit">'[1]Base Case'!$B$12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7" i="13" l="1"/>
  <c r="L54" i="13"/>
  <c r="L53" i="13"/>
  <c r="L51" i="13"/>
  <c r="G53" i="13"/>
  <c r="G52" i="13"/>
  <c r="G51" i="13"/>
  <c r="L12" i="18"/>
  <c r="L23" i="18"/>
  <c r="L22" i="18"/>
  <c r="L21" i="18"/>
  <c r="L20" i="18"/>
  <c r="L19" i="18"/>
  <c r="L11" i="18"/>
  <c r="L9" i="18"/>
  <c r="G13" i="13"/>
  <c r="G38" i="13"/>
  <c r="L10" i="18"/>
  <c r="L24" i="18"/>
  <c r="L16" i="18"/>
  <c r="G57" i="13"/>
  <c r="G60" i="13"/>
  <c r="H60" i="13"/>
  <c r="H57" i="13"/>
  <c r="G59" i="13"/>
  <c r="G70" i="13"/>
  <c r="G68" i="13"/>
  <c r="I28" i="13"/>
  <c r="G28" i="13"/>
  <c r="G67" i="13"/>
  <c r="G69" i="13"/>
  <c r="G72" i="13"/>
  <c r="G71" i="13"/>
  <c r="G73" i="13"/>
  <c r="G66" i="13"/>
  <c r="G65" i="13"/>
  <c r="N7" i="13"/>
  <c r="L52" i="13"/>
  <c r="G54" i="13"/>
  <c r="I48" i="13"/>
  <c r="J48" i="13"/>
  <c r="K48" i="13"/>
  <c r="H48" i="13"/>
  <c r="I46" i="13"/>
  <c r="J46" i="13"/>
  <c r="K46" i="13"/>
  <c r="L46" i="13"/>
  <c r="H46" i="13"/>
  <c r="I43" i="13"/>
  <c r="J43" i="13"/>
  <c r="K43" i="13"/>
  <c r="L43" i="13"/>
  <c r="H43" i="13"/>
  <c r="H42" i="13"/>
  <c r="I42" i="13"/>
  <c r="J42" i="13"/>
  <c r="K42" i="13"/>
  <c r="L42" i="13"/>
  <c r="G42" i="13"/>
  <c r="H34" i="13"/>
  <c r="G14" i="13"/>
  <c r="I39" i="13"/>
  <c r="J39" i="13"/>
  <c r="K39" i="13"/>
  <c r="L39" i="13"/>
  <c r="H39" i="13"/>
  <c r="H38" i="13"/>
  <c r="I38" i="13"/>
  <c r="J38" i="13"/>
  <c r="K38" i="13"/>
  <c r="L38" i="13"/>
  <c r="I34" i="13"/>
  <c r="I35" i="13" s="1"/>
  <c r="J34" i="13"/>
  <c r="J35" i="13" s="1"/>
  <c r="K34" i="13"/>
  <c r="K35" i="13" s="1"/>
  <c r="L34" i="13"/>
  <c r="L35" i="13" s="1"/>
  <c r="H35" i="13"/>
  <c r="K28" i="13"/>
  <c r="I33" i="13"/>
  <c r="J33" i="13"/>
  <c r="K33" i="13"/>
  <c r="H33" i="13"/>
  <c r="I32" i="13"/>
  <c r="J32" i="13"/>
  <c r="G32" i="13"/>
  <c r="H32" i="13"/>
  <c r="I31" i="13"/>
  <c r="J31" i="13"/>
  <c r="K31" i="13"/>
  <c r="L31" i="13"/>
  <c r="H31" i="13"/>
  <c r="I30" i="13"/>
  <c r="J30" i="13"/>
  <c r="I29" i="13"/>
  <c r="J29" i="13"/>
  <c r="K29" i="13"/>
  <c r="H29" i="13"/>
  <c r="G30" i="13"/>
  <c r="H30" i="13"/>
  <c r="L28" i="13"/>
  <c r="L33" i="13" s="1"/>
  <c r="J28" i="13"/>
  <c r="H27" i="13"/>
  <c r="H26" i="13"/>
  <c r="H25" i="13"/>
  <c r="H24" i="13"/>
  <c r="H23" i="13"/>
  <c r="H22" i="13"/>
  <c r="H21" i="13"/>
  <c r="I27" i="13"/>
  <c r="J27" i="13"/>
  <c r="K27" i="13"/>
  <c r="L27" i="13"/>
  <c r="P17" i="13"/>
  <c r="N19" i="13"/>
  <c r="N13" i="13"/>
  <c r="I26" i="13"/>
  <c r="J26" i="13"/>
  <c r="K26" i="13"/>
  <c r="L26" i="13"/>
  <c r="I25" i="13"/>
  <c r="J25" i="13"/>
  <c r="K25" i="13"/>
  <c r="L25" i="13"/>
  <c r="I24" i="13"/>
  <c r="J24" i="13"/>
  <c r="K24" i="13"/>
  <c r="L24" i="13"/>
  <c r="I23" i="13"/>
  <c r="J23" i="13"/>
  <c r="K23" i="13"/>
  <c r="L23" i="13"/>
  <c r="I22" i="13"/>
  <c r="J22" i="13"/>
  <c r="K22" i="13"/>
  <c r="L22" i="13"/>
  <c r="I21" i="13"/>
  <c r="J21" i="13" s="1"/>
  <c r="K21" i="13" s="1"/>
  <c r="L21" i="13" s="1"/>
  <c r="T111" i="13"/>
  <c r="G31" i="13"/>
  <c r="G12" i="13"/>
  <c r="G10" i="13"/>
  <c r="K30" i="13" l="1"/>
  <c r="K32" i="13" s="1"/>
  <c r="L29" i="13"/>
  <c r="L30" i="13" l="1"/>
  <c r="L32" i="13"/>
  <c r="G8" i="13" l="1"/>
  <c r="G11" i="13"/>
  <c r="G15" i="13"/>
  <c r="H15" i="13" s="1"/>
  <c r="I15" i="13" s="1"/>
  <c r="J15" i="13" s="1"/>
  <c r="K15" i="13" s="1"/>
  <c r="L15" i="13" s="1"/>
  <c r="G16" i="13"/>
  <c r="G21" i="13"/>
  <c r="G25" i="13" s="1"/>
  <c r="G9" i="13"/>
  <c r="G58" i="13" l="1"/>
  <c r="G27" i="13"/>
  <c r="G24" i="13"/>
  <c r="G22" i="13"/>
  <c r="G23" i="13" s="1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9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10" i="18"/>
  <c r="F11" i="18"/>
  <c r="F12" i="18"/>
  <c r="F13" i="18"/>
  <c r="F14" i="18"/>
  <c r="F15" i="18"/>
  <c r="F16" i="18"/>
  <c r="F17" i="18"/>
  <c r="F18" i="18"/>
  <c r="F9" i="18"/>
  <c r="G26" i="13" l="1"/>
  <c r="G29" i="13" s="1"/>
  <c r="G17" i="13"/>
  <c r="L47" i="13" l="1"/>
  <c r="L48" i="13" s="1"/>
  <c r="G64" i="13"/>
  <c r="H59" i="13" l="1"/>
  <c r="H5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4385F06B-A013-194B-AA8E-3FB0B4574E58}">
      <text>
        <r>
          <rPr>
            <sz val="10"/>
            <color rgb="FF000000"/>
            <rFont val="Tahoma"/>
            <family val="2"/>
          </rPr>
          <t>https://finance.yahoo.com/quote/%5EGSPC/history?p=%5EGSPC</t>
        </r>
      </text>
    </comment>
    <comment ref="E6" authorId="0" shapeId="0" xr:uid="{9591D55C-04F3-BB4A-B93D-79E491DA9F5A}">
      <text>
        <r>
          <rPr>
            <sz val="10"/>
            <color rgb="FF000000"/>
            <rFont val="Tahoma"/>
            <family val="2"/>
          </rPr>
          <t xml:space="preserve">https://finance.yahoo.com/quote/LMT/history?p=LMT
</t>
        </r>
      </text>
    </comment>
    <comment ref="L7" authorId="0" shapeId="0" xr:uid="{7823C67E-4EF6-A340-98D3-670DCECECDDE}">
      <text>
        <r>
          <rPr>
            <sz val="10"/>
            <color rgb="FF000000"/>
            <rFont val="Tahoma"/>
            <family val="2"/>
          </rPr>
          <t>https://ycharts.com/indicators/3_month_t_bill</t>
        </r>
      </text>
    </comment>
    <comment ref="L8" authorId="0" shapeId="0" xr:uid="{1FE6E52C-B40C-2942-ADF4-1850E06EB3F9}">
      <text>
        <r>
          <rPr>
            <sz val="10"/>
            <color rgb="FF000000"/>
            <rFont val="Tahoma"/>
            <family val="2"/>
          </rPr>
          <t>https://www.businessinsider.com/personal-finance/average-stock-market-return</t>
        </r>
      </text>
    </comment>
    <comment ref="L15" authorId="0" shapeId="0" xr:uid="{1689383D-DBD6-C24B-8B00-A832EA944A66}">
      <text>
        <r>
          <rPr>
            <sz val="10"/>
            <color rgb="FF000000"/>
            <rFont val="Tahoma"/>
            <family val="2"/>
          </rPr>
          <t xml:space="preserve">https://finance.yahoo.com/quote/LMT/history?p=LMT
</t>
        </r>
      </text>
    </comment>
    <comment ref="L16" authorId="0" shapeId="0" xr:uid="{9EFB0DCC-3FC2-3848-B0FA-37675FD9CADC}">
      <text>
        <r>
          <rPr>
            <sz val="10"/>
            <color rgb="FF000000"/>
            <rFont val="Tahoma"/>
            <family val="2"/>
          </rPr>
          <t xml:space="preserve">Form 10k
</t>
        </r>
      </text>
    </comment>
    <comment ref="L17" authorId="0" shapeId="0" xr:uid="{93DD9247-B884-F24D-9D2A-8912F005671B}">
      <text>
        <r>
          <rPr>
            <sz val="10"/>
            <color rgb="FF000000"/>
            <rFont val="Tahoma"/>
            <family val="2"/>
          </rPr>
          <t xml:space="preserve">https://finra-markets.morningstar.com/BondCenter/Results.jsp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highest of the list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18" authorId="0" shapeId="0" xr:uid="{B293C4B7-D161-DB43-9FE7-EB453CA1641B}">
      <text>
        <r>
          <rPr>
            <b/>
            <sz val="10"/>
            <color rgb="FF000000"/>
            <rFont val="Tahoma"/>
            <family val="2"/>
          </rPr>
          <t xml:space="preserve">Form 10K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8" authorId="0" shapeId="0" xr:uid="{91B2C639-EF8C-D84E-AF5C-7B67EAF8EB8B}">
      <text/>
    </comment>
    <comment ref="H28" authorId="0" shapeId="0" xr:uid="{1B07A456-041D-7243-B64C-B62C7A5B7BB9}">
      <text>
        <r>
          <rPr>
            <b/>
            <sz val="10"/>
            <color rgb="FF000000"/>
            <rFont val="Tahoma"/>
            <family val="2"/>
          </rPr>
          <t>in the Contractual commitments and off balance sheet arangements section of Item 7 I found a table that shows the planned interest payments so I opted to use these as they would be the most accurate.</t>
        </r>
      </text>
    </comment>
    <comment ref="I57" authorId="0" shapeId="0" xr:uid="{0F8EB115-2CBF-3844-BE5B-0E8BACEF6938}">
      <text>
        <r>
          <rPr>
            <sz val="10"/>
            <color rgb="FF000000"/>
            <rFont val="Tahoma"/>
            <family val="2"/>
          </rPr>
          <t>http://pages.stern.nyu.edu/~adamodar/New_Home_Page/datafile/pedata.html</t>
        </r>
      </text>
    </comment>
    <comment ref="I58" authorId="0" shapeId="0" xr:uid="{CB39504F-E576-3F43-8896-FAE515068706}">
      <text>
        <r>
          <rPr>
            <sz val="10"/>
            <color rgb="FF000000"/>
            <rFont val="Tahoma"/>
            <family val="2"/>
          </rPr>
          <t>http://pages.stern.nyu.edu/~adamodar/New_Home_Page/datafile/pedata.html</t>
        </r>
      </text>
    </comment>
    <comment ref="I59" authorId="0" shapeId="0" xr:uid="{8BC32E1D-AE9A-B048-B287-F7B529266D3E}">
      <text>
        <r>
          <rPr>
            <sz val="10"/>
            <color rgb="FF000000"/>
            <rFont val="Tahoma"/>
            <family val="2"/>
          </rPr>
          <t xml:space="preserve">http://cogentvaluation.com/wp-content/uploads/2020/11/Aerospace-3Q-2020.pdf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I60" authorId="0" shapeId="0" xr:uid="{183BED85-C973-9240-9611-324382751A6F}">
      <text>
        <r>
          <rPr>
            <sz val="10"/>
            <color rgb="FF000000"/>
            <rFont val="Tahoma"/>
            <family val="2"/>
          </rPr>
          <t xml:space="preserve">https://csimarket.com/Industry/industry_valuation_ttm.php?pc&amp;ind=201
</t>
        </r>
      </text>
    </comment>
    <comment ref="H64" authorId="0" shapeId="0" xr:uid="{03F6B36A-F01D-5F45-8823-7853F00C01E9}">
      <text>
        <r>
          <rPr>
            <sz val="10"/>
            <color rgb="FF000000"/>
            <rFont val="Tahoma"/>
            <family val="2"/>
          </rPr>
          <t>https://pages.stern.nyu.edu/~adamodar/New_Home_Page/datafile/EVA.htm</t>
        </r>
      </text>
    </comment>
    <comment ref="H65" authorId="0" shapeId="0" xr:uid="{7E359824-29B1-C24F-8F86-48A2851DDA2D}">
      <text>
        <r>
          <rPr>
            <sz val="10"/>
            <color rgb="FF000000"/>
            <rFont val="Tahoma"/>
            <family val="2"/>
          </rPr>
          <t>https://csimarket.com/Industry/industry_ManagementEffectiveness.php?ind=201&amp;hist=4</t>
        </r>
      </text>
    </comment>
    <comment ref="H66" authorId="0" shapeId="0" xr:uid="{D753EED5-3A98-FC47-A915-393558983FEE}">
      <text>
        <r>
          <rPr>
            <sz val="10"/>
            <color rgb="FF000000"/>
            <rFont val="Tahoma"/>
            <family val="2"/>
          </rPr>
          <t xml:space="preserve">https://pages.stern.nyu.edu/~adamodar/New_Home_Page/datafile/EVA.htm
</t>
        </r>
      </text>
    </comment>
    <comment ref="H67" authorId="0" shapeId="0" xr:uid="{BD49CC22-9223-EF4B-9C2A-CDCCA883E62F}">
      <text>
        <r>
          <rPr>
            <sz val="10"/>
            <color rgb="FF000000"/>
            <rFont val="Tahoma"/>
            <family val="2"/>
          </rPr>
          <t xml:space="preserve">https://pages.stern.nyu.edu/~adamodar/New_Home_Page/datafile/EVA.htm
</t>
        </r>
      </text>
    </comment>
    <comment ref="H68" authorId="0" shapeId="0" xr:uid="{D8446493-67E5-CF41-992A-92ABFA770941}">
      <text>
        <r>
          <rPr>
            <sz val="10"/>
            <color rgb="FF000000"/>
            <rFont val="Tahoma"/>
            <family val="2"/>
          </rPr>
          <t>https://www.gurufocus.com/industry_overview.php?industry=Aerospace-and-Defense</t>
        </r>
      </text>
    </comment>
    <comment ref="H69" authorId="0" shapeId="0" xr:uid="{85B6DEE8-8CFC-904E-8991-EBDC4565FDB4}">
      <text>
        <r>
          <rPr>
            <sz val="10"/>
            <color rgb="FF000000"/>
            <rFont val="Tahoma"/>
            <family val="2"/>
          </rPr>
          <t>http://www.fi-aeroweb.com/Aerospace-Defense-Companies.html</t>
        </r>
      </text>
    </comment>
    <comment ref="H70" authorId="0" shapeId="0" xr:uid="{5014113F-DD83-7042-8474-E870B727EE0F}">
      <text>
        <r>
          <rPr>
            <sz val="10"/>
            <color rgb="FF000000"/>
            <rFont val="Tahoma"/>
            <family val="2"/>
          </rPr>
          <t xml:space="preserve">http://www.fi-aeroweb.com/Aerospace-Defense-Companies.html
</t>
        </r>
      </text>
    </comment>
    <comment ref="H71" authorId="0" shapeId="0" xr:uid="{4A04C16D-E456-0143-9844-0EFC0B2E4A52}">
      <text>
        <r>
          <rPr>
            <sz val="10"/>
            <color rgb="FF000000"/>
            <rFont val="Tahoma"/>
            <family val="2"/>
          </rPr>
          <t>http://www.fi-aeroweb.com/Aerospace-Defense-Companies.html</t>
        </r>
      </text>
    </comment>
    <comment ref="H72" authorId="0" shapeId="0" xr:uid="{07CE7065-E924-6B4D-A7B3-288FFA23D3FE}">
      <text>
        <r>
          <rPr>
            <sz val="10"/>
            <color rgb="FF000000"/>
            <rFont val="Tahoma"/>
            <family val="2"/>
          </rPr>
          <t>http://www.fi-aeroweb.com/Aerospace-Defense-Companies.html</t>
        </r>
      </text>
    </comment>
    <comment ref="H73" authorId="0" shapeId="0" xr:uid="{00A054EF-9A69-0648-AFF4-1D63D76C75C8}">
      <text>
        <r>
          <rPr>
            <sz val="10"/>
            <color rgb="FF000000"/>
            <rFont val="Tahoma"/>
            <family val="2"/>
          </rPr>
          <t>https://csimarket.com/Industry/industry_Efficiency.php?ind=201</t>
        </r>
      </text>
    </comment>
    <comment ref="P117" authorId="0" shapeId="0" xr:uid="{B2848B12-56B7-4A44-8F36-0A8C7661C631}">
      <text>
        <r>
          <rPr>
            <b/>
            <sz val="10"/>
            <color rgb="FF000000"/>
            <rFont val="Tahoma"/>
            <family val="2"/>
          </rPr>
          <t>Form 10K-Item 8 note 1.</t>
        </r>
      </text>
    </comment>
  </commentList>
</comments>
</file>

<file path=xl/sharedStrings.xml><?xml version="1.0" encoding="utf-8"?>
<sst xmlns="http://schemas.openxmlformats.org/spreadsheetml/2006/main" count="175" uniqueCount="163">
  <si>
    <t>Sales</t>
  </si>
  <si>
    <t xml:space="preserve"> = EBIT</t>
  </si>
  <si>
    <t>WACC</t>
  </si>
  <si>
    <t>Sales growth</t>
  </si>
  <si>
    <t>Fixed Assets (% of sales)</t>
  </si>
  <si>
    <t xml:space="preserve"> = EBT</t>
  </si>
  <si>
    <t xml:space="preserve"> - Tax</t>
  </si>
  <si>
    <t xml:space="preserve"> = Net Income</t>
  </si>
  <si>
    <t xml:space="preserve"> = Operating Cash Flows</t>
  </si>
  <si>
    <t>Free Cash Flows of the firm (Y1~Y5)</t>
  </si>
  <si>
    <t>Terminal Value at the end of Y5 (Y6 ~ forever)</t>
  </si>
  <si>
    <t xml:space="preserve"> = Total Free Cash Flows of the firm</t>
  </si>
  <si>
    <t xml:space="preserve"> - MV of the Debt and PS</t>
  </si>
  <si>
    <t>Weighted Average Cost of Capital</t>
  </si>
  <si>
    <t>WACC (%)</t>
  </si>
  <si>
    <t>Monthly rate</t>
  </si>
  <si>
    <t>Required rate of return on Equity</t>
  </si>
  <si>
    <t xml:space="preserve"> = Gross Profit</t>
  </si>
  <si>
    <t xml:space="preserve"> - Cost of Revenue</t>
  </si>
  <si>
    <t xml:space="preserve"> = Cash flows of Changes in NOWC</t>
  </si>
  <si>
    <t>Net Operating Working capital</t>
  </si>
  <si>
    <t>Fixed asset (PPE)</t>
  </si>
  <si>
    <t>Please use more assumptions if necessary</t>
  </si>
  <si>
    <t>Rf (3Month T-bill, %)</t>
  </si>
  <si>
    <t>Market Risk Premium (MRP, %)</t>
  </si>
  <si>
    <t>Equity Risk Premium (ERP, %)</t>
  </si>
  <si>
    <t>60 months</t>
  </si>
  <si>
    <t>Dates</t>
  </si>
  <si>
    <t>Prices</t>
  </si>
  <si>
    <t>($ million, %)</t>
  </si>
  <si>
    <t xml:space="preserve"> = Expected G/L on the CS investment ($)</t>
  </si>
  <si>
    <t>($, %)</t>
  </si>
  <si>
    <t xml:space="preserve"> = Expected return on the CS investment (%)</t>
  </si>
  <si>
    <t>Enterprise Value of the firm (the Entire Business)</t>
  </si>
  <si>
    <t xml:space="preserve"> = Intrinsic Value of CS</t>
  </si>
  <si>
    <t>Firm Ratio</t>
  </si>
  <si>
    <t>Industry Ratio</t>
  </si>
  <si>
    <t xml:space="preserve"> =  Cash flows of Changes in fixed assets </t>
  </si>
  <si>
    <t>R&amp;D Exp (% of sales)</t>
  </si>
  <si>
    <t>S&amp;P500 (SPY ETF)</t>
  </si>
  <si>
    <t>Rm (S&amp;P500, %)</t>
  </si>
  <si>
    <t>Tax rate</t>
  </si>
  <si>
    <t>Part II. CAPM &amp; WACC</t>
  </si>
  <si>
    <t>Part I. Collecting Monthly price of market and stock</t>
  </si>
  <si>
    <t>Tax rate (%)</t>
  </si>
  <si>
    <t>MV of Debt ($, million)</t>
  </si>
  <si>
    <t>MV of CS ($, million)</t>
  </si>
  <si>
    <t>Total MV of Capital Resouces ($, million)</t>
  </si>
  <si>
    <t>Cost of Debt (%)</t>
  </si>
  <si>
    <t>Cost of CS (%)</t>
  </si>
  <si>
    <t>Cost of Sales  (% of sales)</t>
  </si>
  <si>
    <t>Net Operating Working Capital (% of sales)</t>
  </si>
  <si>
    <t>Permanent growth rate after year 5</t>
  </si>
  <si>
    <t xml:space="preserve"> - Interest Expense</t>
  </si>
  <si>
    <t xml:space="preserve"> - R&amp;D Expense</t>
  </si>
  <si>
    <t xml:space="preserve"> + add back Interest after tax</t>
  </si>
  <si>
    <t xml:space="preserve"> + add back Depreciation</t>
  </si>
  <si>
    <t xml:space="preserve"> - Market Price of CS per share (as of today)</t>
  </si>
  <si>
    <t>Part II. Intrinsic Value of stock on FCFF Model</t>
  </si>
  <si>
    <t>a. Input variables I. CAPM of Apple Inc.</t>
  </si>
  <si>
    <t>b. Input variables II. Weighted Average Cost of Capital</t>
  </si>
  <si>
    <t>1. Projected Assumptions.</t>
  </si>
  <si>
    <t>2. Operating cash flows</t>
  </si>
  <si>
    <t>3. Cash flows in NOWC</t>
  </si>
  <si>
    <t>4. Cash flows in capital investment</t>
  </si>
  <si>
    <t>5. Free Cash Flows of the Firm</t>
  </si>
  <si>
    <t>6. Intrinsic Value of Common Stock</t>
  </si>
  <si>
    <t>7. Taget Price based on DCF Model (FCFF)</t>
  </si>
  <si>
    <t>8. Target Price based on Relative Methods</t>
  </si>
  <si>
    <t>9. Financial Ratio Analysis.</t>
  </si>
  <si>
    <t xml:space="preserve">Intrinsice Value (Target price) of CS per share </t>
  </si>
  <si>
    <t>a. Target Price by P/E Forward</t>
  </si>
  <si>
    <t>b. Target Price by EV/EBIDTA Forward</t>
  </si>
  <si>
    <t>a. EVA ($, million)</t>
  </si>
  <si>
    <t>b. ROA (%)</t>
  </si>
  <si>
    <t>c. ROC (%)</t>
  </si>
  <si>
    <t>d. ROE (%)</t>
  </si>
  <si>
    <t>e. Interest Coverage ratio</t>
  </si>
  <si>
    <t>[Lockheed Martin &amp; Co]</t>
  </si>
  <si>
    <t>Beta (Lockheed Martin &amp; Co)</t>
  </si>
  <si>
    <t>2020</t>
  </si>
  <si>
    <t>Net sales</t>
  </si>
  <si>
    <t>Total current assets</t>
  </si>
  <si>
    <t>Goodwill</t>
  </si>
  <si>
    <t>Total current liabilities</t>
  </si>
  <si>
    <t>Cost of sales</t>
  </si>
  <si>
    <t>Gross profit</t>
  </si>
  <si>
    <t>Other (expense) income, net</t>
  </si>
  <si>
    <t>Interest expense</t>
  </si>
  <si>
    <t>Other non-operating income (expense), net</t>
  </si>
  <si>
    <t>Earnings from continuing operations before income taxes</t>
  </si>
  <si>
    <t>Net earnings from continuing operations</t>
  </si>
  <si>
    <t>Net earnings</t>
  </si>
  <si>
    <t>Price of CS per share ($) December 15th, 2021</t>
  </si>
  <si>
    <t>Highest Coupon rate of Notes/Bonds (%)</t>
  </si>
  <si>
    <t>Consolidated Balance Sheets</t>
  </si>
  <si>
    <t>December 31,</t>
  </si>
  <si>
    <t>2019</t>
  </si>
  <si>
    <t>Assets</t>
  </si>
  <si>
    <t>Current assets</t>
  </si>
  <si>
    <t>Cash and cash equivalents</t>
  </si>
  <si>
    <t>Receivables, net</t>
  </si>
  <si>
    <t>Contract assets</t>
  </si>
  <si>
    <t>Inventories</t>
  </si>
  <si>
    <t>Other current assets</t>
  </si>
  <si>
    <t>Property, plant and equipment, net</t>
  </si>
  <si>
    <t>Intangible assets, net</t>
  </si>
  <si>
    <t>Deferred income taxes</t>
  </si>
  <si>
    <t>Other noncurrent assets</t>
  </si>
  <si>
    <t>Total assets</t>
  </si>
  <si>
    <t>Liabilities and equity</t>
  </si>
  <si>
    <t>Current liabilities</t>
  </si>
  <si>
    <t>Accounts payable</t>
  </si>
  <si>
    <t>Contract liabilities</t>
  </si>
  <si>
    <t>Salaries, benefits and payroll taxes</t>
  </si>
  <si>
    <t>Current maturities of long-term debt</t>
  </si>
  <si>
    <t>Other current liabilities</t>
  </si>
  <si>
    <t>Long-term debt, net</t>
  </si>
  <si>
    <t>Accrued pension liabilities</t>
  </si>
  <si>
    <t>Other noncurrent liabilities</t>
  </si>
  <si>
    <t>Total liabilities</t>
  </si>
  <si>
    <t>Stockholders’ equity</t>
  </si>
  <si>
    <t>Common stock, $1 par value per share</t>
  </si>
  <si>
    <t>Additional paid-in capital</t>
  </si>
  <si>
    <t>—</t>
  </si>
  <si>
    <t>Retained earnings</t>
  </si>
  <si>
    <t>Accumulated other comprehensive loss</t>
  </si>
  <si>
    <t>Total stockholders’ equity</t>
  </si>
  <si>
    <t>Noncontrolling interests in subsidiary</t>
  </si>
  <si>
    <t>Total equity</t>
  </si>
  <si>
    <t>Total liabilities and equity</t>
  </si>
  <si>
    <t>Consolidated Statements of Earnings</t>
  </si>
  <si>
    <t>Years Ended December 31,</t>
  </si>
  <si>
    <t>2018</t>
  </si>
  <si>
    <t>Products</t>
  </si>
  <si>
    <t>Services</t>
  </si>
  <si>
    <t>Total net sales</t>
  </si>
  <si>
    <t>Severance charges</t>
  </si>
  <si>
    <t>Other unallocated, net</t>
  </si>
  <si>
    <t>Total cost of sales</t>
  </si>
  <si>
    <t>Operating profit</t>
  </si>
  <si>
    <t>Income tax expense</t>
  </si>
  <si>
    <t>Net loss from discontinued operations</t>
  </si>
  <si>
    <t>R&amp;D Expense</t>
  </si>
  <si>
    <t>Depreciation &amp; Amortization Expense</t>
  </si>
  <si>
    <t>CS outstanding shares (millions)</t>
  </si>
  <si>
    <t>Depreciation (% of fixed assets)</t>
  </si>
  <si>
    <t>Other (Expenses) Income (% of sales)</t>
  </si>
  <si>
    <t>Other Non Operating (Expense) Income (% of sales)</t>
  </si>
  <si>
    <t>Net loss from discontinued operations (% of sales)</t>
  </si>
  <si>
    <t xml:space="preserve"> + Other (expenses) Income, net</t>
  </si>
  <si>
    <t xml:space="preserve"> + Other non-operating (Expenses) Income, net</t>
  </si>
  <si>
    <t xml:space="preserve"> - Net loss from discontinued operations</t>
  </si>
  <si>
    <t>d. Equity Ratio</t>
  </si>
  <si>
    <t>g. Debt Ratio</t>
  </si>
  <si>
    <t>h. Current Ratio</t>
  </si>
  <si>
    <t>i. Net Profit  Margin</t>
  </si>
  <si>
    <t>Aerospace and Defense Industry</t>
  </si>
  <si>
    <t>j. Total Asset Turnover</t>
  </si>
  <si>
    <t>c. Target Price by EV/Revenue</t>
  </si>
  <si>
    <t>d. Target Price by Price to Free Cash Flows</t>
  </si>
  <si>
    <t>The Intrinsic value of stock: Free Cash Flows of the Firm (FCFF Model). [Lockheed Martin &amp; Corp]</t>
  </si>
  <si>
    <t>Cost of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</si>
</sst>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\$* #,##0_);_(\$* \(#,##0\);_(\$* \-_);_(@_)"/>
    <numFmt numFmtId="167" formatCode="\(#,##0_);[Red]\(#,##0\)"/>
    <numFmt numFmtId="168" formatCode="\(#,##0.00_);[Red]\(#,##0.00\)"/>
    <numFmt numFmtId="169" formatCode="_(\$* #,##0.00_);_(\$* \(#,##0.00\);_(\$* \-??_);_(@_)"/>
    <numFmt numFmtId="170" formatCode="0.000%"/>
    <numFmt numFmtId="171" formatCode="_(* #,##0.0000_);_(* \(#,##0.0000\);_(* &quot;-&quot;??_);_(@_)"/>
    <numFmt numFmtId="172" formatCode="_(* #,##0.000000_);_(* \(#,##0.000000\);_(* &quot;-&quot;??_);_(@_)"/>
  </numFmts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  <font>
      <i/>
      <sz val="12"/>
      <color rgb="FFC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i/>
      <sz val="12"/>
      <color rgb="FF000000"/>
      <name val="Calibri Light"/>
      <family val="2"/>
      <scheme val="major"/>
    </font>
    <font>
      <sz val="12"/>
      <color theme="1"/>
      <name val="Calibri Light"/>
      <family val="2"/>
    </font>
    <font>
      <sz val="12"/>
      <color theme="0"/>
      <name val="Calibri Light"/>
      <family val="2"/>
    </font>
    <font>
      <i/>
      <sz val="12"/>
      <color rgb="FFC00000"/>
      <name val="Calibri Light"/>
      <family val="2"/>
    </font>
    <font>
      <i/>
      <sz val="12"/>
      <color theme="1"/>
      <name val="Calibri Light"/>
      <family val="2"/>
    </font>
    <font>
      <b/>
      <i/>
      <sz val="14"/>
      <color theme="1"/>
      <name val="Calibri Light"/>
      <family val="2"/>
    </font>
    <font>
      <sz val="10"/>
      <name val="Arial"/>
      <family val="2"/>
    </font>
    <font>
      <sz val="14"/>
      <color theme="1"/>
      <name val="Calibri Light"/>
      <family val="2"/>
    </font>
    <font>
      <i/>
      <sz val="12"/>
      <color theme="1"/>
      <name val="Calibri"/>
      <family val="2"/>
    </font>
    <font>
      <i/>
      <u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8"/>
      <name val="Cambria"/>
      <family val="1"/>
    </font>
    <font>
      <sz val="12"/>
      <color rgb="FF000000"/>
      <name val="Calibri Light"/>
      <family val="2"/>
    </font>
    <font>
      <u/>
      <sz val="12"/>
      <color theme="1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sz val="20"/>
      <color theme="0"/>
      <name val="Calibri Light"/>
      <family val="2"/>
    </font>
    <font>
      <u val="singleAccounting"/>
      <sz val="12"/>
      <color theme="1"/>
      <name val="Calibri Light"/>
      <family val="2"/>
      <scheme val="major"/>
    </font>
    <font>
      <b/>
      <sz val="20"/>
      <color theme="0"/>
      <name val="Calibri Light"/>
      <family val="2"/>
      <scheme val="major"/>
    </font>
    <font>
      <sz val="20"/>
      <color theme="0"/>
      <name val="Calibri Light"/>
      <family val="2"/>
      <scheme val="major"/>
    </font>
    <font>
      <sz val="20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3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2"/>
      <color theme="1"/>
      <name val="Calibri Light (Headings)"/>
    </font>
    <font>
      <i/>
      <sz val="12"/>
      <color theme="1"/>
      <name val="Calibri Light (Headings)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27" fillId="0" borderId="0"/>
    <xf numFmtId="9" fontId="27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Alignment="1">
      <alignment vertical="center"/>
    </xf>
    <xf numFmtId="0" fontId="12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0" fontId="16" fillId="0" borderId="1" xfId="4" applyFont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5" fillId="0" borderId="1" xfId="4" applyFont="1" applyBorder="1" applyAlignment="1">
      <alignment vertical="center"/>
    </xf>
    <xf numFmtId="0" fontId="14" fillId="0" borderId="1" xfId="4" applyFont="1" applyBorder="1" applyAlignment="1">
      <alignment vertical="center"/>
    </xf>
    <xf numFmtId="0" fontId="16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10" fontId="16" fillId="3" borderId="0" xfId="8" applyNumberFormat="1" applyFont="1" applyFill="1" applyAlignment="1">
      <alignment vertical="center"/>
    </xf>
    <xf numFmtId="10" fontId="23" fillId="3" borderId="4" xfId="8" applyNumberFormat="1" applyFont="1" applyFill="1" applyBorder="1" applyAlignment="1">
      <alignment vertical="center"/>
    </xf>
    <xf numFmtId="10" fontId="23" fillId="3" borderId="0" xfId="8" applyNumberFormat="1" applyFont="1" applyFill="1" applyBorder="1" applyAlignment="1">
      <alignment vertical="center"/>
    </xf>
    <xf numFmtId="0" fontId="2" fillId="0" borderId="0" xfId="3" applyAlignment="1">
      <alignment vertical="center"/>
    </xf>
    <xf numFmtId="0" fontId="7" fillId="4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2" fontId="3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9" fillId="0" borderId="0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19" fillId="0" borderId="4" xfId="4" applyFont="1" applyFill="1" applyBorder="1" applyAlignment="1">
      <alignment horizontal="right" vertical="center"/>
    </xf>
    <xf numFmtId="0" fontId="19" fillId="0" borderId="3" xfId="4" applyFont="1" applyFill="1" applyBorder="1" applyAlignment="1">
      <alignment horizontal="right" vertical="center"/>
    </xf>
    <xf numFmtId="0" fontId="21" fillId="0" borderId="1" xfId="4" applyFont="1" applyFill="1" applyBorder="1" applyAlignment="1">
      <alignment horizontal="right" vertical="center"/>
    </xf>
    <xf numFmtId="0" fontId="21" fillId="0" borderId="3" xfId="4" applyFont="1" applyFill="1" applyBorder="1" applyAlignment="1">
      <alignment horizontal="right" vertical="center"/>
    </xf>
    <xf numFmtId="10" fontId="3" fillId="3" borderId="0" xfId="0" applyNumberFormat="1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0" fontId="3" fillId="3" borderId="0" xfId="0" applyNumberFormat="1" applyFont="1" applyFill="1" applyAlignment="1">
      <alignment vertical="center"/>
    </xf>
    <xf numFmtId="10" fontId="3" fillId="3" borderId="1" xfId="0" applyNumberFormat="1" applyFont="1" applyFill="1" applyBorder="1" applyAlignment="1">
      <alignment vertical="center"/>
    </xf>
    <xf numFmtId="10" fontId="10" fillId="3" borderId="0" xfId="2" applyNumberFormat="1" applyFont="1" applyFill="1" applyAlignment="1">
      <alignment vertical="center"/>
    </xf>
    <xf numFmtId="10" fontId="12" fillId="3" borderId="0" xfId="4" applyNumberFormat="1" applyFont="1" applyFill="1" applyAlignment="1">
      <alignment vertical="center"/>
    </xf>
    <xf numFmtId="43" fontId="12" fillId="3" borderId="0" xfId="5" applyFont="1" applyFill="1" applyBorder="1" applyAlignment="1">
      <alignment vertical="center"/>
    </xf>
    <xf numFmtId="10" fontId="12" fillId="3" borderId="1" xfId="6" applyNumberFormat="1" applyFont="1" applyFill="1" applyBorder="1" applyAlignment="1">
      <alignment vertical="center"/>
    </xf>
    <xf numFmtId="0" fontId="30" fillId="2" borderId="0" xfId="4" applyFont="1" applyFill="1" applyAlignment="1">
      <alignment vertical="center"/>
    </xf>
    <xf numFmtId="9" fontId="3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32" fillId="5" borderId="0" xfId="0" applyFont="1" applyFill="1" applyAlignment="1">
      <alignment vertical="center"/>
    </xf>
    <xf numFmtId="0" fontId="33" fillId="5" borderId="0" xfId="0" applyFont="1" applyFill="1" applyAlignment="1">
      <alignment vertical="center"/>
    </xf>
    <xf numFmtId="0" fontId="34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9" fontId="3" fillId="6" borderId="0" xfId="0" applyNumberFormat="1" applyFont="1" applyFill="1" applyAlignment="1">
      <alignment vertical="center"/>
    </xf>
    <xf numFmtId="165" fontId="3" fillId="6" borderId="0" xfId="0" applyNumberFormat="1" applyFont="1" applyFill="1" applyAlignment="1">
      <alignment vertical="center"/>
    </xf>
    <xf numFmtId="10" fontId="3" fillId="6" borderId="0" xfId="0" applyNumberFormat="1" applyFont="1" applyFill="1" applyAlignment="1">
      <alignment vertical="center"/>
    </xf>
    <xf numFmtId="164" fontId="3" fillId="6" borderId="0" xfId="1" applyNumberFormat="1" applyFont="1" applyFill="1" applyAlignment="1">
      <alignment vertical="center"/>
    </xf>
    <xf numFmtId="164" fontId="31" fillId="6" borderId="0" xfId="1" applyNumberFormat="1" applyFont="1" applyFill="1" applyAlignment="1">
      <alignment vertical="center"/>
    </xf>
    <xf numFmtId="164" fontId="24" fillId="6" borderId="0" xfId="1" applyNumberFormat="1" applyFont="1" applyFill="1" applyAlignment="1">
      <alignment vertical="center"/>
    </xf>
    <xf numFmtId="164" fontId="24" fillId="6" borderId="0" xfId="1" applyNumberFormat="1" applyFont="1" applyFill="1" applyBorder="1" applyAlignment="1">
      <alignment vertical="center"/>
    </xf>
    <xf numFmtId="164" fontId="3" fillId="6" borderId="0" xfId="1" applyNumberFormat="1" applyFont="1" applyFill="1" applyBorder="1" applyAlignment="1">
      <alignment vertical="center"/>
    </xf>
    <xf numFmtId="164" fontId="3" fillId="6" borderId="0" xfId="0" applyNumberFormat="1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vertical="center"/>
    </xf>
    <xf numFmtId="164" fontId="9" fillId="6" borderId="0" xfId="0" applyNumberFormat="1" applyFont="1" applyFill="1" applyBorder="1" applyAlignment="1">
      <alignment vertical="center"/>
    </xf>
    <xf numFmtId="164" fontId="3" fillId="6" borderId="0" xfId="0" applyNumberFormat="1" applyFont="1" applyFill="1" applyAlignment="1">
      <alignment vertical="center"/>
    </xf>
    <xf numFmtId="164" fontId="9" fillId="6" borderId="0" xfId="0" applyNumberFormat="1" applyFont="1" applyFill="1" applyAlignment="1">
      <alignment vertical="center"/>
    </xf>
    <xf numFmtId="164" fontId="3" fillId="6" borderId="2" xfId="0" applyNumberFormat="1" applyFont="1" applyFill="1" applyBorder="1" applyAlignment="1">
      <alignment vertical="center"/>
    </xf>
    <xf numFmtId="164" fontId="3" fillId="6" borderId="1" xfId="1" applyNumberFormat="1" applyFont="1" applyFill="1" applyBorder="1" applyAlignment="1">
      <alignment vertical="center"/>
    </xf>
    <xf numFmtId="164" fontId="3" fillId="6" borderId="0" xfId="1" applyNumberFormat="1" applyFont="1" applyFill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64" fontId="9" fillId="6" borderId="0" xfId="1" applyNumberFormat="1" applyFont="1" applyFill="1" applyAlignment="1">
      <alignment horizontal="right" vertical="center"/>
    </xf>
    <xf numFmtId="2" fontId="6" fillId="6" borderId="6" xfId="0" applyNumberFormat="1" applyFont="1" applyFill="1" applyBorder="1" applyAlignment="1">
      <alignment vertical="center"/>
    </xf>
    <xf numFmtId="2" fontId="6" fillId="6" borderId="7" xfId="0" applyNumberFormat="1" applyFont="1" applyFill="1" applyBorder="1" applyAlignment="1">
      <alignment vertical="center"/>
    </xf>
    <xf numFmtId="10" fontId="6" fillId="6" borderId="8" xfId="2" applyNumberFormat="1" applyFont="1" applyFill="1" applyBorder="1" applyAlignment="1">
      <alignment vertical="center"/>
    </xf>
    <xf numFmtId="43" fontId="3" fillId="6" borderId="0" xfId="1" applyFont="1" applyFill="1" applyAlignment="1">
      <alignment vertical="center"/>
    </xf>
    <xf numFmtId="2" fontId="3" fillId="6" borderId="0" xfId="0" applyNumberFormat="1" applyFont="1" applyFill="1" applyAlignment="1">
      <alignment vertical="center"/>
    </xf>
    <xf numFmtId="2" fontId="6" fillId="6" borderId="0" xfId="0" applyNumberFormat="1" applyFont="1" applyFill="1" applyBorder="1" applyAlignment="1">
      <alignment vertical="center"/>
    </xf>
    <xf numFmtId="43" fontId="3" fillId="6" borderId="0" xfId="0" applyNumberFormat="1" applyFont="1" applyFill="1" applyAlignment="1">
      <alignment vertical="center"/>
    </xf>
    <xf numFmtId="10" fontId="3" fillId="6" borderId="0" xfId="2" applyNumberFormat="1" applyFont="1" applyFill="1" applyAlignment="1">
      <alignment vertical="center"/>
    </xf>
    <xf numFmtId="10" fontId="3" fillId="6" borderId="9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2" fontId="6" fillId="6" borderId="10" xfId="0" applyNumberFormat="1" applyFont="1" applyFill="1" applyBorder="1" applyAlignment="1">
      <alignment vertical="center"/>
    </xf>
    <xf numFmtId="14" fontId="36" fillId="0" borderId="0" xfId="0" applyNumberFormat="1" applyFont="1"/>
    <xf numFmtId="0" fontId="36" fillId="0" borderId="0" xfId="0" applyFont="1"/>
    <xf numFmtId="4" fontId="37" fillId="0" borderId="0" xfId="0" applyNumberFormat="1" applyFont="1"/>
    <xf numFmtId="0" fontId="41" fillId="0" borderId="0" xfId="0" applyFont="1"/>
    <xf numFmtId="3" fontId="41" fillId="0" borderId="0" xfId="0" applyNumberFormat="1" applyFont="1"/>
    <xf numFmtId="166" fontId="41" fillId="0" borderId="0" xfId="0" applyNumberFormat="1" applyFont="1"/>
    <xf numFmtId="167" fontId="41" fillId="0" borderId="0" xfId="0" applyNumberFormat="1" applyFont="1"/>
    <xf numFmtId="44" fontId="3" fillId="3" borderId="0" xfId="12" applyFont="1" applyFill="1" applyAlignment="1">
      <alignment vertical="center"/>
    </xf>
    <xf numFmtId="44" fontId="3" fillId="3" borderId="1" xfId="12" applyFont="1" applyFill="1" applyBorder="1" applyAlignment="1">
      <alignment vertical="center"/>
    </xf>
    <xf numFmtId="2" fontId="3" fillId="0" borderId="0" xfId="0" applyNumberFormat="1" applyFont="1" applyAlignment="1">
      <alignment vertical="center"/>
    </xf>
    <xf numFmtId="165" fontId="3" fillId="6" borderId="0" xfId="0" applyNumberFormat="1" applyFont="1" applyFill="1" applyBorder="1" applyAlignment="1">
      <alignment vertical="center"/>
    </xf>
    <xf numFmtId="165" fontId="3" fillId="6" borderId="0" xfId="2" applyNumberFormat="1" applyFont="1" applyFill="1" applyAlignment="1">
      <alignment vertical="center"/>
    </xf>
    <xf numFmtId="43" fontId="31" fillId="6" borderId="0" xfId="0" applyNumberFormat="1" applyFont="1" applyFill="1" applyAlignment="1">
      <alignment vertical="center"/>
    </xf>
    <xf numFmtId="172" fontId="3" fillId="3" borderId="0" xfId="1" applyNumberFormat="1" applyFont="1" applyFill="1" applyAlignment="1">
      <alignment vertical="center"/>
    </xf>
    <xf numFmtId="0" fontId="10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3" fontId="3" fillId="0" borderId="0" xfId="0" applyNumberFormat="1" applyFont="1" applyFill="1" applyAlignment="1">
      <alignment vertical="center"/>
    </xf>
    <xf numFmtId="3" fontId="24" fillId="0" borderId="0" xfId="0" applyNumberFormat="1" applyFont="1" applyFill="1" applyAlignment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right" vertical="center"/>
    </xf>
    <xf numFmtId="0" fontId="29" fillId="0" borderId="0" xfId="0" applyFont="1" applyFill="1" applyAlignment="1">
      <alignment vertical="center"/>
    </xf>
    <xf numFmtId="42" fontId="29" fillId="0" borderId="0" xfId="0" applyNumberFormat="1" applyFont="1" applyFill="1" applyAlignment="1">
      <alignment vertical="center"/>
    </xf>
    <xf numFmtId="37" fontId="29" fillId="0" borderId="0" xfId="0" applyNumberFormat="1" applyFont="1" applyFill="1" applyAlignment="1">
      <alignment vertical="center"/>
    </xf>
    <xf numFmtId="165" fontId="3" fillId="6" borderId="1" xfId="0" applyNumberFormat="1" applyFont="1" applyFill="1" applyBorder="1" applyAlignment="1">
      <alignment vertical="center"/>
    </xf>
    <xf numFmtId="10" fontId="23" fillId="0" borderId="4" xfId="4" applyNumberFormat="1" applyFont="1" applyBorder="1" applyAlignment="1">
      <alignment vertical="center"/>
    </xf>
    <xf numFmtId="171" fontId="3" fillId="6" borderId="0" xfId="1" applyNumberFormat="1" applyFont="1" applyFill="1" applyBorder="1" applyAlignment="1">
      <alignment vertical="center"/>
    </xf>
    <xf numFmtId="170" fontId="3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6" borderId="0" xfId="2" applyNumberFormat="1" applyFont="1" applyFill="1" applyAlignment="1">
      <alignment vertical="center"/>
    </xf>
    <xf numFmtId="10" fontId="5" fillId="6" borderId="0" xfId="0" applyNumberFormat="1" applyFont="1" applyFill="1" applyAlignment="1">
      <alignment vertical="center"/>
    </xf>
    <xf numFmtId="0" fontId="5" fillId="6" borderId="0" xfId="0" applyFont="1" applyFill="1" applyAlignment="1">
      <alignment vertical="center"/>
    </xf>
    <xf numFmtId="2" fontId="3" fillId="6" borderId="0" xfId="2" applyNumberFormat="1" applyFont="1" applyFill="1" applyAlignment="1">
      <alignment vertical="center"/>
    </xf>
    <xf numFmtId="2" fontId="5" fillId="6" borderId="0" xfId="0" applyNumberFormat="1" applyFont="1" applyFill="1" applyAlignment="1">
      <alignment vertical="center"/>
    </xf>
    <xf numFmtId="44" fontId="6" fillId="6" borderId="0" xfId="12" applyFont="1" applyFill="1" applyAlignment="1">
      <alignment vertical="center"/>
    </xf>
    <xf numFmtId="43" fontId="3" fillId="6" borderId="0" xfId="2" applyNumberFormat="1" applyFont="1" applyFill="1" applyAlignment="1">
      <alignment vertical="center"/>
    </xf>
    <xf numFmtId="0" fontId="3" fillId="6" borderId="0" xfId="0" applyNumberFormat="1" applyFont="1" applyFill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10" fontId="3" fillId="0" borderId="0" xfId="0" applyNumberFormat="1" applyFont="1" applyFill="1" applyAlignment="1">
      <alignment vertical="center"/>
    </xf>
    <xf numFmtId="0" fontId="20" fillId="0" borderId="0" xfId="4" applyFont="1" applyFill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0" fontId="20" fillId="0" borderId="5" xfId="4" applyFont="1" applyFill="1" applyBorder="1" applyAlignment="1">
      <alignment horizontal="center" vertical="center"/>
    </xf>
    <xf numFmtId="0" fontId="40" fillId="0" borderId="0" xfId="0" applyFont="1"/>
    <xf numFmtId="0" fontId="0" fillId="0" borderId="0" xfId="0"/>
    <xf numFmtId="0" fontId="41" fillId="0" borderId="0" xfId="0" applyFont="1"/>
    <xf numFmtId="166" fontId="41" fillId="0" borderId="0" xfId="0" applyNumberFormat="1" applyFont="1"/>
    <xf numFmtId="167" fontId="41" fillId="0" borderId="0" xfId="0" applyNumberFormat="1" applyFont="1"/>
    <xf numFmtId="3" fontId="41" fillId="0" borderId="0" xfId="0" applyNumberFormat="1" applyFont="1"/>
    <xf numFmtId="4" fontId="41" fillId="0" borderId="0" xfId="0" applyNumberFormat="1" applyFont="1"/>
    <xf numFmtId="168" fontId="41" fillId="0" borderId="0" xfId="0" applyNumberFormat="1" applyFont="1"/>
    <xf numFmtId="169" fontId="41" fillId="0" borderId="0" xfId="0" applyNumberFormat="1" applyFon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0" fontId="35" fillId="0" borderId="0" xfId="0" applyFont="1"/>
    <xf numFmtId="0" fontId="0" fillId="0" borderId="0" xfId="0" applyFont="1"/>
    <xf numFmtId="169" fontId="0" fillId="0" borderId="0" xfId="0" applyNumberFormat="1"/>
    <xf numFmtId="10" fontId="41" fillId="0" borderId="0" xfId="2" applyNumberFormat="1" applyFont="1"/>
  </cellXfs>
  <cellStyles count="13">
    <cellStyle name="Comma" xfId="1" builtinId="3"/>
    <cellStyle name="Comma 2" xfId="5" xr:uid="{FC0489EA-AD54-9545-8C82-859E901005A9}"/>
    <cellStyle name="Comma 3" xfId="7" xr:uid="{9223CBE8-B6B0-FE4D-BD79-9C0C42FA3C98}"/>
    <cellStyle name="Currency" xfId="12" builtinId="4"/>
    <cellStyle name="Hyperlink" xfId="3" builtinId="8"/>
    <cellStyle name="Normal" xfId="0" builtinId="0"/>
    <cellStyle name="Normal 2" xfId="9" xr:uid="{C033483A-4E74-0D44-9F36-38EC83CF1F64}"/>
    <cellStyle name="Normal 2 2" xfId="10" xr:uid="{703C5987-9F46-9248-807F-CE6EE62BD21D}"/>
    <cellStyle name="Normal 3" xfId="4" xr:uid="{833AC57B-F12A-7A4A-B953-B6EC94F97C9A}"/>
    <cellStyle name="Percent" xfId="2" builtinId="5"/>
    <cellStyle name="Percent 2" xfId="6" xr:uid="{00837E10-5BAA-5E40-B34C-74E18216D930}"/>
    <cellStyle name="Percent 2 2" xfId="8" xr:uid="{ECECD045-22D5-7643-B3F9-D736B57E3CA2}"/>
    <cellStyle name="Percent 2 3" xfId="11" xr:uid="{6BBA7C91-102E-084A-AB4A-070898043D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750457</xdr:colOff>
      <xdr:row>38</xdr:row>
      <xdr:rowOff>80819</xdr:rowOff>
    </xdr:from>
    <xdr:to>
      <xdr:col>37</xdr:col>
      <xdr:colOff>183140</xdr:colOff>
      <xdr:row>70</xdr:row>
      <xdr:rowOff>51101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84E0CF-4F0C-EE44-B9C2-E728A27AF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65684" y="7874001"/>
          <a:ext cx="7803138" cy="6435736"/>
        </a:xfrm>
        <a:prstGeom prst="rect">
          <a:avLst/>
        </a:prstGeom>
      </xdr:spPr>
    </xdr:pic>
    <xdr:clientData/>
  </xdr:twoCellAnchor>
  <xdr:twoCellAnchor editAs="oneCell">
    <xdr:from>
      <xdr:col>12</xdr:col>
      <xdr:colOff>472872</xdr:colOff>
      <xdr:row>21</xdr:row>
      <xdr:rowOff>94576</xdr:rowOff>
    </xdr:from>
    <xdr:to>
      <xdr:col>21</xdr:col>
      <xdr:colOff>152400</xdr:colOff>
      <xdr:row>29</xdr:row>
      <xdr:rowOff>88336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388657-A8FD-7743-B849-BE75E156B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85851" y="4823299"/>
          <a:ext cx="7772400" cy="17366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hn/Desktop/Accounting%20TA/Performance%20Management/C:\Users\John\Accounting%20HULT%20My%20Files\accounting%20hult%20team%20files\Managerial%20Accounting\Chapter%202\C-V-P%20Graph%20for%20Class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2384-680C-654E-9C82-A947695FE7E2}">
  <sheetPr>
    <pageSetUpPr fitToPage="1"/>
  </sheetPr>
  <dimension ref="B2:AG67"/>
  <sheetViews>
    <sheetView showGridLines="0" topLeftCell="A3" zoomScaleNormal="92" workbookViewId="0">
      <selection activeCell="M13" sqref="M13"/>
    </sheetView>
  </sheetViews>
  <sheetFormatPr baseColWidth="10" defaultRowHeight="16" x14ac:dyDescent="0.2"/>
  <cols>
    <col min="1" max="1" width="6" style="12" customWidth="1"/>
    <col min="2" max="6" width="14.1640625" style="12" customWidth="1"/>
    <col min="7" max="7" width="6.6640625" style="12" customWidth="1"/>
    <col min="8" max="11" width="12" style="12" customWidth="1"/>
    <col min="12" max="12" width="20.33203125" style="12" bestFit="1" customWidth="1"/>
    <col min="13" max="16384" width="10.83203125" style="12"/>
  </cols>
  <sheetData>
    <row r="2" spans="2:33" ht="31" customHeight="1" x14ac:dyDescent="0.2">
      <c r="B2" s="62" t="s">
        <v>13</v>
      </c>
      <c r="C2" s="10"/>
      <c r="D2" s="11"/>
      <c r="E2" s="11"/>
      <c r="F2" s="11"/>
      <c r="G2" s="10"/>
      <c r="H2" s="10"/>
      <c r="I2" s="10"/>
      <c r="J2" s="10"/>
      <c r="K2" s="10"/>
      <c r="L2" s="10"/>
    </row>
    <row r="4" spans="2:33" ht="21" x14ac:dyDescent="0.2">
      <c r="B4" s="48" t="s">
        <v>43</v>
      </c>
      <c r="C4" s="49"/>
      <c r="D4" s="49"/>
      <c r="E4" s="15"/>
      <c r="F4" s="15"/>
      <c r="H4" s="48" t="s">
        <v>42</v>
      </c>
      <c r="I4" s="15"/>
      <c r="J4" s="49"/>
      <c r="K4" s="15"/>
      <c r="L4" s="9"/>
      <c r="O4" s="143"/>
      <c r="P4" s="143"/>
      <c r="Q4" s="143"/>
      <c r="R4" s="144"/>
      <c r="S4" s="144"/>
      <c r="T4" s="144"/>
      <c r="U4" s="145"/>
      <c r="V4" s="145"/>
      <c r="W4" s="145"/>
      <c r="Y4" s="144"/>
      <c r="Z4" s="144"/>
      <c r="AA4" s="144"/>
      <c r="AB4" s="144"/>
      <c r="AC4" s="144"/>
      <c r="AD4" s="144"/>
      <c r="AE4" s="145"/>
      <c r="AF4" s="145"/>
      <c r="AG4" s="145"/>
    </row>
    <row r="5" spans="2:33" x14ac:dyDescent="0.2">
      <c r="O5" s="145"/>
      <c r="P5" s="145"/>
      <c r="Q5" s="145"/>
      <c r="R5" s="144"/>
      <c r="S5" s="144"/>
      <c r="T5" s="144"/>
      <c r="U5" s="144"/>
      <c r="V5" s="144"/>
      <c r="W5" s="144"/>
      <c r="Y5" s="144"/>
      <c r="Z5" s="144"/>
      <c r="AA5" s="144"/>
      <c r="AB5" s="144"/>
      <c r="AC5" s="144"/>
      <c r="AD5" s="144"/>
      <c r="AE5" s="146"/>
      <c r="AF5" s="146"/>
      <c r="AG5"/>
    </row>
    <row r="6" spans="2:33" ht="19" x14ac:dyDescent="0.2">
      <c r="B6" s="50" t="s">
        <v>26</v>
      </c>
      <c r="C6" s="140" t="s">
        <v>39</v>
      </c>
      <c r="D6" s="141"/>
      <c r="E6" s="142" t="s">
        <v>78</v>
      </c>
      <c r="F6" s="140"/>
      <c r="H6" s="14" t="s">
        <v>59</v>
      </c>
      <c r="I6" s="15"/>
      <c r="J6" s="16"/>
      <c r="K6" s="15"/>
      <c r="L6" s="15"/>
      <c r="O6" s="144"/>
      <c r="P6" s="144"/>
      <c r="Q6" s="144"/>
      <c r="R6" s="144"/>
      <c r="S6" s="144"/>
      <c r="T6" s="144"/>
      <c r="U6" s="146"/>
      <c r="V6" s="146"/>
      <c r="W6"/>
      <c r="Y6" s="144"/>
      <c r="Z6" s="144"/>
      <c r="AA6" s="144"/>
      <c r="AB6" s="144"/>
      <c r="AC6" s="144"/>
      <c r="AD6" s="144"/>
      <c r="AE6" s="147"/>
      <c r="AF6" s="147"/>
      <c r="AG6"/>
    </row>
    <row r="7" spans="2:33" x14ac:dyDescent="0.2">
      <c r="B7" s="51" t="s">
        <v>27</v>
      </c>
      <c r="C7" s="52" t="s">
        <v>28</v>
      </c>
      <c r="D7" s="53" t="s">
        <v>15</v>
      </c>
      <c r="E7" s="52" t="s">
        <v>28</v>
      </c>
      <c r="F7" s="52" t="s">
        <v>15</v>
      </c>
      <c r="H7" s="12" t="s">
        <v>23</v>
      </c>
      <c r="K7" s="13"/>
      <c r="L7" s="59">
        <v>4.2099999999999999E-2</v>
      </c>
      <c r="O7" s="144"/>
      <c r="P7" s="144"/>
      <c r="Q7" s="144"/>
      <c r="R7" s="144"/>
      <c r="S7" s="144"/>
      <c r="T7" s="144"/>
      <c r="U7" s="148"/>
      <c r="V7" s="148"/>
      <c r="W7"/>
      <c r="Y7" s="144"/>
      <c r="Z7" s="144"/>
      <c r="AA7" s="144"/>
      <c r="AB7" s="144"/>
      <c r="AC7" s="144"/>
      <c r="AD7" s="144"/>
      <c r="AE7" s="148"/>
      <c r="AF7" s="148"/>
      <c r="AG7"/>
    </row>
    <row r="8" spans="2:33" ht="17" x14ac:dyDescent="0.2">
      <c r="B8" s="99">
        <v>42736</v>
      </c>
      <c r="C8" s="101">
        <v>2278.87</v>
      </c>
      <c r="D8" s="124"/>
      <c r="E8" s="100">
        <v>220.356842</v>
      </c>
      <c r="H8" s="12" t="s">
        <v>40</v>
      </c>
      <c r="K8" s="13"/>
      <c r="L8" s="59">
        <v>0.10199999999999999</v>
      </c>
      <c r="O8" s="144"/>
      <c r="P8" s="144"/>
      <c r="Q8" s="144"/>
      <c r="R8" s="144"/>
      <c r="S8" s="144"/>
      <c r="T8" s="144"/>
      <c r="U8" s="148"/>
      <c r="V8" s="148"/>
      <c r="W8"/>
      <c r="Y8" s="144"/>
      <c r="Z8" s="144"/>
      <c r="AA8" s="144"/>
      <c r="AB8" s="144"/>
      <c r="AC8" s="144"/>
      <c r="AD8" s="144"/>
      <c r="AE8" s="147"/>
      <c r="AF8" s="147"/>
      <c r="AG8"/>
    </row>
    <row r="9" spans="2:33" ht="17" x14ac:dyDescent="0.2">
      <c r="B9" s="99">
        <v>42767</v>
      </c>
      <c r="C9" s="101">
        <v>2363.64</v>
      </c>
      <c r="D9" s="21">
        <f>C9/C8-1</f>
        <v>3.7198260541408734E-2</v>
      </c>
      <c r="E9" s="100">
        <v>233.727417</v>
      </c>
      <c r="F9" s="22">
        <f>E9/E8-1</f>
        <v>6.0676922389367061E-2</v>
      </c>
      <c r="H9" s="12" t="s">
        <v>24</v>
      </c>
      <c r="K9" s="13"/>
      <c r="L9" s="59">
        <f>L8-L7</f>
        <v>5.9899999999999995E-2</v>
      </c>
      <c r="O9" s="144"/>
      <c r="P9" s="144"/>
      <c r="Q9" s="144"/>
      <c r="R9" s="144"/>
      <c r="S9" s="144"/>
      <c r="T9" s="144"/>
      <c r="U9" s="147"/>
      <c r="V9" s="147"/>
      <c r="W9"/>
      <c r="Y9" s="144"/>
      <c r="Z9" s="144"/>
      <c r="AA9" s="144"/>
      <c r="AB9" s="144"/>
      <c r="AC9" s="144"/>
      <c r="AD9" s="144"/>
      <c r="AE9" s="148"/>
      <c r="AF9" s="148"/>
      <c r="AG9"/>
    </row>
    <row r="10" spans="2:33" ht="17" x14ac:dyDescent="0.2">
      <c r="B10" s="99">
        <v>42795</v>
      </c>
      <c r="C10" s="101">
        <v>2362.7199999999998</v>
      </c>
      <c r="D10" s="21">
        <f t="shared" ref="D10:D67" si="0">C10/C9-1</f>
        <v>-3.8923017041514463E-4</v>
      </c>
      <c r="E10" s="100">
        <v>236.238113</v>
      </c>
      <c r="F10" s="22">
        <f t="shared" ref="F10:F67" si="1">E10/E9-1</f>
        <v>1.0741983256504328E-2</v>
      </c>
      <c r="H10" s="12" t="s">
        <v>79</v>
      </c>
      <c r="K10" s="13"/>
      <c r="L10" s="60">
        <f>SLOPE(F9:F67,D9:D67)</f>
        <v>0.90972652203682014</v>
      </c>
      <c r="O10" s="144"/>
      <c r="P10" s="144"/>
      <c r="Q10" s="144"/>
      <c r="R10" s="144"/>
      <c r="S10" s="144"/>
      <c r="T10" s="144"/>
      <c r="U10" s="148"/>
      <c r="V10" s="148"/>
      <c r="W10"/>
      <c r="Y10" s="144"/>
      <c r="Z10" s="144"/>
      <c r="AA10" s="144"/>
      <c r="AB10" s="144"/>
      <c r="AC10" s="144"/>
      <c r="AD10" s="144"/>
      <c r="AE10" s="147"/>
      <c r="AF10" s="147"/>
      <c r="AG10"/>
    </row>
    <row r="11" spans="2:33" ht="17" x14ac:dyDescent="0.2">
      <c r="B11" s="99">
        <v>42826</v>
      </c>
      <c r="C11" s="101">
        <v>2384.1999999999998</v>
      </c>
      <c r="D11" s="21">
        <f t="shared" si="0"/>
        <v>9.0912169025529899E-3</v>
      </c>
      <c r="E11" s="100">
        <v>237.87127699999999</v>
      </c>
      <c r="F11" s="22">
        <f t="shared" si="1"/>
        <v>6.9132113326693112E-3</v>
      </c>
      <c r="H11" s="15" t="s">
        <v>25</v>
      </c>
      <c r="I11" s="15"/>
      <c r="J11" s="15"/>
      <c r="K11" s="17"/>
      <c r="L11" s="61">
        <f>L10*L9</f>
        <v>5.4492618670005523E-2</v>
      </c>
      <c r="O11" s="144"/>
      <c r="P11" s="144"/>
      <c r="Q11" s="144"/>
      <c r="R11" s="144"/>
      <c r="S11" s="144"/>
      <c r="T11" s="144"/>
      <c r="U11" s="144"/>
      <c r="V11" s="144"/>
      <c r="W11" s="144"/>
      <c r="Y11" s="144"/>
      <c r="Z11" s="144"/>
      <c r="AA11" s="144"/>
      <c r="AB11" s="144"/>
      <c r="AC11" s="144"/>
      <c r="AD11" s="144"/>
      <c r="AE11" s="148"/>
      <c r="AF11" s="148"/>
      <c r="AG11"/>
    </row>
    <row r="12" spans="2:33" ht="19" x14ac:dyDescent="0.2">
      <c r="B12" s="99">
        <v>42856</v>
      </c>
      <c r="C12" s="101">
        <v>2411.8000000000002</v>
      </c>
      <c r="D12" s="21">
        <f t="shared" si="0"/>
        <v>1.1576210049492719E-2</v>
      </c>
      <c r="E12" s="100">
        <v>248.18244899999999</v>
      </c>
      <c r="F12" s="22">
        <f t="shared" si="1"/>
        <v>4.3347696830164262E-2</v>
      </c>
      <c r="G12" s="23"/>
      <c r="H12" s="18" t="s">
        <v>16</v>
      </c>
      <c r="I12" s="19"/>
      <c r="J12" s="19"/>
      <c r="K12" s="19"/>
      <c r="L12" s="20">
        <f>L7+L11</f>
        <v>9.6592618670005514E-2</v>
      </c>
      <c r="M12" s="12" t="s">
        <v>162</v>
      </c>
      <c r="O12" s="144"/>
      <c r="P12" s="144"/>
      <c r="Q12" s="144"/>
      <c r="R12" s="144"/>
      <c r="S12" s="144"/>
      <c r="T12" s="144"/>
      <c r="U12" s="149"/>
      <c r="V12" s="149"/>
      <c r="W12"/>
      <c r="Y12" s="144"/>
      <c r="Z12" s="144"/>
      <c r="AA12" s="144"/>
      <c r="AB12" s="144"/>
      <c r="AC12" s="144"/>
      <c r="AD12" s="144"/>
      <c r="AE12" s="148"/>
      <c r="AF12" s="148"/>
      <c r="AG12"/>
    </row>
    <row r="13" spans="2:33" ht="17" x14ac:dyDescent="0.2">
      <c r="B13" s="99">
        <v>42887</v>
      </c>
      <c r="C13" s="101">
        <v>2423.41</v>
      </c>
      <c r="D13" s="21">
        <f t="shared" si="0"/>
        <v>4.8138319927024664E-3</v>
      </c>
      <c r="E13" s="100">
        <v>246.65760800000001</v>
      </c>
      <c r="F13" s="22">
        <f t="shared" si="1"/>
        <v>-6.1440323687029785E-3</v>
      </c>
      <c r="G13" s="23"/>
      <c r="O13" s="144"/>
      <c r="P13" s="144"/>
      <c r="Q13" s="144"/>
      <c r="R13" s="144"/>
      <c r="S13" s="144"/>
      <c r="T13" s="144"/>
      <c r="U13" s="149"/>
      <c r="V13" s="149"/>
      <c r="W13"/>
      <c r="Y13" s="144"/>
      <c r="Z13" s="144"/>
      <c r="AA13" s="144"/>
      <c r="AB13" s="144"/>
      <c r="AC13" s="144"/>
      <c r="AD13" s="144"/>
      <c r="AE13" s="147"/>
      <c r="AF13" s="147"/>
      <c r="AG13"/>
    </row>
    <row r="14" spans="2:33" ht="19" x14ac:dyDescent="0.2">
      <c r="B14" s="99">
        <v>42917</v>
      </c>
      <c r="C14" s="101">
        <v>2470.3000000000002</v>
      </c>
      <c r="D14" s="21">
        <f t="shared" si="0"/>
        <v>1.9348768883515444E-2</v>
      </c>
      <c r="E14" s="100">
        <v>259.558716</v>
      </c>
      <c r="F14" s="22">
        <f t="shared" si="1"/>
        <v>5.2303710007598925E-2</v>
      </c>
      <c r="H14" s="6" t="s">
        <v>60</v>
      </c>
      <c r="I14" s="15"/>
      <c r="J14" s="15"/>
      <c r="K14" s="15"/>
      <c r="L14" s="2"/>
      <c r="O14" s="144"/>
      <c r="P14" s="144"/>
      <c r="Q14" s="144"/>
      <c r="R14" s="144"/>
      <c r="S14" s="144"/>
      <c r="T14" s="144"/>
      <c r="U14" s="144"/>
      <c r="V14" s="144"/>
      <c r="W14" s="144"/>
      <c r="Y14" s="144"/>
      <c r="Z14" s="144"/>
      <c r="AA14" s="144"/>
      <c r="AB14" s="144"/>
      <c r="AC14" s="144"/>
      <c r="AD14" s="144"/>
      <c r="AE14" s="148"/>
      <c r="AF14" s="148"/>
      <c r="AG14"/>
    </row>
    <row r="15" spans="2:33" ht="17" x14ac:dyDescent="0.2">
      <c r="B15" s="99">
        <v>42948</v>
      </c>
      <c r="C15" s="101">
        <v>2471.65</v>
      </c>
      <c r="D15" s="21">
        <f t="shared" si="0"/>
        <v>5.4649232886694321E-4</v>
      </c>
      <c r="E15" s="100">
        <v>271.34030200000001</v>
      </c>
      <c r="F15" s="22">
        <f t="shared" si="1"/>
        <v>4.5390831722252889E-2</v>
      </c>
      <c r="H15" s="1" t="s">
        <v>93</v>
      </c>
      <c r="L15" s="106">
        <v>344.42</v>
      </c>
      <c r="O15" s="144"/>
      <c r="P15" s="144"/>
      <c r="Q15" s="144"/>
      <c r="R15" s="144"/>
      <c r="S15" s="144"/>
      <c r="T15" s="144"/>
      <c r="U15" s="150"/>
      <c r="V15" s="150"/>
      <c r="W15"/>
      <c r="Y15" s="144"/>
      <c r="Z15" s="144"/>
      <c r="AA15" s="144"/>
      <c r="AB15" s="144"/>
      <c r="AC15" s="144"/>
      <c r="AD15" s="144"/>
      <c r="AE15" s="147"/>
      <c r="AF15" s="147"/>
      <c r="AG15"/>
    </row>
    <row r="16" spans="2:33" ht="17" x14ac:dyDescent="0.2">
      <c r="B16" s="99">
        <v>42979</v>
      </c>
      <c r="C16" s="101">
        <v>2519.36</v>
      </c>
      <c r="D16" s="21">
        <f t="shared" si="0"/>
        <v>1.9302894827342154E-2</v>
      </c>
      <c r="E16" s="100">
        <v>277.33197000000001</v>
      </c>
      <c r="F16" s="22">
        <f t="shared" si="1"/>
        <v>2.2081747369765869E-2</v>
      </c>
      <c r="H16" s="4" t="s">
        <v>145</v>
      </c>
      <c r="L16" s="112">
        <f>280103431/1000000</f>
        <v>280.103431</v>
      </c>
      <c r="O16" s="144"/>
      <c r="P16" s="144"/>
      <c r="Q16" s="144"/>
      <c r="R16" s="144"/>
      <c r="S16" s="144"/>
      <c r="T16" s="144"/>
      <c r="U16" s="150"/>
      <c r="V16" s="150"/>
      <c r="W16"/>
      <c r="Y16" s="144"/>
      <c r="Z16" s="144"/>
      <c r="AA16" s="144"/>
      <c r="AB16" s="144"/>
      <c r="AC16" s="144"/>
      <c r="AD16" s="144"/>
      <c r="AE16" s="146"/>
      <c r="AF16" s="146"/>
      <c r="AG16"/>
    </row>
    <row r="17" spans="2:33" s="19" customFormat="1" ht="19" x14ac:dyDescent="0.2">
      <c r="B17" s="99">
        <v>43009</v>
      </c>
      <c r="C17" s="101">
        <v>2575.2600000000002</v>
      </c>
      <c r="D17" s="21">
        <f t="shared" si="0"/>
        <v>2.2188174774546043E-2</v>
      </c>
      <c r="E17" s="100">
        <v>275.428223</v>
      </c>
      <c r="F17" s="22">
        <f t="shared" si="1"/>
        <v>-6.8645061007571728E-3</v>
      </c>
      <c r="H17" s="4" t="s">
        <v>94</v>
      </c>
      <c r="I17" s="12"/>
      <c r="J17" s="12"/>
      <c r="K17" s="12"/>
      <c r="L17" s="54">
        <v>8.5000000000000006E-2</v>
      </c>
      <c r="O17" s="144"/>
      <c r="P17" s="144"/>
      <c r="Q17" s="144"/>
      <c r="R17" s="144"/>
      <c r="S17" s="144"/>
      <c r="T17" s="144"/>
      <c r="U17" s="144"/>
      <c r="V17" s="144"/>
      <c r="W17" s="144"/>
      <c r="Y17" s="144"/>
      <c r="Z17" s="144"/>
      <c r="AA17" s="144"/>
      <c r="AB17" s="144"/>
      <c r="AC17" s="144"/>
      <c r="AD17" s="144"/>
      <c r="AE17" s="144"/>
      <c r="AF17" s="144"/>
      <c r="AG17" s="144"/>
    </row>
    <row r="18" spans="2:33" ht="17" x14ac:dyDescent="0.2">
      <c r="B18" s="99">
        <v>43040</v>
      </c>
      <c r="C18" s="101">
        <v>2647.58</v>
      </c>
      <c r="D18" s="21">
        <f t="shared" si="0"/>
        <v>2.8082601368405458E-2</v>
      </c>
      <c r="E18" s="100">
        <v>285.22399899999999</v>
      </c>
      <c r="F18" s="22">
        <f t="shared" si="1"/>
        <v>3.5565621755472732E-2</v>
      </c>
      <c r="H18" s="3" t="s">
        <v>44</v>
      </c>
      <c r="I18" s="15"/>
      <c r="J18" s="15"/>
      <c r="K18" s="15"/>
      <c r="L18" s="55">
        <v>0.16400000000000001</v>
      </c>
      <c r="O18" s="144"/>
      <c r="P18" s="144"/>
      <c r="Q18" s="144"/>
      <c r="R18" s="144"/>
      <c r="S18" s="144"/>
      <c r="T18" s="144"/>
      <c r="U18" s="149"/>
      <c r="V18" s="149"/>
      <c r="W18"/>
      <c r="Y18" s="144"/>
      <c r="Z18" s="144"/>
      <c r="AA18" s="144"/>
      <c r="AB18" s="144"/>
      <c r="AC18" s="144"/>
      <c r="AD18" s="144"/>
      <c r="AE18" s="151"/>
      <c r="AF18" s="151"/>
      <c r="AG18"/>
    </row>
    <row r="19" spans="2:33" ht="17" x14ac:dyDescent="0.2">
      <c r="B19" s="99">
        <v>43070</v>
      </c>
      <c r="C19" s="101">
        <v>2673.61</v>
      </c>
      <c r="D19" s="21">
        <f t="shared" si="0"/>
        <v>9.8316198188534987E-3</v>
      </c>
      <c r="E19" s="100">
        <v>288.74945100000002</v>
      </c>
      <c r="F19" s="22">
        <f t="shared" si="1"/>
        <v>1.2360292304856246E-2</v>
      </c>
      <c r="H19" s="1" t="s">
        <v>45</v>
      </c>
      <c r="L19" s="106">
        <f>'Company Valuation'!T60</f>
        <v>11669</v>
      </c>
      <c r="O19" s="144"/>
      <c r="P19" s="144"/>
      <c r="Q19" s="144"/>
      <c r="R19" s="144"/>
      <c r="S19" s="144"/>
      <c r="T19" s="144"/>
      <c r="U19" s="149"/>
      <c r="V19" s="149"/>
      <c r="W19"/>
      <c r="Y19" s="144"/>
      <c r="Z19" s="144"/>
      <c r="AA19" s="144"/>
      <c r="AB19" s="144"/>
      <c r="AC19" s="144"/>
      <c r="AD19" s="144"/>
      <c r="AE19" s="150"/>
      <c r="AF19" s="150"/>
      <c r="AG19"/>
    </row>
    <row r="20" spans="2:33" ht="17" x14ac:dyDescent="0.2">
      <c r="B20" s="99">
        <v>43101</v>
      </c>
      <c r="C20" s="101">
        <v>2823.81</v>
      </c>
      <c r="D20" s="21">
        <f t="shared" si="0"/>
        <v>5.6178724645703726E-2</v>
      </c>
      <c r="E20" s="100">
        <v>319.14889499999998</v>
      </c>
      <c r="F20" s="22">
        <f t="shared" si="1"/>
        <v>0.10527965990834032</v>
      </c>
      <c r="H20" s="1" t="s">
        <v>46</v>
      </c>
      <c r="L20" s="106">
        <f>L16*L15</f>
        <v>96473.223705020006</v>
      </c>
      <c r="O20" s="145"/>
      <c r="P20" s="145"/>
      <c r="Q20" s="145"/>
      <c r="R20" s="144"/>
      <c r="S20" s="144"/>
      <c r="T20" s="144"/>
      <c r="U20" s="151"/>
      <c r="V20" s="151"/>
      <c r="W20"/>
      <c r="Y20" s="145"/>
      <c r="Z20" s="145"/>
      <c r="AA20" s="145"/>
      <c r="AB20" s="144"/>
      <c r="AC20" s="144"/>
      <c r="AD20" s="144"/>
      <c r="AE20" s="151"/>
      <c r="AF20" s="151"/>
      <c r="AG20"/>
    </row>
    <row r="21" spans="2:33" ht="17" x14ac:dyDescent="0.2">
      <c r="B21" s="99">
        <v>43132</v>
      </c>
      <c r="C21" s="101">
        <v>2713.83</v>
      </c>
      <c r="D21" s="21">
        <f t="shared" si="0"/>
        <v>-3.8947379604151844E-2</v>
      </c>
      <c r="E21" s="100">
        <v>316.98138399999999</v>
      </c>
      <c r="F21" s="22">
        <f t="shared" si="1"/>
        <v>-6.7915353427746572E-3</v>
      </c>
      <c r="H21" s="3" t="s">
        <v>47</v>
      </c>
      <c r="I21" s="15"/>
      <c r="J21" s="15"/>
      <c r="K21" s="15"/>
      <c r="L21" s="107">
        <f>L19+L20</f>
        <v>108142.22370502001</v>
      </c>
    </row>
    <row r="22" spans="2:33" ht="17" x14ac:dyDescent="0.2">
      <c r="B22" s="99">
        <v>43160</v>
      </c>
      <c r="C22" s="101">
        <v>2640.87</v>
      </c>
      <c r="D22" s="21">
        <f t="shared" si="0"/>
        <v>-2.6884513768364315E-2</v>
      </c>
      <c r="E22" s="100">
        <v>305.63781699999998</v>
      </c>
      <c r="F22" s="22">
        <f t="shared" si="1"/>
        <v>-3.5786224594186233E-2</v>
      </c>
      <c r="H22" s="1" t="s">
        <v>48</v>
      </c>
      <c r="L22" s="56">
        <f>L17</f>
        <v>8.5000000000000006E-2</v>
      </c>
      <c r="O22" s="145"/>
      <c r="P22" s="145"/>
      <c r="Q22" s="145"/>
      <c r="R22" s="144"/>
      <c r="S22" s="144"/>
      <c r="T22" s="144"/>
      <c r="U22" s="144"/>
      <c r="V22" s="144"/>
      <c r="W22" s="144"/>
    </row>
    <row r="23" spans="2:33" ht="17" x14ac:dyDescent="0.2">
      <c r="B23" s="99">
        <v>43191</v>
      </c>
      <c r="C23" s="101">
        <v>2648.05</v>
      </c>
      <c r="D23" s="21">
        <f t="shared" si="0"/>
        <v>2.718801001185378E-3</v>
      </c>
      <c r="E23" s="100">
        <v>290.18099999999998</v>
      </c>
      <c r="F23" s="22">
        <f t="shared" si="1"/>
        <v>-5.0572331499148193E-2</v>
      </c>
      <c r="H23" s="3" t="s">
        <v>49</v>
      </c>
      <c r="I23" s="15"/>
      <c r="J23" s="15"/>
      <c r="K23" s="15"/>
      <c r="L23" s="57">
        <f>L12</f>
        <v>9.6592618670005514E-2</v>
      </c>
      <c r="M23" s="12">
        <v>1</v>
      </c>
      <c r="O23"/>
      <c r="P23"/>
      <c r="Q23"/>
      <c r="R23"/>
      <c r="S23"/>
      <c r="T23"/>
      <c r="U23" s="104"/>
      <c r="V23" s="104"/>
      <c r="W23"/>
    </row>
    <row r="24" spans="2:33" ht="19" x14ac:dyDescent="0.2">
      <c r="B24" s="99">
        <v>43221</v>
      </c>
      <c r="C24" s="101">
        <v>2705.27</v>
      </c>
      <c r="D24" s="21">
        <f t="shared" si="0"/>
        <v>2.1608353316591389E-2</v>
      </c>
      <c r="E24" s="100">
        <v>284.48297100000002</v>
      </c>
      <c r="F24" s="22">
        <f t="shared" si="1"/>
        <v>-1.9636120214624575E-2</v>
      </c>
      <c r="H24" s="7" t="s">
        <v>14</v>
      </c>
      <c r="L24" s="58">
        <f>L19/L21*L22*(1-L18)+L20/L21*L23</f>
        <v>9.3837541910413561E-2</v>
      </c>
      <c r="O24" s="102"/>
      <c r="P24" s="102"/>
      <c r="Q24" s="102"/>
      <c r="R24"/>
      <c r="S24"/>
      <c r="T24"/>
      <c r="U24" s="103"/>
      <c r="V24" s="103"/>
      <c r="W24"/>
    </row>
    <row r="25" spans="2:33" ht="17" x14ac:dyDescent="0.2">
      <c r="B25" s="99">
        <v>43252</v>
      </c>
      <c r="C25" s="101">
        <v>2718.37</v>
      </c>
      <c r="D25" s="21">
        <f t="shared" si="0"/>
        <v>4.8424002040461378E-3</v>
      </c>
      <c r="E25" s="100">
        <v>268.87408399999998</v>
      </c>
      <c r="F25" s="22">
        <f t="shared" si="1"/>
        <v>-5.4867561826750011E-2</v>
      </c>
      <c r="O25"/>
      <c r="P25"/>
      <c r="Q25"/>
      <c r="R25"/>
      <c r="S25"/>
      <c r="T25"/>
      <c r="U25" s="103"/>
      <c r="V25" s="103"/>
      <c r="W25"/>
    </row>
    <row r="26" spans="2:33" ht="17" x14ac:dyDescent="0.2">
      <c r="B26" s="99">
        <v>43282</v>
      </c>
      <c r="C26" s="101">
        <v>2816.29</v>
      </c>
      <c r="D26" s="21">
        <f t="shared" si="0"/>
        <v>3.6021586465418753E-2</v>
      </c>
      <c r="E26" s="100">
        <v>296.78723100000002</v>
      </c>
      <c r="F26" s="22">
        <f t="shared" si="1"/>
        <v>0.10381494037930428</v>
      </c>
      <c r="O26" s="102"/>
      <c r="P26" s="102"/>
      <c r="Q26" s="102"/>
      <c r="R26"/>
      <c r="S26"/>
      <c r="T26"/>
      <c r="U26" s="103"/>
      <c r="V26" s="103"/>
      <c r="W26"/>
    </row>
    <row r="27" spans="2:33" ht="17" x14ac:dyDescent="0.2">
      <c r="B27" s="99">
        <v>43313</v>
      </c>
      <c r="C27" s="101">
        <v>2901.52</v>
      </c>
      <c r="D27" s="21">
        <f t="shared" si="0"/>
        <v>3.0263218631604083E-2</v>
      </c>
      <c r="E27" s="100">
        <v>291.60867300000001</v>
      </c>
      <c r="F27" s="22">
        <f t="shared" si="1"/>
        <v>-1.7448722381186332E-2</v>
      </c>
      <c r="O27" s="102"/>
      <c r="P27" s="102"/>
      <c r="Q27" s="102"/>
      <c r="R27"/>
      <c r="S27"/>
      <c r="T27"/>
      <c r="U27" s="103"/>
      <c r="V27" s="103"/>
      <c r="W27"/>
    </row>
    <row r="28" spans="2:33" ht="17" x14ac:dyDescent="0.2">
      <c r="B28" s="99">
        <v>43344</v>
      </c>
      <c r="C28" s="101">
        <v>2913.98</v>
      </c>
      <c r="D28" s="21">
        <f t="shared" si="0"/>
        <v>4.2943009181395375E-3</v>
      </c>
      <c r="E28" s="100">
        <v>316.83078</v>
      </c>
      <c r="F28" s="22">
        <f t="shared" si="1"/>
        <v>8.6492993299962739E-2</v>
      </c>
      <c r="O28" s="102"/>
      <c r="P28" s="102"/>
      <c r="Q28" s="102"/>
      <c r="R28"/>
      <c r="S28"/>
      <c r="T28"/>
      <c r="U28" s="103"/>
      <c r="V28" s="103"/>
      <c r="W28"/>
    </row>
    <row r="29" spans="2:33" ht="17" x14ac:dyDescent="0.2">
      <c r="B29" s="99">
        <v>43374</v>
      </c>
      <c r="C29" s="101">
        <v>2711.74</v>
      </c>
      <c r="D29" s="21">
        <f t="shared" si="0"/>
        <v>-6.9403358979814644E-2</v>
      </c>
      <c r="E29" s="100">
        <v>269.108429</v>
      </c>
      <c r="F29" s="22">
        <f t="shared" si="1"/>
        <v>-0.15062409971657431</v>
      </c>
      <c r="O29" s="102"/>
      <c r="P29" s="102"/>
      <c r="Q29" s="102"/>
      <c r="R29"/>
      <c r="S29"/>
      <c r="T29"/>
      <c r="U29" s="103"/>
      <c r="V29" s="103"/>
      <c r="W29"/>
    </row>
    <row r="30" spans="2:33" ht="17" x14ac:dyDescent="0.2">
      <c r="B30" s="99">
        <v>43405</v>
      </c>
      <c r="C30" s="101">
        <v>2760.17</v>
      </c>
      <c r="D30" s="21">
        <f t="shared" si="0"/>
        <v>1.785938179914015E-2</v>
      </c>
      <c r="E30" s="100">
        <v>275.13443000000001</v>
      </c>
      <c r="F30" s="22">
        <f t="shared" si="1"/>
        <v>2.2392464711686877E-2</v>
      </c>
      <c r="O30" s="102"/>
      <c r="P30" s="102"/>
      <c r="Q30" s="102"/>
      <c r="R30"/>
      <c r="S30"/>
      <c r="T30"/>
      <c r="U30" s="103"/>
      <c r="V30" s="103"/>
      <c r="W30"/>
    </row>
    <row r="31" spans="2:33" ht="17" x14ac:dyDescent="0.2">
      <c r="B31" s="99">
        <v>43435</v>
      </c>
      <c r="C31" s="101">
        <v>2506.85</v>
      </c>
      <c r="D31" s="21">
        <f t="shared" si="0"/>
        <v>-9.1776955767217339E-2</v>
      </c>
      <c r="E31" s="100">
        <v>241.55075099999999</v>
      </c>
      <c r="F31" s="22">
        <f t="shared" si="1"/>
        <v>-0.12206280035544814</v>
      </c>
      <c r="O31" s="102"/>
      <c r="P31" s="102"/>
      <c r="Q31" s="102"/>
      <c r="R31"/>
      <c r="S31"/>
      <c r="T31"/>
      <c r="U31" s="103"/>
      <c r="V31" s="103"/>
      <c r="W31"/>
    </row>
    <row r="32" spans="2:33" ht="17" x14ac:dyDescent="0.2">
      <c r="B32" s="99">
        <v>43466</v>
      </c>
      <c r="C32" s="101">
        <v>2704.1</v>
      </c>
      <c r="D32" s="21">
        <f t="shared" si="0"/>
        <v>7.8684404731036883E-2</v>
      </c>
      <c r="E32" s="100">
        <v>267.24273699999998</v>
      </c>
      <c r="F32" s="22">
        <f t="shared" si="1"/>
        <v>0.1063626831779132</v>
      </c>
      <c r="O32" s="102"/>
      <c r="P32" s="102"/>
      <c r="Q32" s="102"/>
      <c r="R32"/>
      <c r="S32"/>
      <c r="T32"/>
      <c r="U32"/>
      <c r="V32"/>
      <c r="W32"/>
    </row>
    <row r="33" spans="2:23" ht="17" x14ac:dyDescent="0.2">
      <c r="B33" s="99">
        <v>43497</v>
      </c>
      <c r="C33" s="101">
        <v>2784.49</v>
      </c>
      <c r="D33" s="21">
        <f t="shared" si="0"/>
        <v>2.9728930143116061E-2</v>
      </c>
      <c r="E33" s="100">
        <v>285.434662</v>
      </c>
      <c r="F33" s="22">
        <f t="shared" si="1"/>
        <v>6.8072663841936443E-2</v>
      </c>
      <c r="O33"/>
      <c r="P33"/>
      <c r="Q33"/>
      <c r="R33"/>
      <c r="S33"/>
      <c r="T33"/>
      <c r="U33" s="104"/>
      <c r="V33" s="104"/>
      <c r="W33"/>
    </row>
    <row r="34" spans="2:23" ht="17" x14ac:dyDescent="0.2">
      <c r="B34" s="99">
        <v>43525</v>
      </c>
      <c r="C34" s="101">
        <v>2834.4</v>
      </c>
      <c r="D34" s="21">
        <f t="shared" si="0"/>
        <v>1.7924287751078349E-2</v>
      </c>
      <c r="E34" s="100">
        <v>278.89630099999999</v>
      </c>
      <c r="F34" s="22">
        <f t="shared" si="1"/>
        <v>-2.2906681880142554E-2</v>
      </c>
      <c r="O34"/>
      <c r="P34"/>
      <c r="Q34"/>
      <c r="R34"/>
      <c r="S34"/>
      <c r="T34"/>
      <c r="U34" s="105"/>
      <c r="V34" s="105"/>
      <c r="W34"/>
    </row>
    <row r="35" spans="2:23" ht="17" x14ac:dyDescent="0.2">
      <c r="B35" s="99">
        <v>43556</v>
      </c>
      <c r="C35" s="101">
        <v>2945.83</v>
      </c>
      <c r="D35" s="21">
        <f t="shared" si="0"/>
        <v>3.9313434942139347E-2</v>
      </c>
      <c r="E35" s="100">
        <v>309.71649200000002</v>
      </c>
      <c r="F35" s="22">
        <f t="shared" si="1"/>
        <v>0.11050770802442456</v>
      </c>
      <c r="O35"/>
      <c r="P35"/>
      <c r="Q35"/>
      <c r="R35"/>
      <c r="S35"/>
      <c r="T35"/>
      <c r="U35" s="105"/>
      <c r="V35" s="105"/>
      <c r="W35"/>
    </row>
    <row r="36" spans="2:23" ht="17" x14ac:dyDescent="0.2">
      <c r="B36" s="99">
        <v>43586</v>
      </c>
      <c r="C36" s="101">
        <v>2752.06</v>
      </c>
      <c r="D36" s="21">
        <f t="shared" si="0"/>
        <v>-6.5777726481161536E-2</v>
      </c>
      <c r="E36" s="100">
        <v>314.557434</v>
      </c>
      <c r="F36" s="22">
        <f t="shared" si="1"/>
        <v>1.5630236442171652E-2</v>
      </c>
      <c r="O36" s="102"/>
      <c r="P36" s="102"/>
      <c r="Q36" s="102"/>
      <c r="R36"/>
      <c r="S36"/>
      <c r="T36"/>
      <c r="U36" s="104"/>
      <c r="V36" s="104"/>
      <c r="W36"/>
    </row>
    <row r="37" spans="2:23" ht="17" x14ac:dyDescent="0.2">
      <c r="B37" s="99">
        <v>43617</v>
      </c>
      <c r="C37" s="101">
        <v>2941.76</v>
      </c>
      <c r="D37" s="21">
        <f t="shared" si="0"/>
        <v>6.8930183208214979E-2</v>
      </c>
      <c r="E37" s="100">
        <v>339.97363300000001</v>
      </c>
      <c r="F37" s="22">
        <f t="shared" si="1"/>
        <v>8.0799867537068026E-2</v>
      </c>
    </row>
    <row r="38" spans="2:23" ht="17" x14ac:dyDescent="0.2">
      <c r="B38" s="99">
        <v>43647</v>
      </c>
      <c r="C38" s="101">
        <v>2980.38</v>
      </c>
      <c r="D38" s="21">
        <f t="shared" si="0"/>
        <v>1.3128195366039375E-2</v>
      </c>
      <c r="E38" s="100">
        <v>338.69241299999999</v>
      </c>
      <c r="F38" s="22">
        <f t="shared" si="1"/>
        <v>-3.7685863715202217E-3</v>
      </c>
    </row>
    <row r="39" spans="2:23" ht="17" x14ac:dyDescent="0.2">
      <c r="B39" s="99">
        <v>43678</v>
      </c>
      <c r="C39" s="101">
        <v>2926.46</v>
      </c>
      <c r="D39" s="21">
        <f t="shared" si="0"/>
        <v>-1.8091652742267761E-2</v>
      </c>
      <c r="E39" s="100">
        <v>359.21017499999999</v>
      </c>
      <c r="F39" s="22">
        <f t="shared" si="1"/>
        <v>6.0579337512352227E-2</v>
      </c>
    </row>
    <row r="40" spans="2:23" ht="17" x14ac:dyDescent="0.2">
      <c r="B40" s="99">
        <v>43709</v>
      </c>
      <c r="C40" s="101">
        <v>2976.74</v>
      </c>
      <c r="D40" s="21">
        <f t="shared" si="0"/>
        <v>1.7181167690656807E-2</v>
      </c>
      <c r="E40" s="100">
        <v>366.87402300000002</v>
      </c>
      <c r="F40" s="22">
        <f t="shared" si="1"/>
        <v>2.133527537186275E-2</v>
      </c>
    </row>
    <row r="41" spans="2:23" ht="17" x14ac:dyDescent="0.2">
      <c r="B41" s="99">
        <v>43739</v>
      </c>
      <c r="C41" s="101">
        <v>3037.56</v>
      </c>
      <c r="D41" s="21">
        <f t="shared" si="0"/>
        <v>2.0431747482144935E-2</v>
      </c>
      <c r="E41" s="100">
        <v>354.28933699999999</v>
      </c>
      <c r="F41" s="22">
        <f t="shared" si="1"/>
        <v>-3.4302472268525896E-2</v>
      </c>
    </row>
    <row r="42" spans="2:23" ht="17" x14ac:dyDescent="0.2">
      <c r="B42" s="99">
        <v>43770</v>
      </c>
      <c r="C42" s="101">
        <v>3140.98</v>
      </c>
      <c r="D42" s="21">
        <f t="shared" si="0"/>
        <v>3.404706409091518E-2</v>
      </c>
      <c r="E42" s="100">
        <v>367.78634599999998</v>
      </c>
      <c r="F42" s="22">
        <f t="shared" si="1"/>
        <v>3.8096006823936657E-2</v>
      </c>
    </row>
    <row r="43" spans="2:23" ht="17" x14ac:dyDescent="0.2">
      <c r="B43" s="99">
        <v>43800</v>
      </c>
      <c r="C43" s="101">
        <v>3230.78</v>
      </c>
      <c r="D43" s="21">
        <f t="shared" si="0"/>
        <v>2.8589803182446305E-2</v>
      </c>
      <c r="E43" s="100">
        <v>368.47757000000001</v>
      </c>
      <c r="F43" s="22">
        <f t="shared" si="1"/>
        <v>1.8794172418787891E-3</v>
      </c>
    </row>
    <row r="44" spans="2:23" ht="17" x14ac:dyDescent="0.2">
      <c r="B44" s="99">
        <v>43831</v>
      </c>
      <c r="C44" s="101">
        <v>3225.52</v>
      </c>
      <c r="D44" s="21">
        <f t="shared" si="0"/>
        <v>-1.6280898111292741E-3</v>
      </c>
      <c r="E44" s="100">
        <v>405.13797</v>
      </c>
      <c r="F44" s="22">
        <f t="shared" si="1"/>
        <v>9.9491537571744226E-2</v>
      </c>
    </row>
    <row r="45" spans="2:23" ht="17" x14ac:dyDescent="0.2">
      <c r="B45" s="99">
        <v>43862</v>
      </c>
      <c r="C45" s="101">
        <v>2954.22</v>
      </c>
      <c r="D45" s="21">
        <f t="shared" si="0"/>
        <v>-8.4110469009648137E-2</v>
      </c>
      <c r="E45" s="100">
        <v>350.01489299999997</v>
      </c>
      <c r="F45" s="22">
        <f t="shared" si="1"/>
        <v>-0.13606001185225869</v>
      </c>
    </row>
    <row r="46" spans="2:23" ht="17" x14ac:dyDescent="0.2">
      <c r="B46" s="99">
        <v>43891</v>
      </c>
      <c r="C46" s="101">
        <v>2584.59</v>
      </c>
      <c r="D46" s="21">
        <f t="shared" si="0"/>
        <v>-0.12511932083595656</v>
      </c>
      <c r="E46" s="100">
        <v>322.76892099999998</v>
      </c>
      <c r="F46" s="22">
        <f t="shared" si="1"/>
        <v>-7.784232198371055E-2</v>
      </c>
    </row>
    <row r="47" spans="2:23" ht="17" x14ac:dyDescent="0.2">
      <c r="B47" s="99">
        <v>43922</v>
      </c>
      <c r="C47" s="101">
        <v>2912.43</v>
      </c>
      <c r="D47" s="21">
        <f t="shared" si="0"/>
        <v>0.12684410293315374</v>
      </c>
      <c r="E47" s="100">
        <v>370.486694</v>
      </c>
      <c r="F47" s="22">
        <f t="shared" si="1"/>
        <v>0.14783880942490124</v>
      </c>
    </row>
    <row r="48" spans="2:23" ht="17" x14ac:dyDescent="0.2">
      <c r="B48" s="99">
        <v>43952</v>
      </c>
      <c r="C48" s="101">
        <v>3044.31</v>
      </c>
      <c r="D48" s="21">
        <f t="shared" si="0"/>
        <v>4.528177501261843E-2</v>
      </c>
      <c r="E48" s="100">
        <v>369.89630099999999</v>
      </c>
      <c r="F48" s="22">
        <f t="shared" si="1"/>
        <v>-1.5935606043654404E-3</v>
      </c>
    </row>
    <row r="49" spans="2:6" ht="17" x14ac:dyDescent="0.2">
      <c r="B49" s="99">
        <v>43983</v>
      </c>
      <c r="C49" s="101">
        <v>3100.29</v>
      </c>
      <c r="D49" s="21">
        <f t="shared" si="0"/>
        <v>1.8388403283502663E-2</v>
      </c>
      <c r="E49" s="100">
        <v>349.60494999999997</v>
      </c>
      <c r="F49" s="22">
        <f t="shared" si="1"/>
        <v>-5.4856863788967813E-2</v>
      </c>
    </row>
    <row r="50" spans="2:6" ht="17" x14ac:dyDescent="0.2">
      <c r="B50" s="99">
        <v>44013</v>
      </c>
      <c r="C50" s="101">
        <v>3271.12</v>
      </c>
      <c r="D50" s="21">
        <f t="shared" si="0"/>
        <v>5.5101296975444303E-2</v>
      </c>
      <c r="E50" s="100">
        <v>363.06527699999998</v>
      </c>
      <c r="F50" s="22">
        <f t="shared" si="1"/>
        <v>3.8501534374727919E-2</v>
      </c>
    </row>
    <row r="51" spans="2:6" ht="17" x14ac:dyDescent="0.2">
      <c r="B51" s="99">
        <v>44044</v>
      </c>
      <c r="C51" s="101">
        <v>3500.31</v>
      </c>
      <c r="D51" s="21">
        <f t="shared" si="0"/>
        <v>7.0064687324219221E-2</v>
      </c>
      <c r="E51" s="100">
        <v>373.88150000000002</v>
      </c>
      <c r="F51" s="22">
        <f t="shared" si="1"/>
        <v>2.9791400294113091E-2</v>
      </c>
    </row>
    <row r="52" spans="2:6" ht="17" x14ac:dyDescent="0.2">
      <c r="B52" s="99">
        <v>44075</v>
      </c>
      <c r="C52" s="101">
        <v>3363</v>
      </c>
      <c r="D52" s="21">
        <f t="shared" si="0"/>
        <v>-3.9227954095494399E-2</v>
      </c>
      <c r="E52" s="100">
        <v>369.43572999999998</v>
      </c>
      <c r="F52" s="22">
        <f t="shared" si="1"/>
        <v>-1.1890853117899725E-2</v>
      </c>
    </row>
    <row r="53" spans="2:6" ht="17" x14ac:dyDescent="0.2">
      <c r="B53" s="99">
        <v>44105</v>
      </c>
      <c r="C53" s="101">
        <v>3269.96</v>
      </c>
      <c r="D53" s="21">
        <f t="shared" si="0"/>
        <v>-2.7665774606006499E-2</v>
      </c>
      <c r="E53" s="100">
        <v>337.48312399999998</v>
      </c>
      <c r="F53" s="22">
        <f t="shared" si="1"/>
        <v>-8.6490296972628999E-2</v>
      </c>
    </row>
    <row r="54" spans="2:6" ht="17" x14ac:dyDescent="0.2">
      <c r="B54" s="99">
        <v>44136</v>
      </c>
      <c r="C54" s="101">
        <v>3621.63</v>
      </c>
      <c r="D54" s="21">
        <f t="shared" si="0"/>
        <v>0.10754565805086314</v>
      </c>
      <c r="E54" s="100">
        <v>351.81597900000003</v>
      </c>
      <c r="F54" s="22">
        <f t="shared" si="1"/>
        <v>4.2469842136461988E-2</v>
      </c>
    </row>
    <row r="55" spans="2:6" ht="17" x14ac:dyDescent="0.2">
      <c r="B55" s="99">
        <v>44166</v>
      </c>
      <c r="C55" s="101">
        <v>3756.07</v>
      </c>
      <c r="D55" s="21">
        <f t="shared" si="0"/>
        <v>3.712140665943231E-2</v>
      </c>
      <c r="E55" s="100">
        <v>344.55102499999998</v>
      </c>
      <c r="F55" s="22">
        <f t="shared" si="1"/>
        <v>-2.0649869345474081E-2</v>
      </c>
    </row>
    <row r="56" spans="2:6" ht="17" x14ac:dyDescent="0.2">
      <c r="B56" s="99">
        <v>44197</v>
      </c>
      <c r="C56" s="101">
        <v>3714.24</v>
      </c>
      <c r="D56" s="21">
        <f t="shared" si="0"/>
        <v>-1.1136640158463607E-2</v>
      </c>
      <c r="E56" s="100">
        <v>312.36523399999999</v>
      </c>
      <c r="F56" s="22">
        <f t="shared" si="1"/>
        <v>-9.3413714267719827E-2</v>
      </c>
    </row>
    <row r="57" spans="2:6" ht="17" x14ac:dyDescent="0.2">
      <c r="B57" s="99">
        <v>44228</v>
      </c>
      <c r="C57" s="101">
        <v>3811.15</v>
      </c>
      <c r="D57" s="21">
        <f t="shared" si="0"/>
        <v>2.6091474971999817E-2</v>
      </c>
      <c r="E57" s="100">
        <v>320.54757699999999</v>
      </c>
      <c r="F57" s="22">
        <f t="shared" si="1"/>
        <v>2.6194794136405131E-2</v>
      </c>
    </row>
    <row r="58" spans="2:6" ht="17" x14ac:dyDescent="0.2">
      <c r="B58" s="99">
        <v>44256</v>
      </c>
      <c r="C58" s="101">
        <v>3972.89</v>
      </c>
      <c r="D58" s="21">
        <f t="shared" si="0"/>
        <v>4.2438634008107767E-2</v>
      </c>
      <c r="E58" s="100">
        <v>361.39437900000001</v>
      </c>
      <c r="F58" s="22">
        <f t="shared" si="1"/>
        <v>0.12742820389498699</v>
      </c>
    </row>
    <row r="59" spans="2:6" ht="17" x14ac:dyDescent="0.2">
      <c r="B59" s="99">
        <v>44287</v>
      </c>
      <c r="C59" s="101">
        <v>4181.17</v>
      </c>
      <c r="D59" s="21">
        <f t="shared" si="0"/>
        <v>5.242531255584737E-2</v>
      </c>
      <c r="E59" s="100">
        <v>372.21176100000002</v>
      </c>
      <c r="F59" s="22">
        <f t="shared" si="1"/>
        <v>2.9932347121536251E-2</v>
      </c>
    </row>
    <row r="60" spans="2:6" ht="17" x14ac:dyDescent="0.2">
      <c r="B60" s="99">
        <v>44317</v>
      </c>
      <c r="C60" s="101">
        <v>4204.1099999999997</v>
      </c>
      <c r="D60" s="21">
        <f t="shared" si="0"/>
        <v>5.4865025818131574E-3</v>
      </c>
      <c r="E60" s="100">
        <v>373.81579599999998</v>
      </c>
      <c r="F60" s="22">
        <f t="shared" si="1"/>
        <v>4.3094688778519963E-3</v>
      </c>
    </row>
    <row r="61" spans="2:6" ht="17" x14ac:dyDescent="0.2">
      <c r="B61" s="99">
        <v>44348</v>
      </c>
      <c r="C61" s="101">
        <v>4297.5</v>
      </c>
      <c r="D61" s="21">
        <f t="shared" si="0"/>
        <v>2.221397632316946E-2</v>
      </c>
      <c r="E61" s="100">
        <v>372.550659</v>
      </c>
      <c r="F61" s="22">
        <f t="shared" si="1"/>
        <v>-3.3843861429546651E-3</v>
      </c>
    </row>
    <row r="62" spans="2:6" ht="17" x14ac:dyDescent="0.2">
      <c r="B62" s="99">
        <v>44378</v>
      </c>
      <c r="C62" s="101">
        <v>4395.26</v>
      </c>
      <c r="D62" s="21">
        <f t="shared" si="0"/>
        <v>2.274810936591054E-2</v>
      </c>
      <c r="E62" s="100">
        <v>365.97305299999999</v>
      </c>
      <c r="F62" s="22">
        <f t="shared" si="1"/>
        <v>-1.7655601570147783E-2</v>
      </c>
    </row>
    <row r="63" spans="2:6" ht="17" x14ac:dyDescent="0.2">
      <c r="B63" s="99">
        <v>44409</v>
      </c>
      <c r="C63" s="101">
        <v>4522.68</v>
      </c>
      <c r="D63" s="21">
        <f t="shared" si="0"/>
        <v>2.8990321391681118E-2</v>
      </c>
      <c r="E63" s="100">
        <v>354.28497299999998</v>
      </c>
      <c r="F63" s="22">
        <f t="shared" si="1"/>
        <v>-3.1936996191902711E-2</v>
      </c>
    </row>
    <row r="64" spans="2:6" ht="17" x14ac:dyDescent="0.2">
      <c r="B64" s="99">
        <v>44440</v>
      </c>
      <c r="C64" s="101">
        <v>4307.54</v>
      </c>
      <c r="D64" s="21">
        <f t="shared" si="0"/>
        <v>-4.7569140421166334E-2</v>
      </c>
      <c r="E64" s="100">
        <v>342.26825000000002</v>
      </c>
      <c r="F64" s="22">
        <f t="shared" si="1"/>
        <v>-3.3918240726512394E-2</v>
      </c>
    </row>
    <row r="65" spans="2:6" ht="17" x14ac:dyDescent="0.2">
      <c r="B65" s="99">
        <v>44470</v>
      </c>
      <c r="C65" s="101">
        <v>4605.38</v>
      </c>
      <c r="D65" s="21">
        <f t="shared" si="0"/>
        <v>6.9143873301234615E-2</v>
      </c>
      <c r="E65" s="100">
        <v>329.59314000000001</v>
      </c>
      <c r="F65" s="22">
        <f t="shared" si="1"/>
        <v>-3.7032678315911616E-2</v>
      </c>
    </row>
    <row r="66" spans="2:6" ht="17" x14ac:dyDescent="0.2">
      <c r="B66" s="99">
        <v>44501</v>
      </c>
      <c r="C66" s="101">
        <v>4567</v>
      </c>
      <c r="D66" s="21">
        <f t="shared" si="0"/>
        <v>-8.3337314184714906E-3</v>
      </c>
      <c r="E66" s="100">
        <v>330.58492999999999</v>
      </c>
      <c r="F66" s="22">
        <f t="shared" si="1"/>
        <v>3.0091342313738334E-3</v>
      </c>
    </row>
    <row r="67" spans="2:6" ht="17" x14ac:dyDescent="0.2">
      <c r="B67" s="99">
        <v>44531</v>
      </c>
      <c r="C67" s="101">
        <v>4634.09</v>
      </c>
      <c r="D67" s="21">
        <f t="shared" si="0"/>
        <v>1.4690168600832054E-2</v>
      </c>
      <c r="E67" s="100">
        <v>345.64001500000001</v>
      </c>
      <c r="F67" s="22">
        <f t="shared" si="1"/>
        <v>4.5540748031073441E-2</v>
      </c>
    </row>
  </sheetData>
  <mergeCells count="107">
    <mergeCell ref="AE19:AF19"/>
    <mergeCell ref="Y20:AA20"/>
    <mergeCell ref="AB20:AD20"/>
    <mergeCell ref="AE20:AF20"/>
    <mergeCell ref="AE16:AF16"/>
    <mergeCell ref="Y17:AA17"/>
    <mergeCell ref="AB17:AD17"/>
    <mergeCell ref="AE17:AG17"/>
    <mergeCell ref="Y18:AA18"/>
    <mergeCell ref="AB18:AD18"/>
    <mergeCell ref="AE18:AF18"/>
    <mergeCell ref="Y16:AA16"/>
    <mergeCell ref="AB16:AD16"/>
    <mergeCell ref="Y19:AA19"/>
    <mergeCell ref="AB19:AD19"/>
    <mergeCell ref="AE13:AF13"/>
    <mergeCell ref="Y14:AA14"/>
    <mergeCell ref="AB14:AD14"/>
    <mergeCell ref="AE14:AF14"/>
    <mergeCell ref="Y15:AA15"/>
    <mergeCell ref="AB15:AD15"/>
    <mergeCell ref="AE15:AF15"/>
    <mergeCell ref="AE10:AF10"/>
    <mergeCell ref="Y11:AA11"/>
    <mergeCell ref="AB11:AD11"/>
    <mergeCell ref="AE11:AF11"/>
    <mergeCell ref="Y12:AA12"/>
    <mergeCell ref="AB12:AD12"/>
    <mergeCell ref="AE12:AF12"/>
    <mergeCell ref="Y10:AA10"/>
    <mergeCell ref="AB10:AD10"/>
    <mergeCell ref="Y13:AA13"/>
    <mergeCell ref="AB13:AD13"/>
    <mergeCell ref="AE7:AF7"/>
    <mergeCell ref="Y8:AA8"/>
    <mergeCell ref="AB8:AD8"/>
    <mergeCell ref="AE8:AF8"/>
    <mergeCell ref="Y9:AA9"/>
    <mergeCell ref="AB9:AD9"/>
    <mergeCell ref="AE9:AF9"/>
    <mergeCell ref="AE4:AG4"/>
    <mergeCell ref="Y5:AA5"/>
    <mergeCell ref="AB5:AD5"/>
    <mergeCell ref="AE5:AF5"/>
    <mergeCell ref="Y6:AA6"/>
    <mergeCell ref="AB6:AD6"/>
    <mergeCell ref="AE6:AF6"/>
    <mergeCell ref="Y4:AA4"/>
    <mergeCell ref="AB4:AD4"/>
    <mergeCell ref="Y7:AA7"/>
    <mergeCell ref="AB7:AD7"/>
    <mergeCell ref="O22:Q22"/>
    <mergeCell ref="R22:T22"/>
    <mergeCell ref="U22:W22"/>
    <mergeCell ref="O19:Q19"/>
    <mergeCell ref="R19:T19"/>
    <mergeCell ref="U19:V19"/>
    <mergeCell ref="O20:Q20"/>
    <mergeCell ref="R20:T20"/>
    <mergeCell ref="U20:V20"/>
    <mergeCell ref="O17:Q17"/>
    <mergeCell ref="R17:T17"/>
    <mergeCell ref="U17:W17"/>
    <mergeCell ref="O18:Q18"/>
    <mergeCell ref="R18:T18"/>
    <mergeCell ref="U18:V18"/>
    <mergeCell ref="O15:Q15"/>
    <mergeCell ref="R15:T15"/>
    <mergeCell ref="U15:V15"/>
    <mergeCell ref="O16:Q16"/>
    <mergeCell ref="R16:T16"/>
    <mergeCell ref="U16:V16"/>
    <mergeCell ref="O13:Q13"/>
    <mergeCell ref="R13:T13"/>
    <mergeCell ref="U13:V13"/>
    <mergeCell ref="O14:Q14"/>
    <mergeCell ref="R14:T14"/>
    <mergeCell ref="U14:W14"/>
    <mergeCell ref="O11:Q11"/>
    <mergeCell ref="R11:T11"/>
    <mergeCell ref="U11:W11"/>
    <mergeCell ref="O12:Q12"/>
    <mergeCell ref="R12:T12"/>
    <mergeCell ref="U12:V12"/>
    <mergeCell ref="O9:Q9"/>
    <mergeCell ref="R9:T9"/>
    <mergeCell ref="U9:V9"/>
    <mergeCell ref="O10:Q10"/>
    <mergeCell ref="R10:T10"/>
    <mergeCell ref="U10:V10"/>
    <mergeCell ref="O7:Q7"/>
    <mergeCell ref="R7:T7"/>
    <mergeCell ref="U7:V7"/>
    <mergeCell ref="O8:Q8"/>
    <mergeCell ref="R8:T8"/>
    <mergeCell ref="U8:V8"/>
    <mergeCell ref="C6:D6"/>
    <mergeCell ref="E6:F6"/>
    <mergeCell ref="O4:Q4"/>
    <mergeCell ref="R4:T4"/>
    <mergeCell ref="U4:W4"/>
    <mergeCell ref="O5:Q5"/>
    <mergeCell ref="R5:T5"/>
    <mergeCell ref="U5:W5"/>
    <mergeCell ref="O6:Q6"/>
    <mergeCell ref="R6:T6"/>
    <mergeCell ref="U6:V6"/>
  </mergeCells>
  <pageMargins left="0.7" right="0.7" top="0.75" bottom="0.75" header="0.3" footer="0.3"/>
  <pageSetup scale="74" fitToHeight="3" orientation="landscape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5018-7FF9-2947-82DB-67A63C6308F0}">
  <dimension ref="B2:AH119"/>
  <sheetViews>
    <sheetView showGridLines="0" tabSelected="1" topLeftCell="A42" zoomScale="82" workbookViewId="0">
      <selection activeCell="K58" sqref="K58"/>
    </sheetView>
  </sheetViews>
  <sheetFormatPr baseColWidth="10" defaultRowHeight="16" x14ac:dyDescent="0.2"/>
  <cols>
    <col min="1" max="1" width="2" style="1" customWidth="1"/>
    <col min="2" max="2" width="43.5" style="1" customWidth="1"/>
    <col min="3" max="4" width="13.6640625" style="1" customWidth="1"/>
    <col min="5" max="5" width="3.5" style="1" customWidth="1"/>
    <col min="6" max="6" width="41.5" style="1" customWidth="1"/>
    <col min="7" max="12" width="13.6640625" style="1" customWidth="1"/>
    <col min="13" max="13" width="10.83203125" style="5"/>
    <col min="14" max="14" width="19.6640625" style="1" customWidth="1"/>
    <col min="15" max="16384" width="10.83203125" style="1"/>
  </cols>
  <sheetData>
    <row r="2" spans="2:14" ht="37" customHeight="1" x14ac:dyDescent="0.2">
      <c r="B2" s="66" t="s">
        <v>161</v>
      </c>
      <c r="C2" s="67"/>
      <c r="D2" s="67"/>
      <c r="E2" s="68"/>
      <c r="F2" s="68"/>
      <c r="G2" s="67"/>
      <c r="H2" s="67"/>
      <c r="I2" s="67"/>
      <c r="J2" s="67"/>
      <c r="K2" s="67"/>
      <c r="L2" s="24"/>
    </row>
    <row r="3" spans="2:14" s="25" customFormat="1" ht="19" x14ac:dyDescent="0.2">
      <c r="F3" s="26"/>
      <c r="M3" s="27"/>
    </row>
    <row r="4" spans="2:14" ht="21" x14ac:dyDescent="0.2">
      <c r="B4" s="113"/>
      <c r="C4" s="114"/>
      <c r="D4" s="114"/>
      <c r="F4" s="6" t="s">
        <v>58</v>
      </c>
      <c r="G4" s="33"/>
      <c r="H4" s="33"/>
      <c r="I4" s="33"/>
      <c r="J4" s="33"/>
      <c r="K4" s="33"/>
      <c r="L4" s="33"/>
    </row>
    <row r="5" spans="2:14" ht="19" x14ac:dyDescent="0.2">
      <c r="B5" s="25"/>
      <c r="C5" s="25"/>
      <c r="D5" s="25"/>
      <c r="F5" s="26"/>
      <c r="G5" s="25"/>
      <c r="H5" s="25"/>
      <c r="I5" s="25"/>
      <c r="J5" s="25"/>
      <c r="K5" s="25"/>
      <c r="L5" s="25"/>
    </row>
    <row r="6" spans="2:14" x14ac:dyDescent="0.2">
      <c r="B6" s="115"/>
      <c r="C6" s="115"/>
      <c r="D6" s="33"/>
      <c r="F6" s="38" t="s">
        <v>61</v>
      </c>
      <c r="G6" s="31">
        <v>0</v>
      </c>
      <c r="H6" s="31">
        <v>1</v>
      </c>
      <c r="I6" s="31">
        <v>2</v>
      </c>
      <c r="J6" s="31">
        <v>3</v>
      </c>
      <c r="K6" s="31">
        <v>4</v>
      </c>
      <c r="L6" s="31">
        <v>5</v>
      </c>
    </row>
    <row r="7" spans="2:14" x14ac:dyDescent="0.2">
      <c r="B7" s="25"/>
      <c r="C7" s="116"/>
      <c r="D7" s="25"/>
      <c r="F7" s="25" t="s">
        <v>3</v>
      </c>
      <c r="G7" s="25"/>
      <c r="H7" s="70">
        <v>0.04</v>
      </c>
      <c r="I7" s="71">
        <v>3.5000000000000003E-2</v>
      </c>
      <c r="J7" s="71">
        <v>4.4999999999999998E-2</v>
      </c>
      <c r="K7" s="71">
        <v>6.2E-2</v>
      </c>
      <c r="L7" s="71">
        <v>7.3999999999999996E-2</v>
      </c>
      <c r="N7" s="126">
        <f>AVERAGE(H7:L7)</f>
        <v>5.1200000000000002E-2</v>
      </c>
    </row>
    <row r="8" spans="2:14" x14ac:dyDescent="0.2">
      <c r="B8" s="64"/>
      <c r="C8" s="117"/>
      <c r="D8" s="25"/>
      <c r="F8" s="25" t="s">
        <v>50</v>
      </c>
      <c r="G8" s="72">
        <f>-(T93+P117)/T87</f>
        <v>0.84779351050490837</v>
      </c>
      <c r="H8" s="71">
        <v>0.86499999999999999</v>
      </c>
      <c r="I8" s="71">
        <v>0.85199999999999998</v>
      </c>
      <c r="J8" s="70">
        <v>0.83</v>
      </c>
      <c r="K8" s="70">
        <v>0.82</v>
      </c>
      <c r="L8" s="70">
        <v>0.84299999999999997</v>
      </c>
    </row>
    <row r="9" spans="2:14" x14ac:dyDescent="0.2">
      <c r="B9" s="25"/>
      <c r="C9" s="116"/>
      <c r="D9" s="25"/>
      <c r="F9" s="25" t="s">
        <v>38</v>
      </c>
      <c r="G9" s="72">
        <f>P117/T87</f>
        <v>1.98782837395639E-2</v>
      </c>
      <c r="H9" s="72">
        <v>2.35E-2</v>
      </c>
      <c r="I9" s="72">
        <v>2.35E-2</v>
      </c>
      <c r="J9" s="71">
        <v>2.1000000000000001E-2</v>
      </c>
      <c r="K9" s="71">
        <v>2.1000000000000001E-2</v>
      </c>
      <c r="L9" s="71">
        <v>2.1000000000000001E-2</v>
      </c>
    </row>
    <row r="10" spans="2:14" x14ac:dyDescent="0.2">
      <c r="B10" s="25"/>
      <c r="C10" s="116"/>
      <c r="D10" s="25"/>
      <c r="F10" s="25" t="s">
        <v>147</v>
      </c>
      <c r="G10" s="72">
        <f>T95/T87</f>
        <v>-1.5290987491972232E-4</v>
      </c>
      <c r="H10" s="71">
        <v>5.0000000000000001E-3</v>
      </c>
      <c r="I10" s="95">
        <v>-4.4999999999999997E-3</v>
      </c>
      <c r="J10" s="110">
        <v>2E-3</v>
      </c>
      <c r="K10" s="110">
        <v>3.0000000000000001E-3</v>
      </c>
      <c r="L10" s="95">
        <v>1.5E-3</v>
      </c>
    </row>
    <row r="11" spans="2:14" s="25" customFormat="1" x14ac:dyDescent="0.2">
      <c r="B11" s="64"/>
      <c r="C11" s="117"/>
      <c r="E11" s="29"/>
      <c r="F11" s="25" t="s">
        <v>148</v>
      </c>
      <c r="G11" s="95">
        <f>T98/T87</f>
        <v>2.782959723538946E-3</v>
      </c>
      <c r="H11" s="72">
        <v>3.0000000000000001E-3</v>
      </c>
      <c r="I11" s="72">
        <v>3.3999999999999998E-3</v>
      </c>
      <c r="J11" s="72">
        <v>2.7000000000000001E-3</v>
      </c>
      <c r="K11" s="72">
        <v>3.8E-3</v>
      </c>
      <c r="L11" s="72">
        <v>3.0000000000000001E-3</v>
      </c>
      <c r="M11" s="27"/>
    </row>
    <row r="12" spans="2:14" s="25" customFormat="1" x14ac:dyDescent="0.2">
      <c r="B12" s="64"/>
      <c r="C12" s="117"/>
      <c r="E12" s="29"/>
      <c r="F12" s="25" t="s">
        <v>149</v>
      </c>
      <c r="G12" s="95">
        <f>-T102/T87</f>
        <v>8.4100431205847272E-4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27"/>
    </row>
    <row r="13" spans="2:14" s="25" customFormat="1" x14ac:dyDescent="0.2">
      <c r="C13" s="116"/>
      <c r="F13" s="25" t="s">
        <v>51</v>
      </c>
      <c r="G13" s="72">
        <f>(T45-T59)/T87</f>
        <v>8.3259426893788804E-2</v>
      </c>
      <c r="H13" s="71">
        <v>8.4000000000000005E-2</v>
      </c>
      <c r="I13" s="71">
        <v>6.2E-2</v>
      </c>
      <c r="J13" s="71">
        <v>6.7000000000000004E-2</v>
      </c>
      <c r="K13" s="71">
        <v>6.7000000000000004E-2</v>
      </c>
      <c r="L13" s="71">
        <v>7.3999999999999996E-2</v>
      </c>
      <c r="M13" s="27"/>
      <c r="N13" s="116">
        <f>(T45-T59)</f>
        <v>5445</v>
      </c>
    </row>
    <row r="14" spans="2:14" s="25" customFormat="1" x14ac:dyDescent="0.2">
      <c r="F14" s="25" t="s">
        <v>4</v>
      </c>
      <c r="G14" s="72">
        <f>(T46/T87)</f>
        <v>0.11029389277959571</v>
      </c>
      <c r="H14" s="72">
        <v>0.13</v>
      </c>
      <c r="I14" s="72">
        <v>0.114</v>
      </c>
      <c r="J14" s="72">
        <v>0.11</v>
      </c>
      <c r="K14" s="72">
        <v>0.107</v>
      </c>
      <c r="L14" s="72">
        <v>0.1045</v>
      </c>
      <c r="M14" s="27"/>
    </row>
    <row r="15" spans="2:14" s="25" customFormat="1" x14ac:dyDescent="0.2">
      <c r="B15" s="64"/>
      <c r="C15" s="64"/>
      <c r="F15" s="25" t="s">
        <v>146</v>
      </c>
      <c r="G15" s="72">
        <f>P119/(T46+T47+P119)</f>
        <v>4.5199236964815599E-2</v>
      </c>
      <c r="H15" s="72">
        <f>G15</f>
        <v>4.5199236964815599E-2</v>
      </c>
      <c r="I15" s="72">
        <f>H15</f>
        <v>4.5199236964815599E-2</v>
      </c>
      <c r="J15" s="72">
        <f>I15</f>
        <v>4.5199236964815599E-2</v>
      </c>
      <c r="K15" s="72">
        <f>J15</f>
        <v>4.5199236964815599E-2</v>
      </c>
      <c r="L15" s="72">
        <f>K15</f>
        <v>4.5199236964815599E-2</v>
      </c>
      <c r="M15" s="27"/>
    </row>
    <row r="16" spans="2:14" s="25" customFormat="1" ht="17" thickBot="1" x14ac:dyDescent="0.25">
      <c r="C16" s="116"/>
      <c r="F16" s="33" t="s">
        <v>41</v>
      </c>
      <c r="G16" s="109">
        <f>WACC!L18</f>
        <v>0.16400000000000001</v>
      </c>
      <c r="H16" s="123">
        <v>0.17199999999999999</v>
      </c>
      <c r="I16" s="123">
        <v>0.17299999999999999</v>
      </c>
      <c r="J16" s="123">
        <v>0.16200000000000001</v>
      </c>
      <c r="K16" s="123">
        <v>0.16500000000000001</v>
      </c>
      <c r="L16" s="109">
        <v>0.16</v>
      </c>
      <c r="M16" s="27"/>
    </row>
    <row r="17" spans="2:16" s="25" customFormat="1" ht="19" customHeight="1" thickBot="1" x14ac:dyDescent="0.25">
      <c r="B17" s="64"/>
      <c r="C17" s="117"/>
      <c r="F17" s="25" t="s">
        <v>2</v>
      </c>
      <c r="G17" s="96">
        <f>WACC!L24</f>
        <v>9.3837541910413561E-2</v>
      </c>
      <c r="I17" s="28" t="s">
        <v>52</v>
      </c>
      <c r="K17" s="63"/>
      <c r="L17" s="96">
        <v>5.3999999999999999E-2</v>
      </c>
      <c r="M17" s="27"/>
      <c r="P17" s="25">
        <f>2000/N13</f>
        <v>0.3673094582185491</v>
      </c>
    </row>
    <row r="18" spans="2:16" s="25" customFormat="1" x14ac:dyDescent="0.2">
      <c r="C18" s="116"/>
      <c r="F18" s="5" t="s">
        <v>22</v>
      </c>
    </row>
    <row r="19" spans="2:16" s="25" customFormat="1" x14ac:dyDescent="0.2">
      <c r="M19" s="27"/>
      <c r="N19" s="25">
        <f>2000/T87</f>
        <v>3.0581974983944462E-2</v>
      </c>
    </row>
    <row r="20" spans="2:16" s="25" customFormat="1" x14ac:dyDescent="0.2">
      <c r="B20" s="118"/>
      <c r="C20" s="119"/>
      <c r="D20" s="119"/>
      <c r="F20" s="38" t="s">
        <v>62</v>
      </c>
      <c r="G20" s="31">
        <v>0</v>
      </c>
      <c r="H20" s="31">
        <v>1</v>
      </c>
      <c r="I20" s="31">
        <v>2</v>
      </c>
      <c r="J20" s="31">
        <v>3</v>
      </c>
      <c r="K20" s="31">
        <v>4</v>
      </c>
      <c r="L20" s="31">
        <v>5</v>
      </c>
      <c r="M20" s="27"/>
    </row>
    <row r="21" spans="2:16" s="25" customFormat="1" x14ac:dyDescent="0.2">
      <c r="B21" s="120"/>
      <c r="F21" s="28" t="s">
        <v>0</v>
      </c>
      <c r="G21" s="73">
        <f>T87</f>
        <v>65398</v>
      </c>
      <c r="H21" s="73">
        <f>G21*(1+H7)</f>
        <v>68013.919999999998</v>
      </c>
      <c r="I21" s="73">
        <f t="shared" ref="I21:L21" si="0">H21*(1+I7)</f>
        <v>70394.407199999987</v>
      </c>
      <c r="J21" s="73">
        <f t="shared" si="0"/>
        <v>73562.155523999987</v>
      </c>
      <c r="K21" s="73">
        <f t="shared" si="0"/>
        <v>78123.009166487987</v>
      </c>
      <c r="L21" s="73">
        <f t="shared" si="0"/>
        <v>83904.111844808111</v>
      </c>
      <c r="M21" s="27"/>
    </row>
    <row r="22" spans="2:16" s="25" customFormat="1" ht="19" x14ac:dyDescent="0.2">
      <c r="B22" s="120"/>
      <c r="F22" s="44" t="s">
        <v>18</v>
      </c>
      <c r="G22" s="74">
        <f>G21*G8</f>
        <v>55444</v>
      </c>
      <c r="H22" s="75">
        <f>H21*H8</f>
        <v>58832.040799999995</v>
      </c>
      <c r="I22" s="75">
        <f t="shared" ref="I22:L22" si="1">I21*I8</f>
        <v>59976.034934399984</v>
      </c>
      <c r="J22" s="75">
        <f t="shared" si="1"/>
        <v>61056.589084919986</v>
      </c>
      <c r="K22" s="75">
        <f t="shared" si="1"/>
        <v>64060.867516520149</v>
      </c>
      <c r="L22" s="75">
        <f t="shared" si="1"/>
        <v>70731.16628517324</v>
      </c>
      <c r="M22" s="27"/>
    </row>
    <row r="23" spans="2:16" s="25" customFormat="1" x14ac:dyDescent="0.2">
      <c r="B23" s="120"/>
      <c r="C23" s="121"/>
      <c r="D23" s="121"/>
      <c r="F23" s="28" t="s">
        <v>17</v>
      </c>
      <c r="G23" s="73">
        <f>G21-G22</f>
        <v>9954</v>
      </c>
      <c r="H23" s="73">
        <f>H21-H22</f>
        <v>9181.879200000003</v>
      </c>
      <c r="I23" s="73">
        <f t="shared" ref="I23:L23" si="2">I21-I22</f>
        <v>10418.372265600003</v>
      </c>
      <c r="J23" s="73">
        <f t="shared" si="2"/>
        <v>12505.566439080001</v>
      </c>
      <c r="K23" s="73">
        <f t="shared" si="2"/>
        <v>14062.141649967838</v>
      </c>
      <c r="L23" s="73">
        <f t="shared" si="2"/>
        <v>13172.945559634871</v>
      </c>
      <c r="M23" s="27"/>
    </row>
    <row r="24" spans="2:16" s="25" customFormat="1" x14ac:dyDescent="0.2">
      <c r="B24" s="120"/>
      <c r="C24" s="121"/>
      <c r="D24" s="121"/>
      <c r="F24" s="25" t="s">
        <v>54</v>
      </c>
      <c r="G24" s="73">
        <f>G9*G21</f>
        <v>1300</v>
      </c>
      <c r="H24" s="73">
        <f>H21*H9</f>
        <v>1598.3271199999999</v>
      </c>
      <c r="I24" s="73">
        <f t="shared" ref="I24:L24" si="3">I21*I9</f>
        <v>1654.2685691999998</v>
      </c>
      <c r="J24" s="73">
        <f t="shared" si="3"/>
        <v>1544.8052660039998</v>
      </c>
      <c r="K24" s="73">
        <f t="shared" si="3"/>
        <v>1640.5831924962479</v>
      </c>
      <c r="L24" s="73">
        <f t="shared" si="3"/>
        <v>1761.9863487409705</v>
      </c>
      <c r="M24" s="27"/>
    </row>
    <row r="25" spans="2:16" s="25" customFormat="1" ht="19" x14ac:dyDescent="0.2">
      <c r="B25" s="120"/>
      <c r="C25" s="122"/>
      <c r="D25" s="122"/>
      <c r="F25" s="64" t="s">
        <v>150</v>
      </c>
      <c r="G25" s="111">
        <f>G10*G21</f>
        <v>-10</v>
      </c>
      <c r="H25" s="73">
        <f>H21*H10</f>
        <v>340.06959999999998</v>
      </c>
      <c r="I25" s="73">
        <f t="shared" ref="I25:L25" si="4">I21*I10</f>
        <v>-316.77483239999992</v>
      </c>
      <c r="J25" s="73">
        <f t="shared" si="4"/>
        <v>147.12431104799998</v>
      </c>
      <c r="K25" s="73">
        <f t="shared" si="4"/>
        <v>234.36902749946395</v>
      </c>
      <c r="L25" s="73">
        <f t="shared" si="4"/>
        <v>125.85616776721217</v>
      </c>
      <c r="M25" s="27"/>
    </row>
    <row r="26" spans="2:16" s="25" customFormat="1" x14ac:dyDescent="0.2">
      <c r="B26" s="120"/>
      <c r="C26" s="122"/>
      <c r="D26" s="122"/>
      <c r="F26" s="28" t="s">
        <v>1</v>
      </c>
      <c r="G26" s="73">
        <f>G23-G24+G25</f>
        <v>8644</v>
      </c>
      <c r="H26" s="73">
        <f>H23-H24+H25</f>
        <v>7923.6216800000029</v>
      </c>
      <c r="I26" s="73">
        <f t="shared" ref="I26:L26" si="5">I23-I24+I25</f>
        <v>8447.3288640000028</v>
      </c>
      <c r="J26" s="73">
        <f t="shared" si="5"/>
        <v>11107.885484124003</v>
      </c>
      <c r="K26" s="73">
        <f t="shared" si="5"/>
        <v>12655.927484971055</v>
      </c>
      <c r="L26" s="73">
        <f t="shared" si="5"/>
        <v>11536.815378661111</v>
      </c>
      <c r="M26" s="27"/>
    </row>
    <row r="27" spans="2:16" s="25" customFormat="1" x14ac:dyDescent="0.2">
      <c r="B27" s="120"/>
      <c r="C27" s="122"/>
      <c r="D27" s="122"/>
      <c r="F27" s="28" t="s">
        <v>151</v>
      </c>
      <c r="G27" s="73">
        <f>G11*G21</f>
        <v>182</v>
      </c>
      <c r="H27" s="73">
        <f>H21*H11</f>
        <v>204.04176000000001</v>
      </c>
      <c r="I27" s="73">
        <f t="shared" ref="I27:L27" si="6">I21*I11</f>
        <v>239.34098447999995</v>
      </c>
      <c r="J27" s="73">
        <f t="shared" si="6"/>
        <v>198.61781991479998</v>
      </c>
      <c r="K27" s="73">
        <f t="shared" si="6"/>
        <v>296.86743483265434</v>
      </c>
      <c r="L27" s="73">
        <f t="shared" si="6"/>
        <v>251.71233553442434</v>
      </c>
      <c r="M27" s="27"/>
    </row>
    <row r="28" spans="2:16" s="25" customFormat="1" ht="19" x14ac:dyDescent="0.2">
      <c r="B28" s="120"/>
      <c r="C28" s="122"/>
      <c r="D28" s="122"/>
      <c r="F28" s="44" t="s">
        <v>53</v>
      </c>
      <c r="G28" s="74">
        <f>-T97</f>
        <v>591</v>
      </c>
      <c r="H28" s="75">
        <v>554</v>
      </c>
      <c r="I28" s="75">
        <f>1067/2</f>
        <v>533.5</v>
      </c>
      <c r="J28" s="75">
        <f>I28</f>
        <v>533.5</v>
      </c>
      <c r="K28" s="75">
        <f>989/2</f>
        <v>494.5</v>
      </c>
      <c r="L28" s="75">
        <f>K28</f>
        <v>494.5</v>
      </c>
      <c r="M28" s="27"/>
    </row>
    <row r="29" spans="2:16" s="32" customFormat="1" x14ac:dyDescent="0.2">
      <c r="B29" s="120"/>
      <c r="C29" s="122"/>
      <c r="D29" s="122"/>
      <c r="F29" s="28" t="s">
        <v>5</v>
      </c>
      <c r="G29" s="73">
        <f>G26-G28+G27</f>
        <v>8235</v>
      </c>
      <c r="H29" s="73">
        <f>H26+H27-H28</f>
        <v>7573.663440000003</v>
      </c>
      <c r="I29" s="73">
        <f t="shared" ref="I29:L29" si="7">I26+I27-I28</f>
        <v>8153.1698484800036</v>
      </c>
      <c r="J29" s="73">
        <f t="shared" si="7"/>
        <v>10773.003304038803</v>
      </c>
      <c r="K29" s="73">
        <f t="shared" si="7"/>
        <v>12458.294919803709</v>
      </c>
      <c r="L29" s="73">
        <f t="shared" si="7"/>
        <v>11294.027714195536</v>
      </c>
      <c r="M29" s="27"/>
    </row>
    <row r="30" spans="2:16" s="25" customFormat="1" ht="19" x14ac:dyDescent="0.2">
      <c r="F30" s="44" t="s">
        <v>6</v>
      </c>
      <c r="G30" s="74">
        <f>-T100</f>
        <v>1347</v>
      </c>
      <c r="H30" s="76">
        <f>H29*H16</f>
        <v>1302.6701116800004</v>
      </c>
      <c r="I30" s="76">
        <f t="shared" ref="I30:L30" si="8">I29*I16</f>
        <v>1410.4983837870404</v>
      </c>
      <c r="J30" s="76">
        <f t="shared" si="8"/>
        <v>1745.2265352542861</v>
      </c>
      <c r="K30" s="76">
        <f t="shared" si="8"/>
        <v>2055.6186617676121</v>
      </c>
      <c r="L30" s="76">
        <f t="shared" si="8"/>
        <v>1807.0444342712858</v>
      </c>
      <c r="M30" s="27"/>
    </row>
    <row r="31" spans="2:16" s="25" customFormat="1" ht="19" x14ac:dyDescent="0.2">
      <c r="F31" s="44" t="s">
        <v>152</v>
      </c>
      <c r="G31" s="74">
        <f>-T102</f>
        <v>55</v>
      </c>
      <c r="H31" s="76">
        <f>H12*H21</f>
        <v>0</v>
      </c>
      <c r="I31" s="76">
        <f t="shared" ref="I31:L31" si="9">I12*I21</f>
        <v>0</v>
      </c>
      <c r="J31" s="76">
        <f t="shared" si="9"/>
        <v>0</v>
      </c>
      <c r="K31" s="76">
        <f t="shared" si="9"/>
        <v>0</v>
      </c>
      <c r="L31" s="76">
        <f t="shared" si="9"/>
        <v>0</v>
      </c>
      <c r="M31" s="27"/>
    </row>
    <row r="32" spans="2:16" s="25" customFormat="1" x14ac:dyDescent="0.2">
      <c r="B32" s="120"/>
      <c r="F32" s="28" t="s">
        <v>7</v>
      </c>
      <c r="G32" s="73">
        <f>G29-G30-G31</f>
        <v>6833</v>
      </c>
      <c r="H32" s="77">
        <f>H29-H30-H31</f>
        <v>6270.9933283200025</v>
      </c>
      <c r="I32" s="77">
        <f t="shared" ref="I32:L32" si="10">I29-I30-I31</f>
        <v>6742.6714646929631</v>
      </c>
      <c r="J32" s="77">
        <f t="shared" si="10"/>
        <v>9027.7767687845171</v>
      </c>
      <c r="K32" s="77">
        <f t="shared" si="10"/>
        <v>10402.676258036097</v>
      </c>
      <c r="L32" s="77">
        <f t="shared" si="10"/>
        <v>9486.9832799242504</v>
      </c>
      <c r="M32" s="27"/>
    </row>
    <row r="33" spans="2:28" s="25" customFormat="1" x14ac:dyDescent="0.2">
      <c r="B33" s="120"/>
      <c r="C33" s="122"/>
      <c r="D33" s="122"/>
      <c r="F33" s="28" t="s">
        <v>55</v>
      </c>
      <c r="G33" s="39"/>
      <c r="H33" s="78">
        <f>H28</f>
        <v>554</v>
      </c>
      <c r="I33" s="78">
        <f t="shared" ref="I33:L33" si="11">I28</f>
        <v>533.5</v>
      </c>
      <c r="J33" s="78">
        <f t="shared" si="11"/>
        <v>533.5</v>
      </c>
      <c r="K33" s="78">
        <f t="shared" si="11"/>
        <v>494.5</v>
      </c>
      <c r="L33" s="78">
        <f t="shared" si="11"/>
        <v>494.5</v>
      </c>
      <c r="M33" s="27"/>
      <c r="N33" s="145" t="s">
        <v>95</v>
      </c>
      <c r="O33" s="145"/>
      <c r="P33" s="145"/>
      <c r="Q33" s="145"/>
      <c r="R33" s="145"/>
      <c r="S33" s="145"/>
      <c r="T33"/>
      <c r="U33"/>
      <c r="V33"/>
      <c r="W33"/>
      <c r="X33"/>
      <c r="Y33"/>
      <c r="Z33"/>
      <c r="AA33"/>
      <c r="AB33"/>
    </row>
    <row r="34" spans="2:28" s="25" customFormat="1" x14ac:dyDescent="0.2">
      <c r="B34" s="120"/>
      <c r="C34" s="122"/>
      <c r="D34" s="122"/>
      <c r="F34" s="33" t="s">
        <v>56</v>
      </c>
      <c r="G34" s="40"/>
      <c r="H34" s="79">
        <f>H15*(H14*H21)</f>
        <v>399.64304730818145</v>
      </c>
      <c r="I34" s="79">
        <f t="shared" ref="I34:L34" si="12">I15*(I14*I21)</f>
        <v>362.72217809147935</v>
      </c>
      <c r="J34" s="79">
        <f t="shared" si="12"/>
        <v>365.74486290890837</v>
      </c>
      <c r="K34" s="79">
        <f t="shared" si="12"/>
        <v>377.82774319809903</v>
      </c>
      <c r="L34" s="79">
        <f t="shared" si="12"/>
        <v>396.30599161076867</v>
      </c>
      <c r="M34" s="27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s="25" customFormat="1" x14ac:dyDescent="0.2">
      <c r="B35" s="120"/>
      <c r="C35" s="122"/>
      <c r="D35" s="122"/>
      <c r="F35" s="8" t="s">
        <v>8</v>
      </c>
      <c r="G35" s="45"/>
      <c r="H35" s="80">
        <f>H32+H33+H34</f>
        <v>7224.6363756281844</v>
      </c>
      <c r="I35" s="80">
        <f t="shared" ref="I35:L35" si="13">I32+I33+I34</f>
        <v>7638.8936427844428</v>
      </c>
      <c r="J35" s="80">
        <f t="shared" si="13"/>
        <v>9927.0216316934257</v>
      </c>
      <c r="K35" s="80">
        <f t="shared" si="13"/>
        <v>11275.004001234196</v>
      </c>
      <c r="L35" s="80">
        <f t="shared" si="13"/>
        <v>10377.789271535019</v>
      </c>
      <c r="M35" s="27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s="25" customFormat="1" x14ac:dyDescent="0.2">
      <c r="B36" s="120"/>
      <c r="C36" s="122"/>
      <c r="D36" s="122"/>
      <c r="G36" s="34"/>
      <c r="H36" s="34"/>
      <c r="I36" s="34"/>
      <c r="J36" s="34"/>
      <c r="K36" s="34"/>
      <c r="L36" s="34"/>
      <c r="M36" s="27"/>
      <c r="N36" s="144"/>
      <c r="O36" s="144"/>
      <c r="P36" s="144"/>
      <c r="Q36" s="144"/>
      <c r="R36" s="144"/>
      <c r="S36" s="144"/>
      <c r="T36" s="145" t="s">
        <v>96</v>
      </c>
      <c r="U36" s="145"/>
      <c r="V36" s="145"/>
      <c r="W36" s="145"/>
      <c r="X36" s="145"/>
      <c r="Y36" s="145"/>
      <c r="Z36" s="145"/>
      <c r="AA36" s="145"/>
      <c r="AB36" s="145"/>
    </row>
    <row r="37" spans="2:28" s="25" customFormat="1" x14ac:dyDescent="0.2">
      <c r="B37" s="120"/>
      <c r="C37" s="121"/>
      <c r="D37" s="121"/>
      <c r="F37" s="38" t="s">
        <v>63</v>
      </c>
      <c r="G37" s="31">
        <v>0</v>
      </c>
      <c r="H37" s="31">
        <v>1</v>
      </c>
      <c r="I37" s="31">
        <v>2</v>
      </c>
      <c r="J37" s="31">
        <v>3</v>
      </c>
      <c r="K37" s="31">
        <v>4</v>
      </c>
      <c r="L37" s="31">
        <v>5</v>
      </c>
      <c r="M37" s="27"/>
      <c r="N37" s="144"/>
      <c r="O37" s="144"/>
      <c r="P37" s="144"/>
      <c r="Q37" s="144"/>
      <c r="R37" s="144"/>
      <c r="S37" s="144"/>
      <c r="T37" s="145" t="s">
        <v>80</v>
      </c>
      <c r="U37" s="145"/>
      <c r="V37" s="145"/>
      <c r="W37" s="144"/>
      <c r="X37" s="144"/>
      <c r="Y37" s="144"/>
      <c r="Z37" s="145" t="s">
        <v>97</v>
      </c>
      <c r="AA37" s="145"/>
      <c r="AB37" s="145"/>
    </row>
    <row r="38" spans="2:28" s="25" customFormat="1" x14ac:dyDescent="0.2">
      <c r="F38" s="25" t="s">
        <v>20</v>
      </c>
      <c r="G38" s="81">
        <f>G13*G21</f>
        <v>5445</v>
      </c>
      <c r="H38" s="81">
        <f t="shared" ref="H38:L38" si="14">H13*H21</f>
        <v>5713.1692800000001</v>
      </c>
      <c r="I38" s="81">
        <f t="shared" si="14"/>
        <v>4364.4532463999994</v>
      </c>
      <c r="J38" s="81">
        <f t="shared" si="14"/>
        <v>4928.6644201079998</v>
      </c>
      <c r="K38" s="81">
        <f t="shared" si="14"/>
        <v>5234.2416141546955</v>
      </c>
      <c r="L38" s="81">
        <f t="shared" si="14"/>
        <v>6208.9042765158001</v>
      </c>
      <c r="M38" s="27"/>
      <c r="N38" s="145" t="s">
        <v>98</v>
      </c>
      <c r="O38" s="145"/>
      <c r="P38" s="145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</row>
    <row r="39" spans="2:28" s="25" customFormat="1" x14ac:dyDescent="0.2">
      <c r="B39" s="120"/>
      <c r="F39" s="29" t="s">
        <v>19</v>
      </c>
      <c r="G39" s="41"/>
      <c r="H39" s="82">
        <f>G38-H38</f>
        <v>-268.16928000000007</v>
      </c>
      <c r="I39" s="82">
        <f t="shared" ref="I39:L39" si="15">H38-I38</f>
        <v>1348.7160336000006</v>
      </c>
      <c r="J39" s="82">
        <f t="shared" si="15"/>
        <v>-564.21117370800039</v>
      </c>
      <c r="K39" s="82">
        <f t="shared" si="15"/>
        <v>-305.57719404669569</v>
      </c>
      <c r="L39" s="82">
        <f t="shared" si="15"/>
        <v>-974.66266236110459</v>
      </c>
      <c r="M39" s="27"/>
      <c r="N39" s="144" t="s">
        <v>99</v>
      </c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</row>
    <row r="40" spans="2:28" s="25" customFormat="1" x14ac:dyDescent="0.2">
      <c r="B40" s="120"/>
      <c r="G40" s="42"/>
      <c r="H40" s="42"/>
      <c r="I40" s="42"/>
      <c r="J40" s="42"/>
      <c r="K40" s="42"/>
      <c r="L40" s="42"/>
      <c r="M40" s="27"/>
      <c r="N40" s="144" t="s">
        <v>100</v>
      </c>
      <c r="O40" s="144"/>
      <c r="P40" s="144"/>
      <c r="Q40" s="144"/>
      <c r="R40" s="144"/>
      <c r="S40" s="144"/>
      <c r="T40" s="146">
        <v>3160</v>
      </c>
      <c r="U40" s="146"/>
      <c r="V40"/>
      <c r="W40" s="144"/>
      <c r="X40" s="144"/>
      <c r="Y40" s="144"/>
      <c r="Z40" s="152">
        <v>1514</v>
      </c>
      <c r="AA40" s="152"/>
      <c r="AB40"/>
    </row>
    <row r="41" spans="2:28" s="25" customFormat="1" x14ac:dyDescent="0.2">
      <c r="B41" s="120"/>
      <c r="C41" s="121"/>
      <c r="D41" s="121"/>
      <c r="F41" s="38" t="s">
        <v>64</v>
      </c>
      <c r="G41" s="31">
        <v>0</v>
      </c>
      <c r="H41" s="43">
        <v>1</v>
      </c>
      <c r="I41" s="43">
        <v>2</v>
      </c>
      <c r="J41" s="43">
        <v>3</v>
      </c>
      <c r="K41" s="43">
        <v>4</v>
      </c>
      <c r="L41" s="43">
        <v>5</v>
      </c>
      <c r="M41" s="27"/>
      <c r="N41" s="144" t="s">
        <v>101</v>
      </c>
      <c r="O41" s="144"/>
      <c r="P41" s="144"/>
      <c r="Q41" s="144"/>
      <c r="R41" s="144"/>
      <c r="S41" s="144"/>
      <c r="T41" s="148">
        <v>1978</v>
      </c>
      <c r="U41" s="148"/>
      <c r="V41"/>
      <c r="W41" s="144"/>
      <c r="X41" s="144"/>
      <c r="Y41" s="144"/>
      <c r="Z41" s="153">
        <v>2337</v>
      </c>
      <c r="AA41" s="153"/>
      <c r="AB41"/>
    </row>
    <row r="42" spans="2:28" s="25" customFormat="1" x14ac:dyDescent="0.2">
      <c r="B42" s="120"/>
      <c r="C42" s="122"/>
      <c r="D42" s="122"/>
      <c r="F42" s="35" t="s">
        <v>21</v>
      </c>
      <c r="G42" s="83">
        <f>G14*G21</f>
        <v>7213</v>
      </c>
      <c r="H42" s="83">
        <f t="shared" ref="H42:L42" si="16">H14*H21</f>
        <v>8841.8096000000005</v>
      </c>
      <c r="I42" s="83">
        <f t="shared" si="16"/>
        <v>8024.9624207999987</v>
      </c>
      <c r="J42" s="83">
        <f t="shared" si="16"/>
        <v>8091.837107639999</v>
      </c>
      <c r="K42" s="83">
        <f t="shared" si="16"/>
        <v>8359.161980814215</v>
      </c>
      <c r="L42" s="83">
        <f t="shared" si="16"/>
        <v>8767.9796877824465</v>
      </c>
      <c r="M42" s="27"/>
      <c r="N42" s="144" t="s">
        <v>102</v>
      </c>
      <c r="O42" s="144"/>
      <c r="P42" s="144"/>
      <c r="Q42" s="144"/>
      <c r="R42" s="144"/>
      <c r="S42" s="144"/>
      <c r="T42" s="148">
        <v>9545</v>
      </c>
      <c r="U42" s="148"/>
      <c r="V42"/>
      <c r="W42" s="144"/>
      <c r="X42" s="144"/>
      <c r="Y42" s="144"/>
      <c r="Z42" s="153">
        <v>9094</v>
      </c>
      <c r="AA42" s="153"/>
      <c r="AB42"/>
    </row>
    <row r="43" spans="2:28" s="25" customFormat="1" x14ac:dyDescent="0.2">
      <c r="B43" s="120"/>
      <c r="C43" s="122"/>
      <c r="D43" s="122"/>
      <c r="F43" s="29" t="s">
        <v>37</v>
      </c>
      <c r="G43" s="41"/>
      <c r="H43" s="82">
        <f>G42-H42</f>
        <v>-1628.8096000000005</v>
      </c>
      <c r="I43" s="82">
        <f t="shared" ref="I43:L43" si="17">H42-I42</f>
        <v>816.84717920000185</v>
      </c>
      <c r="J43" s="82">
        <f t="shared" si="17"/>
        <v>-66.874686840000322</v>
      </c>
      <c r="K43" s="82">
        <f t="shared" si="17"/>
        <v>-267.32487317421601</v>
      </c>
      <c r="L43" s="82">
        <f t="shared" si="17"/>
        <v>-408.81770696823151</v>
      </c>
      <c r="M43" s="27"/>
      <c r="N43" s="144" t="s">
        <v>103</v>
      </c>
      <c r="O43" s="144"/>
      <c r="P43" s="144"/>
      <c r="Q43" s="144"/>
      <c r="R43" s="144"/>
      <c r="S43" s="144"/>
      <c r="T43" s="148">
        <v>3545</v>
      </c>
      <c r="U43" s="148"/>
      <c r="V43"/>
      <c r="W43" s="144"/>
      <c r="X43" s="144"/>
      <c r="Y43" s="144"/>
      <c r="Z43" s="153">
        <v>3619</v>
      </c>
      <c r="AA43" s="153"/>
      <c r="AB43"/>
    </row>
    <row r="44" spans="2:28" s="25" customFormat="1" x14ac:dyDescent="0.2">
      <c r="B44" s="120"/>
      <c r="C44" s="122"/>
      <c r="D44" s="122"/>
      <c r="G44" s="42"/>
      <c r="H44" s="42"/>
      <c r="I44" s="42"/>
      <c r="J44" s="42"/>
      <c r="K44" s="42"/>
      <c r="L44" s="42"/>
      <c r="M44" s="27"/>
      <c r="N44" s="144" t="s">
        <v>104</v>
      </c>
      <c r="O44" s="144"/>
      <c r="P44" s="144"/>
      <c r="Q44" s="144"/>
      <c r="R44" s="144"/>
      <c r="S44" s="144"/>
      <c r="T44" s="148">
        <v>1150</v>
      </c>
      <c r="U44" s="148"/>
      <c r="V44"/>
      <c r="W44" s="144"/>
      <c r="X44" s="144"/>
      <c r="Y44" s="144"/>
      <c r="Z44" s="153">
        <v>531</v>
      </c>
      <c r="AA44" s="153"/>
      <c r="AB44"/>
    </row>
    <row r="45" spans="2:28" s="25" customFormat="1" x14ac:dyDescent="0.2">
      <c r="B45" s="120"/>
      <c r="C45" s="122"/>
      <c r="D45" s="122"/>
      <c r="F45" s="38" t="s">
        <v>65</v>
      </c>
      <c r="G45" s="31">
        <v>0</v>
      </c>
      <c r="H45" s="43">
        <v>1</v>
      </c>
      <c r="I45" s="43">
        <v>2</v>
      </c>
      <c r="J45" s="43">
        <v>3</v>
      </c>
      <c r="K45" s="43">
        <v>4</v>
      </c>
      <c r="L45" s="43">
        <v>5</v>
      </c>
      <c r="M45" s="27"/>
      <c r="N45" s="145" t="s">
        <v>82</v>
      </c>
      <c r="O45" s="145"/>
      <c r="P45" s="145"/>
      <c r="Q45" s="144"/>
      <c r="R45" s="144"/>
      <c r="S45" s="144"/>
      <c r="T45" s="148">
        <v>19378</v>
      </c>
      <c r="U45" s="148"/>
      <c r="V45"/>
      <c r="W45" s="144"/>
      <c r="X45" s="144"/>
      <c r="Y45" s="144"/>
      <c r="Z45" s="153">
        <v>17095</v>
      </c>
      <c r="AA45" s="153"/>
      <c r="AB45"/>
    </row>
    <row r="46" spans="2:28" s="32" customFormat="1" x14ac:dyDescent="0.2">
      <c r="B46" s="120"/>
      <c r="C46" s="122"/>
      <c r="D46" s="122"/>
      <c r="F46" s="25" t="s">
        <v>9</v>
      </c>
      <c r="G46" s="42"/>
      <c r="H46" s="81">
        <f>H35+H39+H43</f>
        <v>5327.6574956281838</v>
      </c>
      <c r="I46" s="81">
        <f t="shared" ref="I46:L46" si="18">I35+I39+I43</f>
        <v>9804.4568555844453</v>
      </c>
      <c r="J46" s="81">
        <f t="shared" si="18"/>
        <v>9295.935771145425</v>
      </c>
      <c r="K46" s="81">
        <f t="shared" si="18"/>
        <v>10702.101934013284</v>
      </c>
      <c r="L46" s="81">
        <f t="shared" si="18"/>
        <v>8994.3089022056829</v>
      </c>
      <c r="M46" s="27"/>
      <c r="N46" s="144" t="s">
        <v>105</v>
      </c>
      <c r="O46" s="144"/>
      <c r="P46" s="144"/>
      <c r="Q46" s="144"/>
      <c r="R46" s="144"/>
      <c r="S46" s="144"/>
      <c r="T46" s="148">
        <v>7213</v>
      </c>
      <c r="U46" s="148"/>
      <c r="V46"/>
      <c r="W46" s="144"/>
      <c r="X46" s="144"/>
      <c r="Y46" s="144"/>
      <c r="Z46" s="153">
        <v>6591</v>
      </c>
      <c r="AA46" s="153"/>
      <c r="AB46"/>
    </row>
    <row r="47" spans="2:28" s="25" customFormat="1" x14ac:dyDescent="0.2">
      <c r="F47" s="33" t="s">
        <v>10</v>
      </c>
      <c r="G47" s="40"/>
      <c r="H47" s="40"/>
      <c r="I47" s="40"/>
      <c r="J47" s="40"/>
      <c r="K47" s="40"/>
      <c r="L47" s="84">
        <f>L46*(1+L17)/(G17-L17)</f>
        <v>237966.52926637299</v>
      </c>
      <c r="M47" s="27"/>
      <c r="N47" s="144" t="s">
        <v>83</v>
      </c>
      <c r="O47" s="144"/>
      <c r="P47" s="144"/>
      <c r="Q47" s="144"/>
      <c r="R47" s="144"/>
      <c r="S47" s="144"/>
      <c r="T47" s="148">
        <v>10806</v>
      </c>
      <c r="U47" s="148"/>
      <c r="V47"/>
      <c r="W47" s="144"/>
      <c r="X47" s="144"/>
      <c r="Y47" s="144"/>
      <c r="Z47" s="153">
        <v>10604</v>
      </c>
      <c r="AA47" s="153"/>
      <c r="AB47"/>
    </row>
    <row r="48" spans="2:28" s="25" customFormat="1" x14ac:dyDescent="0.2">
      <c r="B48" s="120"/>
      <c r="F48" s="8" t="s">
        <v>11</v>
      </c>
      <c r="G48" s="39"/>
      <c r="H48" s="80">
        <f>H46+H47</f>
        <v>5327.6574956281838</v>
      </c>
      <c r="I48" s="80">
        <f t="shared" ref="I48:L48" si="19">I46+I47</f>
        <v>9804.4568555844453</v>
      </c>
      <c r="J48" s="80">
        <f t="shared" si="19"/>
        <v>9295.935771145425</v>
      </c>
      <c r="K48" s="80">
        <f t="shared" si="19"/>
        <v>10702.101934013284</v>
      </c>
      <c r="L48" s="80">
        <f t="shared" si="19"/>
        <v>246960.83816857869</v>
      </c>
      <c r="M48" s="27"/>
      <c r="N48" s="144" t="s">
        <v>106</v>
      </c>
      <c r="O48" s="144"/>
      <c r="P48" s="144"/>
      <c r="Q48" s="144"/>
      <c r="R48" s="144"/>
      <c r="S48" s="144"/>
      <c r="T48" s="148">
        <v>3012</v>
      </c>
      <c r="U48" s="148"/>
      <c r="V48"/>
      <c r="W48" s="144"/>
      <c r="X48" s="144"/>
      <c r="Y48" s="144"/>
      <c r="Z48" s="153">
        <v>3213</v>
      </c>
      <c r="AA48" s="153"/>
      <c r="AB48"/>
    </row>
    <row r="49" spans="2:28" s="25" customFormat="1" x14ac:dyDescent="0.2">
      <c r="B49" s="120"/>
      <c r="C49" s="122"/>
      <c r="D49" s="122"/>
      <c r="G49" s="36"/>
      <c r="M49" s="27"/>
      <c r="N49" s="144" t="s">
        <v>107</v>
      </c>
      <c r="O49" s="144"/>
      <c r="P49" s="144"/>
      <c r="Q49" s="144"/>
      <c r="R49" s="144"/>
      <c r="S49" s="144"/>
      <c r="T49" s="148">
        <v>3475</v>
      </c>
      <c r="U49" s="148"/>
      <c r="V49"/>
      <c r="W49" s="144"/>
      <c r="X49" s="144"/>
      <c r="Y49" s="144"/>
      <c r="Z49" s="153">
        <v>3319</v>
      </c>
      <c r="AA49" s="153"/>
      <c r="AB49"/>
    </row>
    <row r="50" spans="2:28" s="32" customFormat="1" ht="17" thickBot="1" x14ac:dyDescent="0.25">
      <c r="B50" s="120"/>
      <c r="C50" s="122"/>
      <c r="D50" s="122"/>
      <c r="F50" s="38" t="s">
        <v>66</v>
      </c>
      <c r="G50" s="30" t="s">
        <v>29</v>
      </c>
      <c r="I50" s="38" t="s">
        <v>67</v>
      </c>
      <c r="J50" s="31"/>
      <c r="K50" s="97"/>
      <c r="L50" s="65" t="s">
        <v>31</v>
      </c>
      <c r="M50" s="27"/>
      <c r="N50" s="144" t="s">
        <v>108</v>
      </c>
      <c r="O50" s="144"/>
      <c r="P50" s="144"/>
      <c r="Q50" s="144"/>
      <c r="R50" s="144"/>
      <c r="S50" s="144"/>
      <c r="T50" s="148">
        <v>6826</v>
      </c>
      <c r="U50" s="148"/>
      <c r="V50"/>
      <c r="W50" s="144"/>
      <c r="X50" s="144"/>
      <c r="Y50" s="144"/>
      <c r="Z50" s="153">
        <v>6706</v>
      </c>
      <c r="AA50" s="153"/>
      <c r="AB50"/>
    </row>
    <row r="51" spans="2:28" s="25" customFormat="1" x14ac:dyDescent="0.2">
      <c r="B51" s="120"/>
      <c r="C51" s="122"/>
      <c r="D51" s="122"/>
      <c r="F51" s="25" t="s">
        <v>33</v>
      </c>
      <c r="G51" s="85">
        <f>NPV(G17,H48:L48)</f>
        <v>185355.42892810924</v>
      </c>
      <c r="H51" s="27"/>
      <c r="I51" s="37" t="s">
        <v>70</v>
      </c>
      <c r="K51" s="27"/>
      <c r="L51" s="88">
        <f>G53/G54</f>
        <v>620.07961954635687</v>
      </c>
      <c r="M51" s="27"/>
      <c r="N51" s="145" t="s">
        <v>109</v>
      </c>
      <c r="O51" s="145"/>
      <c r="P51" s="145"/>
      <c r="Q51" s="144"/>
      <c r="R51" s="144"/>
      <c r="S51" s="144"/>
      <c r="T51" s="146">
        <v>50710</v>
      </c>
      <c r="U51" s="146"/>
      <c r="V51"/>
      <c r="W51" s="144"/>
      <c r="X51" s="144"/>
      <c r="Y51" s="144"/>
      <c r="Z51" s="152">
        <v>47528</v>
      </c>
      <c r="AA51" s="152"/>
      <c r="AB51"/>
    </row>
    <row r="52" spans="2:28" s="25" customFormat="1" x14ac:dyDescent="0.2">
      <c r="B52" s="120"/>
      <c r="C52" s="122"/>
      <c r="D52" s="122"/>
      <c r="F52" s="33" t="s">
        <v>12</v>
      </c>
      <c r="G52" s="86">
        <f>WACC!L19</f>
        <v>11669</v>
      </c>
      <c r="H52" s="27"/>
      <c r="I52" s="38" t="s">
        <v>57</v>
      </c>
      <c r="J52" s="33"/>
      <c r="K52" s="97"/>
      <c r="L52" s="98">
        <f>WACC!L15</f>
        <v>344.42</v>
      </c>
      <c r="M52" s="27"/>
      <c r="N52" s="145" t="s">
        <v>110</v>
      </c>
      <c r="O52" s="145"/>
      <c r="P52" s="145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</row>
    <row r="53" spans="2:28" s="25" customFormat="1" x14ac:dyDescent="0.2">
      <c r="F53" s="29" t="s">
        <v>34</v>
      </c>
      <c r="G53" s="87">
        <f>G51-G52</f>
        <v>173686.42892810924</v>
      </c>
      <c r="H53" s="27"/>
      <c r="I53" s="37" t="s">
        <v>30</v>
      </c>
      <c r="K53" s="27"/>
      <c r="L53" s="89">
        <f>L51-L52</f>
        <v>275.65961954635685</v>
      </c>
      <c r="M53" s="27"/>
      <c r="N53" s="144" t="s">
        <v>111</v>
      </c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</row>
    <row r="54" spans="2:28" s="32" customFormat="1" ht="17" thickBot="1" x14ac:dyDescent="0.25">
      <c r="B54" s="120"/>
      <c r="C54" s="25"/>
      <c r="D54" s="25"/>
      <c r="F54" s="4" t="s">
        <v>145</v>
      </c>
      <c r="G54" s="125">
        <f>WACC!L16</f>
        <v>280.103431</v>
      </c>
      <c r="H54" s="27"/>
      <c r="I54" s="37" t="s">
        <v>32</v>
      </c>
      <c r="K54" s="27"/>
      <c r="L54" s="90">
        <f>L53/L52</f>
        <v>0.80035892092897287</v>
      </c>
      <c r="M54" s="27"/>
      <c r="N54" s="144" t="s">
        <v>112</v>
      </c>
      <c r="O54" s="144"/>
      <c r="P54" s="144"/>
      <c r="Q54" s="144"/>
      <c r="R54" s="144"/>
      <c r="S54" s="144"/>
      <c r="T54" s="146">
        <v>880</v>
      </c>
      <c r="U54" s="146"/>
      <c r="V54"/>
      <c r="W54" s="144"/>
      <c r="X54" s="144"/>
      <c r="Y54" s="144"/>
      <c r="Z54" s="152">
        <v>1281</v>
      </c>
      <c r="AA54" s="152"/>
      <c r="AB54"/>
    </row>
    <row r="55" spans="2:28" s="25" customFormat="1" x14ac:dyDescent="0.2">
      <c r="B55" s="120"/>
      <c r="F55" s="28"/>
      <c r="G55" s="46"/>
      <c r="H55" s="27"/>
      <c r="M55" s="27"/>
      <c r="N55" s="144" t="s">
        <v>113</v>
      </c>
      <c r="O55" s="144"/>
      <c r="P55" s="144"/>
      <c r="Q55" s="144"/>
      <c r="R55" s="144"/>
      <c r="S55" s="144"/>
      <c r="T55" s="148">
        <v>7545</v>
      </c>
      <c r="U55" s="148"/>
      <c r="V55"/>
      <c r="W55" s="144"/>
      <c r="X55" s="144"/>
      <c r="Y55" s="144"/>
      <c r="Z55" s="153">
        <v>7054</v>
      </c>
      <c r="AA55" s="153"/>
      <c r="AB55"/>
    </row>
    <row r="56" spans="2:28" s="25" customFormat="1" x14ac:dyDescent="0.2">
      <c r="B56" s="120"/>
      <c r="F56" s="38" t="s">
        <v>68</v>
      </c>
      <c r="G56" s="30" t="s">
        <v>31</v>
      </c>
      <c r="H56" s="47" t="s">
        <v>35</v>
      </c>
      <c r="I56" s="47" t="s">
        <v>36</v>
      </c>
      <c r="J56" s="1"/>
      <c r="K56" s="1"/>
      <c r="L56" s="1"/>
      <c r="M56" s="27"/>
      <c r="N56" s="144" t="s">
        <v>114</v>
      </c>
      <c r="O56" s="144"/>
      <c r="P56" s="144"/>
      <c r="Q56" s="144"/>
      <c r="R56" s="144"/>
      <c r="S56" s="144"/>
      <c r="T56" s="148">
        <v>3163</v>
      </c>
      <c r="U56" s="148"/>
      <c r="V56"/>
      <c r="W56" s="144"/>
      <c r="X56" s="144"/>
      <c r="Y56" s="144"/>
      <c r="Z56" s="153">
        <v>2466</v>
      </c>
      <c r="AA56" s="153"/>
      <c r="AB56"/>
    </row>
    <row r="57" spans="2:28" s="25" customFormat="1" x14ac:dyDescent="0.2">
      <c r="B57" s="120"/>
      <c r="C57" s="122"/>
      <c r="D57" s="122"/>
      <c r="F57" s="29" t="s">
        <v>71</v>
      </c>
      <c r="G57" s="135">
        <f>I57*(H32/G54)</f>
        <v>2739.6360367557177</v>
      </c>
      <c r="H57" s="91">
        <f>L52/(H32/G54)</f>
        <v>15.384041834224876</v>
      </c>
      <c r="I57" s="92">
        <v>122.37</v>
      </c>
      <c r="J57" s="5"/>
      <c r="K57" s="1">
        <f>434/L52</f>
        <v>1.2600894257011788</v>
      </c>
      <c r="L57" s="1"/>
      <c r="M57" s="27"/>
      <c r="N57" s="144" t="s">
        <v>115</v>
      </c>
      <c r="O57" s="144"/>
      <c r="P57" s="144"/>
      <c r="Q57" s="144"/>
      <c r="R57" s="144"/>
      <c r="S57" s="144"/>
      <c r="T57" s="148">
        <v>500</v>
      </c>
      <c r="U57" s="148"/>
      <c r="V57"/>
      <c r="W57" s="144"/>
      <c r="X57" s="144"/>
      <c r="Y57" s="144"/>
      <c r="Z57" s="153">
        <v>1250</v>
      </c>
      <c r="AA57" s="153"/>
      <c r="AB57"/>
    </row>
    <row r="58" spans="2:28" s="25" customFormat="1" x14ac:dyDescent="0.2">
      <c r="B58" s="120"/>
      <c r="C58" s="122"/>
      <c r="D58" s="122"/>
      <c r="F58" s="8" t="s">
        <v>72</v>
      </c>
      <c r="G58" s="93">
        <f>((I58*(H26+H34))-G52)/G54</f>
        <v>319.37726045488688</v>
      </c>
      <c r="H58" s="94">
        <f>G51/(H26+H34)</f>
        <v>22.26955828041466</v>
      </c>
      <c r="I58" s="69">
        <v>12.15</v>
      </c>
      <c r="J58" s="27"/>
      <c r="K58" s="1"/>
      <c r="L58" s="1"/>
      <c r="M58" s="27"/>
      <c r="N58" s="144" t="s">
        <v>116</v>
      </c>
      <c r="O58" s="144"/>
      <c r="P58" s="144"/>
      <c r="Q58" s="144"/>
      <c r="R58" s="144"/>
      <c r="S58" s="144"/>
      <c r="T58" s="148">
        <v>1845</v>
      </c>
      <c r="U58" s="148"/>
      <c r="V58"/>
      <c r="W58" s="144"/>
      <c r="X58" s="144"/>
      <c r="Y58" s="144"/>
      <c r="Z58" s="153">
        <v>1921</v>
      </c>
      <c r="AA58" s="153"/>
      <c r="AB58"/>
    </row>
    <row r="59" spans="2:28" s="32" customFormat="1" x14ac:dyDescent="0.2">
      <c r="B59" s="120"/>
      <c r="C59" s="122"/>
      <c r="D59" s="122"/>
      <c r="F59" s="8" t="s">
        <v>159</v>
      </c>
      <c r="G59" s="93">
        <f>I59*H21/G54</f>
        <v>364.22574202598753</v>
      </c>
      <c r="H59" s="94">
        <f>G51/H21</f>
        <v>2.7252572551046792</v>
      </c>
      <c r="I59" s="69">
        <v>1.5</v>
      </c>
      <c r="J59" s="1"/>
      <c r="K59" s="1"/>
      <c r="L59" s="1"/>
      <c r="M59" s="27"/>
      <c r="N59" s="145" t="s">
        <v>84</v>
      </c>
      <c r="O59" s="145"/>
      <c r="P59" s="145"/>
      <c r="Q59" s="144"/>
      <c r="R59" s="144"/>
      <c r="S59" s="144"/>
      <c r="T59" s="148">
        <v>13933</v>
      </c>
      <c r="U59" s="148"/>
      <c r="V59"/>
      <c r="W59" s="144"/>
      <c r="X59" s="144"/>
      <c r="Y59" s="144"/>
      <c r="Z59" s="153">
        <v>13972</v>
      </c>
      <c r="AA59" s="153"/>
      <c r="AB59"/>
    </row>
    <row r="60" spans="2:28" s="25" customFormat="1" x14ac:dyDescent="0.2">
      <c r="B60" s="120"/>
      <c r="C60" s="122"/>
      <c r="D60" s="122"/>
      <c r="F60" s="8" t="s">
        <v>160</v>
      </c>
      <c r="G60" s="93">
        <f>I60*H48/G54</f>
        <v>443.36370954018395</v>
      </c>
      <c r="H60" s="133">
        <f>(L52*G54)/H48</f>
        <v>18.108000333014061</v>
      </c>
      <c r="I60" s="69">
        <v>23.31</v>
      </c>
      <c r="J60" s="1"/>
      <c r="K60" s="1"/>
      <c r="L60" s="1"/>
      <c r="M60" s="27"/>
      <c r="N60" s="144" t="s">
        <v>117</v>
      </c>
      <c r="O60" s="144"/>
      <c r="P60" s="144"/>
      <c r="Q60" s="144"/>
      <c r="R60" s="144"/>
      <c r="S60" s="144"/>
      <c r="T60" s="148">
        <v>11669</v>
      </c>
      <c r="U60" s="148"/>
      <c r="V60"/>
      <c r="W60" s="144"/>
      <c r="X60" s="144"/>
      <c r="Y60" s="144"/>
      <c r="Z60" s="153">
        <v>11404</v>
      </c>
      <c r="AA60" s="153"/>
      <c r="AB60"/>
    </row>
    <row r="61" spans="2:28" s="25" customFormat="1" x14ac:dyDescent="0.2">
      <c r="B61" s="120"/>
      <c r="C61" s="121"/>
      <c r="D61" s="121"/>
      <c r="F61" s="8"/>
      <c r="G61" s="138"/>
      <c r="J61" s="1"/>
      <c r="K61" s="1"/>
      <c r="L61" s="1"/>
      <c r="M61" s="27"/>
      <c r="N61" s="144" t="s">
        <v>118</v>
      </c>
      <c r="O61" s="144"/>
      <c r="P61" s="144"/>
      <c r="Q61" s="144"/>
      <c r="R61" s="144"/>
      <c r="S61" s="144"/>
      <c r="T61" s="148">
        <v>12874</v>
      </c>
      <c r="U61" s="148"/>
      <c r="V61"/>
      <c r="W61" s="144"/>
      <c r="X61" s="144"/>
      <c r="Y61" s="144"/>
      <c r="Z61" s="153">
        <v>13234</v>
      </c>
      <c r="AA61" s="153"/>
      <c r="AB61"/>
    </row>
    <row r="62" spans="2:28" s="25" customFormat="1" x14ac:dyDescent="0.2">
      <c r="B62" s="120"/>
      <c r="C62" s="121"/>
      <c r="D62" s="121"/>
      <c r="F62" s="1"/>
      <c r="G62" s="1"/>
      <c r="H62" s="1"/>
      <c r="I62" s="1"/>
      <c r="K62" s="1"/>
      <c r="L62" s="1"/>
      <c r="M62" s="27"/>
      <c r="N62" s="144" t="s">
        <v>119</v>
      </c>
      <c r="O62" s="144"/>
      <c r="P62" s="144"/>
      <c r="Q62" s="144"/>
      <c r="R62" s="144"/>
      <c r="S62" s="144"/>
      <c r="T62" s="148">
        <v>6196</v>
      </c>
      <c r="U62" s="148"/>
      <c r="V62"/>
      <c r="W62" s="144"/>
      <c r="X62" s="144"/>
      <c r="Y62" s="144"/>
      <c r="Z62" s="153">
        <v>5747</v>
      </c>
      <c r="AA62" s="153"/>
      <c r="AB62"/>
    </row>
    <row r="63" spans="2:28" s="25" customFormat="1" x14ac:dyDescent="0.2">
      <c r="B63" s="1"/>
      <c r="C63" s="1"/>
      <c r="D63" s="1"/>
      <c r="F63" s="38" t="s">
        <v>69</v>
      </c>
      <c r="G63" s="30" t="s">
        <v>29</v>
      </c>
      <c r="H63" s="38" t="s">
        <v>157</v>
      </c>
      <c r="I63" s="32"/>
      <c r="K63" s="139"/>
      <c r="L63" s="32"/>
      <c r="M63" s="27"/>
      <c r="N63" s="145" t="s">
        <v>120</v>
      </c>
      <c r="O63" s="145"/>
      <c r="P63" s="145"/>
      <c r="Q63" s="144"/>
      <c r="R63" s="144"/>
      <c r="S63" s="144"/>
      <c r="T63" s="148">
        <v>44672</v>
      </c>
      <c r="U63" s="148"/>
      <c r="V63"/>
      <c r="W63" s="144"/>
      <c r="X63" s="144"/>
      <c r="Y63" s="144"/>
      <c r="Z63" s="153">
        <v>44357</v>
      </c>
      <c r="AA63" s="153"/>
      <c r="AB63"/>
    </row>
    <row r="64" spans="2:28" s="25" customFormat="1" x14ac:dyDescent="0.2">
      <c r="B64" s="1"/>
      <c r="C64" s="1"/>
      <c r="D64" s="1"/>
      <c r="F64" s="25" t="s">
        <v>73</v>
      </c>
      <c r="G64" s="81">
        <f>(G28*(1-G16)+G32)-(G17*(T60+T62+T61+T69))</f>
        <v>3878.1709846246599</v>
      </c>
      <c r="H64" s="73">
        <v>2913.23</v>
      </c>
      <c r="I64" s="5"/>
      <c r="M64" s="27"/>
      <c r="N64" s="144" t="s">
        <v>121</v>
      </c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</row>
    <row r="65" spans="2:34" s="32" customFormat="1" x14ac:dyDescent="0.2">
      <c r="B65" s="1"/>
      <c r="C65" s="1"/>
      <c r="D65" s="1"/>
      <c r="F65" s="25" t="s">
        <v>74</v>
      </c>
      <c r="G65" s="95">
        <f>G32/T51</f>
        <v>0.13474659830408203</v>
      </c>
      <c r="H65" s="72">
        <v>6.1699999999999998E-2</v>
      </c>
      <c r="I65" s="5"/>
      <c r="J65" s="25"/>
      <c r="K65" s="25"/>
      <c r="L65" s="25"/>
      <c r="M65" s="27"/>
      <c r="N65" s="144" t="s">
        <v>122</v>
      </c>
      <c r="O65" s="144"/>
      <c r="P65" s="144"/>
      <c r="Q65" s="144"/>
      <c r="R65" s="144"/>
      <c r="S65" s="144"/>
      <c r="T65" s="148">
        <v>279</v>
      </c>
      <c r="U65" s="148"/>
      <c r="V65"/>
      <c r="W65" s="144"/>
      <c r="X65" s="144"/>
      <c r="Y65" s="144"/>
      <c r="Z65" s="153">
        <v>280</v>
      </c>
      <c r="AA65" s="153"/>
      <c r="AB65"/>
    </row>
    <row r="66" spans="2:34" s="25" customFormat="1" x14ac:dyDescent="0.2">
      <c r="B66" s="1"/>
      <c r="C66" s="1"/>
      <c r="D66" s="1"/>
      <c r="F66" s="25" t="s">
        <v>75</v>
      </c>
      <c r="G66" s="95">
        <f>G32/(T60+T61+T62+T69)</f>
        <v>0.18591173749795942</v>
      </c>
      <c r="H66" s="72">
        <v>0.19109999999999999</v>
      </c>
      <c r="I66" s="5"/>
      <c r="M66" s="27"/>
      <c r="N66" s="144" t="s">
        <v>123</v>
      </c>
      <c r="O66" s="144"/>
      <c r="P66" s="144"/>
      <c r="Q66" s="144"/>
      <c r="R66" s="144"/>
      <c r="S66" s="144"/>
      <c r="T66" s="148">
        <v>221</v>
      </c>
      <c r="U66" s="148"/>
      <c r="V66"/>
      <c r="W66" s="144"/>
      <c r="X66" s="144"/>
      <c r="Y66" s="144"/>
      <c r="Z66" s="144" t="s">
        <v>124</v>
      </c>
      <c r="AA66" s="144"/>
      <c r="AB66"/>
    </row>
    <row r="67" spans="2:34" s="25" customFormat="1" x14ac:dyDescent="0.2">
      <c r="B67" s="1"/>
      <c r="C67" s="1"/>
      <c r="D67" s="1"/>
      <c r="F67" s="25" t="s">
        <v>76</v>
      </c>
      <c r="G67" s="136">
        <f>G32/T71</f>
        <v>1.131666114607486</v>
      </c>
      <c r="H67" s="72">
        <v>8.5400000000000004E-2</v>
      </c>
      <c r="I67" s="5"/>
      <c r="J67" s="1"/>
      <c r="K67" s="1"/>
      <c r="L67" s="1"/>
      <c r="M67" s="27"/>
      <c r="N67" s="144" t="s">
        <v>125</v>
      </c>
      <c r="O67" s="144"/>
      <c r="P67" s="144"/>
      <c r="Q67" s="144"/>
      <c r="R67" s="144"/>
      <c r="S67" s="144"/>
      <c r="T67" s="148">
        <v>21636</v>
      </c>
      <c r="U67" s="148"/>
      <c r="V67"/>
      <c r="W67" s="144"/>
      <c r="X67" s="144"/>
      <c r="Y67" s="144"/>
      <c r="Z67" s="153">
        <v>18401</v>
      </c>
      <c r="AA67" s="153"/>
      <c r="AB67"/>
    </row>
    <row r="68" spans="2:34" s="25" customFormat="1" x14ac:dyDescent="0.2">
      <c r="B68" s="1"/>
      <c r="C68" s="1"/>
      <c r="D68" s="1"/>
      <c r="F68" s="25" t="s">
        <v>77</v>
      </c>
      <c r="G68" s="130">
        <f>G26/G28</f>
        <v>14.626057529610829</v>
      </c>
      <c r="H68" s="137">
        <v>8.9</v>
      </c>
      <c r="I68" s="27"/>
      <c r="J68" s="1"/>
      <c r="K68" s="1"/>
      <c r="L68" s="1"/>
      <c r="M68" s="27"/>
      <c r="N68" s="144" t="s">
        <v>126</v>
      </c>
      <c r="O68" s="144"/>
      <c r="P68" s="144"/>
      <c r="Q68" s="144"/>
      <c r="R68" s="144"/>
      <c r="S68" s="144"/>
      <c r="T68" s="147">
        <v>-16121</v>
      </c>
      <c r="U68" s="147"/>
      <c r="V68"/>
      <c r="W68" s="144"/>
      <c r="X68" s="144"/>
      <c r="Y68" s="144"/>
      <c r="Z68" s="154">
        <v>-15554</v>
      </c>
      <c r="AA68" s="154"/>
      <c r="AB68"/>
    </row>
    <row r="69" spans="2:34" s="25" customFormat="1" x14ac:dyDescent="0.2">
      <c r="B69" s="1"/>
      <c r="C69" s="1"/>
      <c r="D69" s="1"/>
      <c r="F69" s="127" t="s">
        <v>153</v>
      </c>
      <c r="G69" s="95">
        <f>T69/T51</f>
        <v>0.11861565766121081</v>
      </c>
      <c r="H69" s="131">
        <v>0.19800000000000001</v>
      </c>
      <c r="I69" s="1"/>
      <c r="J69" s="1"/>
      <c r="K69" s="1"/>
      <c r="L69" s="1"/>
      <c r="M69" s="27"/>
      <c r="N69" s="145" t="s">
        <v>127</v>
      </c>
      <c r="O69" s="145"/>
      <c r="P69" s="145"/>
      <c r="Q69" s="144"/>
      <c r="R69" s="144"/>
      <c r="S69" s="144"/>
      <c r="T69" s="148">
        <v>6015</v>
      </c>
      <c r="U69" s="148"/>
      <c r="V69"/>
      <c r="W69" s="144"/>
      <c r="X69" s="144"/>
      <c r="Y69" s="144"/>
      <c r="Z69" s="153">
        <v>3127</v>
      </c>
      <c r="AA69" s="153"/>
      <c r="AB69"/>
    </row>
    <row r="70" spans="2:34" s="25" customFormat="1" x14ac:dyDescent="0.2">
      <c r="B70" s="1"/>
      <c r="C70" s="1"/>
      <c r="D70" s="1"/>
      <c r="F70" s="128" t="s">
        <v>154</v>
      </c>
      <c r="G70" s="95">
        <f>T63/T51</f>
        <v>0.88093078288306059</v>
      </c>
      <c r="H70" s="131">
        <v>0.33600000000000002</v>
      </c>
      <c r="I70" s="1"/>
      <c r="J70" s="1"/>
      <c r="K70" s="1"/>
      <c r="L70" s="1"/>
      <c r="M70" s="27"/>
      <c r="N70" s="144" t="s">
        <v>128</v>
      </c>
      <c r="O70" s="144"/>
      <c r="P70" s="144"/>
      <c r="Q70" s="144"/>
      <c r="R70" s="144"/>
      <c r="S70" s="144"/>
      <c r="T70" s="148">
        <v>23</v>
      </c>
      <c r="U70" s="148"/>
      <c r="V70"/>
      <c r="W70" s="144"/>
      <c r="X70" s="144"/>
      <c r="Y70" s="144"/>
      <c r="Z70" s="153">
        <v>44</v>
      </c>
      <c r="AA70" s="153"/>
      <c r="AB70"/>
    </row>
    <row r="71" spans="2:34" x14ac:dyDescent="0.2">
      <c r="F71" s="129" t="s">
        <v>155</v>
      </c>
      <c r="G71" s="133">
        <f>T45/T59</f>
        <v>1.3907988229383479</v>
      </c>
      <c r="H71" s="134">
        <v>1.38</v>
      </c>
      <c r="N71" s="145" t="s">
        <v>129</v>
      </c>
      <c r="O71" s="145"/>
      <c r="P71" s="145"/>
      <c r="Q71" s="144"/>
      <c r="R71" s="144"/>
      <c r="S71" s="144"/>
      <c r="T71" s="148">
        <v>6038</v>
      </c>
      <c r="U71" s="148"/>
      <c r="V71"/>
      <c r="W71" s="144"/>
      <c r="X71" s="144"/>
      <c r="Y71" s="144"/>
      <c r="Z71" s="153">
        <v>3171</v>
      </c>
      <c r="AA71" s="153"/>
      <c r="AB71"/>
    </row>
    <row r="72" spans="2:34" x14ac:dyDescent="0.2">
      <c r="F72" s="129" t="s">
        <v>156</v>
      </c>
      <c r="G72" s="95">
        <f>T103/T87</f>
        <v>0.10448331753264625</v>
      </c>
      <c r="H72" s="131">
        <v>8.3000000000000004E-2</v>
      </c>
      <c r="N72" s="145" t="s">
        <v>130</v>
      </c>
      <c r="O72" s="145"/>
      <c r="P72" s="145"/>
      <c r="Q72" s="144"/>
      <c r="R72" s="144"/>
      <c r="S72" s="144"/>
      <c r="T72" s="146">
        <v>50710</v>
      </c>
      <c r="U72" s="146"/>
      <c r="V72"/>
      <c r="W72" s="144"/>
      <c r="X72" s="144"/>
      <c r="Y72" s="144"/>
      <c r="Z72" s="152">
        <v>47528</v>
      </c>
      <c r="AA72" s="152"/>
      <c r="AB72"/>
    </row>
    <row r="73" spans="2:34" x14ac:dyDescent="0.2">
      <c r="F73" s="129" t="s">
        <v>158</v>
      </c>
      <c r="G73" s="91">
        <f>T87/T51</f>
        <v>1.289647012423585</v>
      </c>
      <c r="H73" s="132">
        <v>0.98</v>
      </c>
    </row>
    <row r="77" spans="2:34" s="32" customFormat="1" x14ac:dyDescent="0.2">
      <c r="B77" s="1"/>
      <c r="C77" s="1"/>
      <c r="D77" s="1"/>
      <c r="F77" s="1"/>
      <c r="G77" s="1"/>
      <c r="H77" s="1"/>
      <c r="I77" s="1"/>
      <c r="J77" s="1"/>
      <c r="K77" s="1"/>
      <c r="L77" s="1"/>
    </row>
    <row r="78" spans="2:34" s="25" customFormat="1" x14ac:dyDescent="0.2">
      <c r="B78" s="1"/>
      <c r="C78" s="1"/>
      <c r="D78" s="1"/>
      <c r="F78" s="1"/>
      <c r="G78" s="1"/>
      <c r="H78" s="1"/>
      <c r="I78" s="1"/>
      <c r="J78" s="1"/>
      <c r="K78" s="1"/>
      <c r="L78" s="1"/>
    </row>
    <row r="79" spans="2:34" s="25" customFormat="1" x14ac:dyDescent="0.2">
      <c r="B79" s="1"/>
      <c r="C79" s="1"/>
      <c r="D79" s="1"/>
      <c r="F79" s="1"/>
      <c r="G79" s="1"/>
      <c r="H79" s="1"/>
      <c r="I79" s="1"/>
      <c r="J79" s="1"/>
      <c r="K79" s="1"/>
      <c r="L79" s="1"/>
      <c r="N79" s="145" t="s">
        <v>131</v>
      </c>
      <c r="O79" s="145"/>
      <c r="P79" s="145"/>
      <c r="Q79" s="145"/>
      <c r="R79" s="145"/>
      <c r="S79" s="145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2:34" s="25" customFormat="1" x14ac:dyDescent="0.2">
      <c r="B80" s="1"/>
      <c r="C80" s="1"/>
      <c r="D80" s="1"/>
      <c r="F80" s="1"/>
      <c r="G80" s="1"/>
      <c r="H80" s="1"/>
      <c r="I80" s="1"/>
      <c r="J80" s="1"/>
      <c r="K80" s="1"/>
      <c r="L80" s="1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2:34" s="25" customFormat="1" x14ac:dyDescent="0.2">
      <c r="B81" s="1"/>
      <c r="C81" s="1"/>
      <c r="D81" s="1"/>
      <c r="F81" s="1"/>
      <c r="G81" s="1"/>
      <c r="H81" s="1"/>
      <c r="I81" s="1"/>
      <c r="J81" s="1"/>
      <c r="K81" s="1"/>
      <c r="L81" s="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2:34" s="25" customFormat="1" x14ac:dyDescent="0.2">
      <c r="B82" s="1"/>
      <c r="C82" s="1"/>
      <c r="D82" s="1"/>
      <c r="F82" s="1"/>
      <c r="G82" s="1"/>
      <c r="H82" s="1"/>
      <c r="I82" s="1"/>
      <c r="J82" s="1"/>
      <c r="K82" s="1"/>
      <c r="L82" s="1"/>
      <c r="N82" s="144"/>
      <c r="O82" s="144"/>
      <c r="P82" s="144"/>
      <c r="Q82" s="144"/>
      <c r="R82" s="144"/>
      <c r="S82" s="144"/>
      <c r="T82" s="145" t="s">
        <v>132</v>
      </c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</row>
    <row r="83" spans="2:34" x14ac:dyDescent="0.2">
      <c r="M83" s="1"/>
      <c r="N83" s="144"/>
      <c r="O83" s="144"/>
      <c r="P83" s="144"/>
      <c r="Q83" s="144"/>
      <c r="R83" s="144"/>
      <c r="S83" s="144"/>
      <c r="T83" s="145" t="s">
        <v>80</v>
      </c>
      <c r="U83" s="145"/>
      <c r="V83" s="145"/>
      <c r="W83" s="144"/>
      <c r="X83" s="144"/>
      <c r="Y83" s="144"/>
      <c r="Z83" s="145" t="s">
        <v>97</v>
      </c>
      <c r="AA83" s="145"/>
      <c r="AB83" s="145"/>
      <c r="AC83" s="144"/>
      <c r="AD83" s="144"/>
      <c r="AE83" s="144"/>
      <c r="AF83" s="145" t="s">
        <v>133</v>
      </c>
      <c r="AG83" s="145"/>
      <c r="AH83" s="145"/>
    </row>
    <row r="84" spans="2:34" x14ac:dyDescent="0.2">
      <c r="M84" s="1"/>
      <c r="N84" s="145" t="s">
        <v>81</v>
      </c>
      <c r="O84" s="145"/>
      <c r="P84" s="145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</row>
    <row r="85" spans="2:34" x14ac:dyDescent="0.2">
      <c r="N85" s="144" t="s">
        <v>134</v>
      </c>
      <c r="O85" s="144"/>
      <c r="P85" s="144"/>
      <c r="Q85" s="144"/>
      <c r="R85" s="144"/>
      <c r="S85" s="144"/>
      <c r="T85" s="146">
        <v>54928</v>
      </c>
      <c r="U85" s="146"/>
      <c r="V85"/>
      <c r="W85" s="144"/>
      <c r="X85" s="144"/>
      <c r="Y85" s="144"/>
      <c r="Z85" s="152">
        <v>50053</v>
      </c>
      <c r="AA85" s="152"/>
      <c r="AB85"/>
      <c r="AC85" s="144"/>
      <c r="AD85" s="144"/>
      <c r="AE85" s="144"/>
      <c r="AF85" s="152">
        <v>45005</v>
      </c>
      <c r="AG85" s="152"/>
      <c r="AH85"/>
    </row>
    <row r="86" spans="2:34" x14ac:dyDescent="0.2">
      <c r="N86" s="144" t="s">
        <v>135</v>
      </c>
      <c r="O86" s="144"/>
      <c r="P86" s="144"/>
      <c r="Q86" s="144"/>
      <c r="R86" s="144"/>
      <c r="S86" s="144"/>
      <c r="T86" s="148">
        <v>10470</v>
      </c>
      <c r="U86" s="148"/>
      <c r="V86"/>
      <c r="W86" s="144"/>
      <c r="X86" s="144"/>
      <c r="Y86" s="144"/>
      <c r="Z86" s="153">
        <v>9759</v>
      </c>
      <c r="AA86" s="153"/>
      <c r="AB86"/>
      <c r="AC86" s="144"/>
      <c r="AD86" s="144"/>
      <c r="AE86" s="144"/>
      <c r="AF86" s="153">
        <v>8757</v>
      </c>
      <c r="AG86" s="153"/>
      <c r="AH86"/>
    </row>
    <row r="87" spans="2:34" x14ac:dyDescent="0.2">
      <c r="N87" s="145" t="s">
        <v>136</v>
      </c>
      <c r="O87" s="145"/>
      <c r="P87" s="145"/>
      <c r="Q87" s="144"/>
      <c r="R87" s="144"/>
      <c r="S87" s="144"/>
      <c r="T87" s="148">
        <v>65398</v>
      </c>
      <c r="U87" s="148"/>
      <c r="V87"/>
      <c r="W87" s="144"/>
      <c r="X87" s="144"/>
      <c r="Y87" s="144"/>
      <c r="Z87" s="153">
        <v>59812</v>
      </c>
      <c r="AA87" s="153"/>
      <c r="AB87"/>
      <c r="AC87" s="144"/>
      <c r="AD87" s="144"/>
      <c r="AE87" s="144"/>
      <c r="AF87" s="153">
        <v>53762</v>
      </c>
      <c r="AG87" s="153"/>
      <c r="AH87"/>
    </row>
    <row r="88" spans="2:34" x14ac:dyDescent="0.2">
      <c r="N88" s="145" t="s">
        <v>85</v>
      </c>
      <c r="O88" s="145"/>
      <c r="P88" s="145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</row>
    <row r="89" spans="2:34" x14ac:dyDescent="0.2">
      <c r="N89" s="144" t="s">
        <v>134</v>
      </c>
      <c r="O89" s="144"/>
      <c r="P89" s="144"/>
      <c r="Q89" s="144"/>
      <c r="R89" s="144"/>
      <c r="S89" s="144"/>
      <c r="T89" s="147">
        <v>-48996</v>
      </c>
      <c r="U89" s="147"/>
      <c r="V89"/>
      <c r="W89" s="144"/>
      <c r="X89" s="144"/>
      <c r="Y89" s="144"/>
      <c r="Z89" s="154">
        <v>-44589</v>
      </c>
      <c r="AA89" s="154"/>
      <c r="AB89"/>
      <c r="AC89" s="144"/>
      <c r="AD89" s="144"/>
      <c r="AE89" s="144"/>
      <c r="AF89" s="154">
        <v>-40293</v>
      </c>
      <c r="AG89" s="154"/>
      <c r="AH89"/>
    </row>
    <row r="90" spans="2:34" x14ac:dyDescent="0.2">
      <c r="N90" s="144" t="s">
        <v>135</v>
      </c>
      <c r="O90" s="144"/>
      <c r="P90" s="144"/>
      <c r="Q90" s="144"/>
      <c r="R90" s="144"/>
      <c r="S90" s="144"/>
      <c r="T90" s="147">
        <v>-9371</v>
      </c>
      <c r="U90" s="147"/>
      <c r="V90"/>
      <c r="W90" s="144"/>
      <c r="X90" s="144"/>
      <c r="Y90" s="144"/>
      <c r="Z90" s="154">
        <v>-8731</v>
      </c>
      <c r="AA90" s="154"/>
      <c r="AB90"/>
      <c r="AC90" s="144"/>
      <c r="AD90" s="144"/>
      <c r="AE90" s="144"/>
      <c r="AF90" s="154">
        <v>-7738</v>
      </c>
      <c r="AG90" s="154"/>
      <c r="AH90"/>
    </row>
    <row r="91" spans="2:34" x14ac:dyDescent="0.2">
      <c r="N91" s="144" t="s">
        <v>137</v>
      </c>
      <c r="O91" s="144"/>
      <c r="P91" s="144"/>
      <c r="Q91" s="144"/>
      <c r="R91" s="144"/>
      <c r="S91" s="144"/>
      <c r="T91" s="147">
        <v>-27</v>
      </c>
      <c r="U91" s="147"/>
      <c r="V91"/>
      <c r="W91" s="144"/>
      <c r="X91" s="144"/>
      <c r="Y91" s="144"/>
      <c r="Z91" s="144" t="s">
        <v>124</v>
      </c>
      <c r="AA91" s="144"/>
      <c r="AB91"/>
      <c r="AC91" s="144"/>
      <c r="AD91" s="144"/>
      <c r="AE91" s="144"/>
      <c r="AF91" s="154">
        <v>-96</v>
      </c>
      <c r="AG91" s="154"/>
      <c r="AH91"/>
    </row>
    <row r="92" spans="2:34" x14ac:dyDescent="0.2">
      <c r="N92" s="144" t="s">
        <v>138</v>
      </c>
      <c r="O92" s="144"/>
      <c r="P92" s="144"/>
      <c r="Q92" s="144"/>
      <c r="R92" s="144"/>
      <c r="S92" s="144"/>
      <c r="T92" s="148">
        <v>1650</v>
      </c>
      <c r="U92" s="148"/>
      <c r="V92"/>
      <c r="W92" s="144"/>
      <c r="X92" s="144"/>
      <c r="Y92" s="144"/>
      <c r="Z92" s="153">
        <v>1875</v>
      </c>
      <c r="AA92" s="153"/>
      <c r="AB92"/>
      <c r="AC92" s="144"/>
      <c r="AD92" s="144"/>
      <c r="AE92" s="144"/>
      <c r="AF92" s="153">
        <v>1639</v>
      </c>
      <c r="AG92" s="153"/>
      <c r="AH92"/>
    </row>
    <row r="93" spans="2:34" x14ac:dyDescent="0.2">
      <c r="N93" s="145" t="s">
        <v>139</v>
      </c>
      <c r="O93" s="145"/>
      <c r="P93" s="145"/>
      <c r="Q93" s="144"/>
      <c r="R93" s="144"/>
      <c r="S93" s="144"/>
      <c r="T93" s="147">
        <v>-56744</v>
      </c>
      <c r="U93" s="147"/>
      <c r="V93"/>
      <c r="W93" s="144"/>
      <c r="X93" s="144"/>
      <c r="Y93" s="144"/>
      <c r="Z93" s="154">
        <v>-51445</v>
      </c>
      <c r="AA93" s="154"/>
      <c r="AB93"/>
      <c r="AC93" s="144"/>
      <c r="AD93" s="144"/>
      <c r="AE93" s="144"/>
      <c r="AF93" s="154">
        <v>-46488</v>
      </c>
      <c r="AG93" s="154"/>
      <c r="AH93"/>
    </row>
    <row r="94" spans="2:34" x14ac:dyDescent="0.2">
      <c r="N94" s="144" t="s">
        <v>86</v>
      </c>
      <c r="O94" s="144"/>
      <c r="P94" s="144"/>
      <c r="Q94" s="144"/>
      <c r="R94" s="144"/>
      <c r="S94" s="144"/>
      <c r="T94" s="148">
        <v>8654</v>
      </c>
      <c r="U94" s="148"/>
      <c r="V94"/>
      <c r="W94" s="144"/>
      <c r="X94" s="144"/>
      <c r="Y94" s="144"/>
      <c r="Z94" s="153">
        <v>8367</v>
      </c>
      <c r="AA94" s="153"/>
      <c r="AB94"/>
      <c r="AC94" s="144"/>
      <c r="AD94" s="144"/>
      <c r="AE94" s="144"/>
      <c r="AF94" s="153">
        <v>7274</v>
      </c>
      <c r="AG94" s="153"/>
      <c r="AH94"/>
    </row>
    <row r="95" spans="2:34" x14ac:dyDescent="0.2">
      <c r="N95" s="144" t="s">
        <v>87</v>
      </c>
      <c r="O95" s="144"/>
      <c r="P95" s="144"/>
      <c r="Q95" s="144"/>
      <c r="R95" s="144"/>
      <c r="S95" s="144"/>
      <c r="T95" s="147">
        <v>-10</v>
      </c>
      <c r="U95" s="147"/>
      <c r="V95"/>
      <c r="W95" s="144"/>
      <c r="X95" s="144"/>
      <c r="Y95" s="144"/>
      <c r="Z95" s="153">
        <v>178</v>
      </c>
      <c r="AA95" s="153"/>
      <c r="AB95"/>
      <c r="AC95" s="144"/>
      <c r="AD95" s="144"/>
      <c r="AE95" s="144"/>
      <c r="AF95" s="153">
        <v>60</v>
      </c>
      <c r="AG95" s="153"/>
      <c r="AH95"/>
    </row>
    <row r="96" spans="2:34" x14ac:dyDescent="0.2">
      <c r="N96" s="145" t="s">
        <v>140</v>
      </c>
      <c r="O96" s="145"/>
      <c r="P96" s="145"/>
      <c r="Q96" s="144"/>
      <c r="R96" s="144"/>
      <c r="S96" s="144"/>
      <c r="T96" s="148">
        <v>8644</v>
      </c>
      <c r="U96" s="148"/>
      <c r="V96"/>
      <c r="W96" s="144"/>
      <c r="X96" s="144"/>
      <c r="Y96" s="144"/>
      <c r="Z96" s="153">
        <v>8545</v>
      </c>
      <c r="AA96" s="153"/>
      <c r="AB96"/>
      <c r="AC96" s="144"/>
      <c r="AD96" s="144"/>
      <c r="AE96" s="144"/>
      <c r="AF96" s="153">
        <v>7334</v>
      </c>
      <c r="AG96" s="153"/>
      <c r="AH96"/>
    </row>
    <row r="97" spans="14:34" x14ac:dyDescent="0.2">
      <c r="N97" s="144" t="s">
        <v>88</v>
      </c>
      <c r="O97" s="144"/>
      <c r="P97" s="144"/>
      <c r="Q97" s="144"/>
      <c r="R97" s="144"/>
      <c r="S97" s="144"/>
      <c r="T97" s="147">
        <v>-591</v>
      </c>
      <c r="U97" s="147"/>
      <c r="V97"/>
      <c r="W97" s="144"/>
      <c r="X97" s="144"/>
      <c r="Y97" s="144"/>
      <c r="Z97" s="154">
        <v>-653</v>
      </c>
      <c r="AA97" s="154"/>
      <c r="AB97"/>
      <c r="AC97" s="144"/>
      <c r="AD97" s="144"/>
      <c r="AE97" s="144"/>
      <c r="AF97" s="154">
        <v>-668</v>
      </c>
      <c r="AG97" s="154"/>
      <c r="AH97"/>
    </row>
    <row r="98" spans="14:34" x14ac:dyDescent="0.2">
      <c r="N98" s="144" t="s">
        <v>89</v>
      </c>
      <c r="O98" s="144"/>
      <c r="P98" s="144"/>
      <c r="Q98" s="144"/>
      <c r="R98" s="144"/>
      <c r="S98" s="144"/>
      <c r="T98" s="148">
        <v>182</v>
      </c>
      <c r="U98" s="148"/>
      <c r="V98"/>
      <c r="W98" s="144"/>
      <c r="X98" s="144"/>
      <c r="Y98" s="144"/>
      <c r="Z98" s="154">
        <v>-651</v>
      </c>
      <c r="AA98" s="154"/>
      <c r="AB98"/>
      <c r="AC98" s="144"/>
      <c r="AD98" s="144"/>
      <c r="AE98" s="144"/>
      <c r="AF98" s="154">
        <v>-828</v>
      </c>
      <c r="AG98" s="154"/>
      <c r="AH98"/>
    </row>
    <row r="99" spans="14:34" x14ac:dyDescent="0.2">
      <c r="N99" s="155" t="s">
        <v>90</v>
      </c>
      <c r="O99" s="155"/>
      <c r="P99" s="155"/>
      <c r="Q99" s="144"/>
      <c r="R99" s="144"/>
      <c r="S99" s="144"/>
      <c r="T99" s="148">
        <v>8235</v>
      </c>
      <c r="U99" s="148"/>
      <c r="V99"/>
      <c r="W99" s="144"/>
      <c r="X99" s="144"/>
      <c r="Y99" s="144"/>
      <c r="Z99" s="153">
        <v>7241</v>
      </c>
      <c r="AA99" s="153"/>
      <c r="AB99"/>
      <c r="AC99" s="144"/>
      <c r="AD99" s="144"/>
      <c r="AE99" s="144"/>
      <c r="AF99" s="153">
        <v>5838</v>
      </c>
      <c r="AG99" s="153"/>
      <c r="AH99"/>
    </row>
    <row r="100" spans="14:34" x14ac:dyDescent="0.2">
      <c r="N100" s="156" t="s">
        <v>141</v>
      </c>
      <c r="O100" s="156"/>
      <c r="P100" s="156"/>
      <c r="Q100" s="144"/>
      <c r="R100" s="144"/>
      <c r="S100" s="144"/>
      <c r="T100" s="147">
        <v>-1347</v>
      </c>
      <c r="U100" s="147"/>
      <c r="V100"/>
      <c r="W100" s="144"/>
      <c r="X100" s="144"/>
      <c r="Y100" s="144"/>
      <c r="Z100" s="154">
        <v>-1011</v>
      </c>
      <c r="AA100" s="154"/>
      <c r="AB100"/>
      <c r="AC100" s="144"/>
      <c r="AD100" s="144"/>
      <c r="AE100" s="144"/>
      <c r="AF100" s="154">
        <v>-792</v>
      </c>
      <c r="AG100" s="154"/>
      <c r="AH100"/>
    </row>
    <row r="101" spans="14:34" x14ac:dyDescent="0.2">
      <c r="N101" s="155" t="s">
        <v>91</v>
      </c>
      <c r="O101" s="155"/>
      <c r="P101" s="155"/>
      <c r="Q101" s="144"/>
      <c r="R101" s="144"/>
      <c r="S101" s="144"/>
      <c r="T101" s="148">
        <v>6888</v>
      </c>
      <c r="U101" s="148"/>
      <c r="V101"/>
      <c r="W101" s="144"/>
      <c r="X101" s="144"/>
      <c r="Y101" s="144"/>
      <c r="Z101" s="153">
        <v>6230</v>
      </c>
      <c r="AA101" s="153"/>
      <c r="AB101"/>
      <c r="AC101" s="144"/>
      <c r="AD101" s="144"/>
      <c r="AE101" s="144"/>
      <c r="AF101" s="153">
        <v>5046</v>
      </c>
      <c r="AG101" s="153"/>
      <c r="AH101"/>
    </row>
    <row r="102" spans="14:34" x14ac:dyDescent="0.2">
      <c r="N102" s="144" t="s">
        <v>142</v>
      </c>
      <c r="O102" s="144"/>
      <c r="P102" s="144"/>
      <c r="Q102" s="144"/>
      <c r="R102" s="144"/>
      <c r="S102" s="144"/>
      <c r="T102" s="147">
        <v>-55</v>
      </c>
      <c r="U102" s="147"/>
      <c r="V102"/>
      <c r="W102" s="144"/>
      <c r="X102" s="144"/>
      <c r="Y102" s="144"/>
      <c r="Z102" s="144" t="s">
        <v>124</v>
      </c>
      <c r="AA102" s="144"/>
      <c r="AB102"/>
      <c r="AC102" s="144"/>
      <c r="AD102" s="144"/>
      <c r="AE102" s="144"/>
      <c r="AF102" s="144" t="s">
        <v>124</v>
      </c>
      <c r="AG102" s="144"/>
      <c r="AH102"/>
    </row>
    <row r="103" spans="14:34" x14ac:dyDescent="0.2">
      <c r="N103" s="145" t="s">
        <v>92</v>
      </c>
      <c r="O103" s="145"/>
      <c r="P103" s="145"/>
      <c r="Q103" s="144"/>
      <c r="R103" s="144"/>
      <c r="S103" s="144"/>
      <c r="T103" s="146">
        <v>6833</v>
      </c>
      <c r="U103" s="146"/>
      <c r="V103"/>
      <c r="W103" s="144"/>
      <c r="X103" s="144"/>
      <c r="Y103" s="144"/>
      <c r="Z103" s="152">
        <v>6230</v>
      </c>
      <c r="AA103" s="152"/>
      <c r="AB103"/>
      <c r="AC103" s="144"/>
      <c r="AD103" s="144"/>
      <c r="AE103" s="144"/>
      <c r="AF103" s="152">
        <v>5046</v>
      </c>
      <c r="AG103" s="152"/>
      <c r="AH103"/>
    </row>
    <row r="104" spans="14:34" x14ac:dyDescent="0.2"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</row>
    <row r="105" spans="14:34" x14ac:dyDescent="0.2">
      <c r="N105" s="145"/>
      <c r="O105" s="145"/>
      <c r="P105" s="145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</row>
    <row r="106" spans="14:34" x14ac:dyDescent="0.2"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</row>
    <row r="107" spans="14:34" x14ac:dyDescent="0.2">
      <c r="N107" s="144"/>
      <c r="O107" s="144"/>
      <c r="P107" s="144"/>
      <c r="Q107" s="144"/>
      <c r="R107" s="144"/>
      <c r="S107" s="144"/>
      <c r="T107" s="151"/>
      <c r="U107" s="151"/>
      <c r="V107"/>
      <c r="W107" s="144"/>
      <c r="X107" s="144"/>
      <c r="Y107" s="144"/>
      <c r="Z107" s="157"/>
      <c r="AA107" s="157"/>
      <c r="AB107"/>
      <c r="AC107" s="144"/>
      <c r="AD107" s="144"/>
      <c r="AE107" s="144"/>
      <c r="AF107" s="157"/>
      <c r="AG107" s="157"/>
      <c r="AH107"/>
    </row>
    <row r="108" spans="14:34" x14ac:dyDescent="0.2">
      <c r="N108" s="144"/>
      <c r="O108" s="144"/>
      <c r="P108" s="144"/>
      <c r="Q108" s="144"/>
      <c r="R108" s="144"/>
      <c r="S108" s="144"/>
      <c r="T108" s="150"/>
      <c r="U108" s="150"/>
      <c r="V108"/>
      <c r="W108" s="144"/>
      <c r="X108" s="144"/>
      <c r="Y108" s="144"/>
      <c r="Z108" s="144"/>
      <c r="AA108" s="144"/>
      <c r="AB108"/>
      <c r="AC108" s="144"/>
      <c r="AD108" s="144"/>
      <c r="AE108" s="144"/>
      <c r="AF108" s="144"/>
      <c r="AG108" s="144"/>
      <c r="AH108"/>
    </row>
    <row r="109" spans="14:34" x14ac:dyDescent="0.2">
      <c r="N109" s="144"/>
      <c r="O109" s="144"/>
      <c r="P109" s="144"/>
      <c r="Q109" s="144"/>
      <c r="R109" s="144"/>
      <c r="S109" s="144"/>
      <c r="T109" s="151"/>
      <c r="U109" s="151"/>
      <c r="V109"/>
      <c r="W109" s="144"/>
      <c r="X109" s="144"/>
      <c r="Y109" s="144"/>
      <c r="Z109" s="157"/>
      <c r="AA109" s="157"/>
      <c r="AB109"/>
      <c r="AC109" s="144"/>
      <c r="AD109" s="144"/>
      <c r="AE109" s="144"/>
      <c r="AF109" s="157"/>
      <c r="AG109" s="157"/>
      <c r="AH109"/>
    </row>
    <row r="110" spans="14:34" x14ac:dyDescent="0.2"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</row>
    <row r="111" spans="14:34" x14ac:dyDescent="0.2">
      <c r="N111" s="144"/>
      <c r="O111" s="144"/>
      <c r="P111" s="144"/>
      <c r="Q111" s="144"/>
      <c r="R111" s="144"/>
      <c r="S111" s="144"/>
      <c r="T111" s="158">
        <f>300/T87</f>
        <v>4.5872962475916696E-3</v>
      </c>
      <c r="U111" s="158"/>
      <c r="V111"/>
      <c r="W111" s="144"/>
      <c r="X111" s="144"/>
      <c r="Y111" s="144"/>
      <c r="Z111" s="157"/>
      <c r="AA111" s="157"/>
      <c r="AB111"/>
      <c r="AC111" s="144"/>
      <c r="AD111" s="144"/>
      <c r="AE111" s="144"/>
      <c r="AF111" s="157"/>
      <c r="AG111" s="157"/>
      <c r="AH111"/>
    </row>
    <row r="112" spans="14:34" x14ac:dyDescent="0.2">
      <c r="N112" s="144"/>
      <c r="O112" s="144"/>
      <c r="P112" s="144"/>
      <c r="Q112" s="144"/>
      <c r="R112" s="144"/>
      <c r="S112" s="144"/>
      <c r="T112" s="150"/>
      <c r="U112" s="150"/>
      <c r="V112"/>
      <c r="W112" s="144"/>
      <c r="X112" s="144"/>
      <c r="Y112" s="144"/>
      <c r="Z112" s="144"/>
      <c r="AA112" s="144"/>
      <c r="AB112"/>
      <c r="AC112" s="144"/>
      <c r="AD112" s="144"/>
      <c r="AE112" s="144"/>
      <c r="AF112" s="144"/>
      <c r="AG112" s="144"/>
      <c r="AH112"/>
    </row>
    <row r="113" spans="14:34" x14ac:dyDescent="0.2">
      <c r="N113" s="144"/>
      <c r="O113" s="144"/>
      <c r="P113" s="144"/>
      <c r="Q113" s="144"/>
      <c r="R113" s="144"/>
      <c r="S113" s="144"/>
      <c r="T113" s="151"/>
      <c r="U113" s="151"/>
      <c r="V113"/>
      <c r="W113" s="144"/>
      <c r="X113" s="144"/>
      <c r="Y113" s="144"/>
      <c r="Z113" s="157"/>
      <c r="AA113" s="157"/>
      <c r="AB113"/>
      <c r="AC113" s="144"/>
      <c r="AD113" s="144"/>
      <c r="AE113" s="144"/>
      <c r="AF113" s="157"/>
      <c r="AG113" s="157"/>
      <c r="AH113"/>
    </row>
    <row r="117" spans="14:34" x14ac:dyDescent="0.2">
      <c r="N117" s="1" t="s">
        <v>143</v>
      </c>
      <c r="P117" s="108">
        <v>1300</v>
      </c>
    </row>
    <row r="119" spans="14:34" x14ac:dyDescent="0.2">
      <c r="N119" s="1" t="s">
        <v>144</v>
      </c>
      <c r="P119" s="1">
        <v>853</v>
      </c>
    </row>
  </sheetData>
  <sheetProtection formatCells="0" formatColumns="0" formatRows="0" insertColumns="0" insertRows="0" insertHyperlinks="0" deleteColumns="0" deleteRows="0" sort="0" autoFilter="0" pivotTables="0"/>
  <mergeCells count="405">
    <mergeCell ref="AF112:AG112"/>
    <mergeCell ref="N113:P113"/>
    <mergeCell ref="Q113:S113"/>
    <mergeCell ref="T113:U113"/>
    <mergeCell ref="W113:Y113"/>
    <mergeCell ref="Z113:AA113"/>
    <mergeCell ref="AC113:AE113"/>
    <mergeCell ref="AF113:AG113"/>
    <mergeCell ref="N112:P112"/>
    <mergeCell ref="Q112:S112"/>
    <mergeCell ref="T112:U112"/>
    <mergeCell ref="W112:Y112"/>
    <mergeCell ref="Z112:AA112"/>
    <mergeCell ref="AC112:AE112"/>
    <mergeCell ref="AF110:AH110"/>
    <mergeCell ref="N111:P111"/>
    <mergeCell ref="Q111:S111"/>
    <mergeCell ref="T111:U111"/>
    <mergeCell ref="W111:Y111"/>
    <mergeCell ref="Z111:AA111"/>
    <mergeCell ref="AC111:AE111"/>
    <mergeCell ref="AF111:AG111"/>
    <mergeCell ref="N110:P110"/>
    <mergeCell ref="Q110:S110"/>
    <mergeCell ref="T110:V110"/>
    <mergeCell ref="W110:Y110"/>
    <mergeCell ref="Z110:AB110"/>
    <mergeCell ref="AC110:AE110"/>
    <mergeCell ref="AF108:AG108"/>
    <mergeCell ref="N109:P109"/>
    <mergeCell ref="Q109:S109"/>
    <mergeCell ref="T109:U109"/>
    <mergeCell ref="W109:Y109"/>
    <mergeCell ref="Z109:AA109"/>
    <mergeCell ref="AC109:AE109"/>
    <mergeCell ref="AF109:AG109"/>
    <mergeCell ref="N108:P108"/>
    <mergeCell ref="Q108:S108"/>
    <mergeCell ref="T108:U108"/>
    <mergeCell ref="W108:Y108"/>
    <mergeCell ref="Z108:AA108"/>
    <mergeCell ref="AC108:AE108"/>
    <mergeCell ref="AF106:AH106"/>
    <mergeCell ref="N107:P107"/>
    <mergeCell ref="Q107:S107"/>
    <mergeCell ref="T107:U107"/>
    <mergeCell ref="W107:Y107"/>
    <mergeCell ref="Z107:AA107"/>
    <mergeCell ref="AC107:AE107"/>
    <mergeCell ref="AF107:AG107"/>
    <mergeCell ref="N106:P106"/>
    <mergeCell ref="Q106:S106"/>
    <mergeCell ref="T106:V106"/>
    <mergeCell ref="W106:Y106"/>
    <mergeCell ref="Z106:AB106"/>
    <mergeCell ref="AC106:AE106"/>
    <mergeCell ref="AF104:AH104"/>
    <mergeCell ref="N105:P105"/>
    <mergeCell ref="Q105:S105"/>
    <mergeCell ref="T105:V105"/>
    <mergeCell ref="W105:Y105"/>
    <mergeCell ref="Z105:AB105"/>
    <mergeCell ref="AC105:AE105"/>
    <mergeCell ref="AF105:AH105"/>
    <mergeCell ref="N104:P104"/>
    <mergeCell ref="Q104:S104"/>
    <mergeCell ref="T104:V104"/>
    <mergeCell ref="W104:Y104"/>
    <mergeCell ref="Z104:AB104"/>
    <mergeCell ref="AC104:AE104"/>
    <mergeCell ref="AF102:AG102"/>
    <mergeCell ref="N103:P103"/>
    <mergeCell ref="Q103:S103"/>
    <mergeCell ref="T103:U103"/>
    <mergeCell ref="W103:Y103"/>
    <mergeCell ref="Z103:AA103"/>
    <mergeCell ref="AC103:AE103"/>
    <mergeCell ref="AF103:AG103"/>
    <mergeCell ref="N102:P102"/>
    <mergeCell ref="Q102:S102"/>
    <mergeCell ref="T102:U102"/>
    <mergeCell ref="W102:Y102"/>
    <mergeCell ref="Z102:AA102"/>
    <mergeCell ref="AC102:AE102"/>
    <mergeCell ref="AF100:AG100"/>
    <mergeCell ref="N101:P101"/>
    <mergeCell ref="Q101:S101"/>
    <mergeCell ref="T101:U101"/>
    <mergeCell ref="W101:Y101"/>
    <mergeCell ref="Z101:AA101"/>
    <mergeCell ref="AC101:AE101"/>
    <mergeCell ref="AF101:AG101"/>
    <mergeCell ref="N100:P100"/>
    <mergeCell ref="Q100:S100"/>
    <mergeCell ref="T100:U100"/>
    <mergeCell ref="W100:Y100"/>
    <mergeCell ref="Z100:AA100"/>
    <mergeCell ref="AC100:AE100"/>
    <mergeCell ref="AF98:AG98"/>
    <mergeCell ref="N99:P99"/>
    <mergeCell ref="Q99:S99"/>
    <mergeCell ref="T99:U99"/>
    <mergeCell ref="W99:Y99"/>
    <mergeCell ref="Z99:AA99"/>
    <mergeCell ref="AC99:AE99"/>
    <mergeCell ref="AF99:AG99"/>
    <mergeCell ref="N98:P98"/>
    <mergeCell ref="Q98:S98"/>
    <mergeCell ref="T98:U98"/>
    <mergeCell ref="W98:Y98"/>
    <mergeCell ref="Z98:AA98"/>
    <mergeCell ref="AC98:AE98"/>
    <mergeCell ref="AF96:AG96"/>
    <mergeCell ref="N97:P97"/>
    <mergeCell ref="Q97:S97"/>
    <mergeCell ref="T97:U97"/>
    <mergeCell ref="W97:Y97"/>
    <mergeCell ref="Z97:AA97"/>
    <mergeCell ref="AC97:AE97"/>
    <mergeCell ref="AF97:AG97"/>
    <mergeCell ref="N96:P96"/>
    <mergeCell ref="Q96:S96"/>
    <mergeCell ref="T96:U96"/>
    <mergeCell ref="W96:Y96"/>
    <mergeCell ref="Z96:AA96"/>
    <mergeCell ref="AC96:AE96"/>
    <mergeCell ref="AF94:AG94"/>
    <mergeCell ref="N95:P95"/>
    <mergeCell ref="Q95:S95"/>
    <mergeCell ref="T95:U95"/>
    <mergeCell ref="W95:Y95"/>
    <mergeCell ref="Z95:AA95"/>
    <mergeCell ref="AC95:AE95"/>
    <mergeCell ref="AF95:AG95"/>
    <mergeCell ref="N94:P94"/>
    <mergeCell ref="Q94:S94"/>
    <mergeCell ref="T94:U94"/>
    <mergeCell ref="W94:Y94"/>
    <mergeCell ref="Z94:AA94"/>
    <mergeCell ref="AC94:AE94"/>
    <mergeCell ref="AF92:AG92"/>
    <mergeCell ref="N93:P93"/>
    <mergeCell ref="Q93:S93"/>
    <mergeCell ref="T93:U93"/>
    <mergeCell ref="W93:Y93"/>
    <mergeCell ref="Z93:AA93"/>
    <mergeCell ref="AC93:AE93"/>
    <mergeCell ref="AF93:AG93"/>
    <mergeCell ref="N92:P92"/>
    <mergeCell ref="Q92:S92"/>
    <mergeCell ref="T92:U92"/>
    <mergeCell ref="W92:Y92"/>
    <mergeCell ref="Z92:AA92"/>
    <mergeCell ref="AC92:AE92"/>
    <mergeCell ref="AF90:AG90"/>
    <mergeCell ref="N91:P91"/>
    <mergeCell ref="Q91:S91"/>
    <mergeCell ref="T91:U91"/>
    <mergeCell ref="W91:Y91"/>
    <mergeCell ref="Z91:AA91"/>
    <mergeCell ref="AC91:AE91"/>
    <mergeCell ref="AF91:AG91"/>
    <mergeCell ref="N90:P90"/>
    <mergeCell ref="Q90:S90"/>
    <mergeCell ref="T90:U90"/>
    <mergeCell ref="W90:Y90"/>
    <mergeCell ref="Z90:AA90"/>
    <mergeCell ref="AC90:AE90"/>
    <mergeCell ref="AF88:AH88"/>
    <mergeCell ref="N89:P89"/>
    <mergeCell ref="Q89:S89"/>
    <mergeCell ref="T89:U89"/>
    <mergeCell ref="W89:Y89"/>
    <mergeCell ref="Z89:AA89"/>
    <mergeCell ref="AC89:AE89"/>
    <mergeCell ref="AF89:AG89"/>
    <mergeCell ref="N88:P88"/>
    <mergeCell ref="Q88:S88"/>
    <mergeCell ref="T88:V88"/>
    <mergeCell ref="W88:Y88"/>
    <mergeCell ref="Z88:AB88"/>
    <mergeCell ref="AC88:AE88"/>
    <mergeCell ref="AF86:AG86"/>
    <mergeCell ref="N87:P87"/>
    <mergeCell ref="Q87:S87"/>
    <mergeCell ref="T87:U87"/>
    <mergeCell ref="W87:Y87"/>
    <mergeCell ref="Z87:AA87"/>
    <mergeCell ref="AC87:AE87"/>
    <mergeCell ref="AF87:AG87"/>
    <mergeCell ref="N86:P86"/>
    <mergeCell ref="Q86:S86"/>
    <mergeCell ref="T86:U86"/>
    <mergeCell ref="W86:Y86"/>
    <mergeCell ref="Z86:AA86"/>
    <mergeCell ref="AC86:AE86"/>
    <mergeCell ref="AF84:AH84"/>
    <mergeCell ref="N85:P85"/>
    <mergeCell ref="Q85:S85"/>
    <mergeCell ref="T85:U85"/>
    <mergeCell ref="W85:Y85"/>
    <mergeCell ref="Z85:AA85"/>
    <mergeCell ref="AC85:AE85"/>
    <mergeCell ref="AF85:AG85"/>
    <mergeCell ref="N84:P84"/>
    <mergeCell ref="Q84:S84"/>
    <mergeCell ref="T84:V84"/>
    <mergeCell ref="W84:Y84"/>
    <mergeCell ref="Z84:AB84"/>
    <mergeCell ref="AC84:AE84"/>
    <mergeCell ref="N82:P82"/>
    <mergeCell ref="Q82:S82"/>
    <mergeCell ref="T82:AH82"/>
    <mergeCell ref="N83:P83"/>
    <mergeCell ref="Q83:S83"/>
    <mergeCell ref="T83:V83"/>
    <mergeCell ref="W83:Y83"/>
    <mergeCell ref="Z83:AB83"/>
    <mergeCell ref="AC83:AE83"/>
    <mergeCell ref="AF83:AH83"/>
    <mergeCell ref="N72:P72"/>
    <mergeCell ref="Q72:S72"/>
    <mergeCell ref="T72:U72"/>
    <mergeCell ref="W72:Y72"/>
    <mergeCell ref="Z72:AA72"/>
    <mergeCell ref="N79:S79"/>
    <mergeCell ref="N70:P70"/>
    <mergeCell ref="Q70:S70"/>
    <mergeCell ref="T70:U70"/>
    <mergeCell ref="W70:Y70"/>
    <mergeCell ref="Z70:AA70"/>
    <mergeCell ref="N71:P71"/>
    <mergeCell ref="Q71:S71"/>
    <mergeCell ref="T71:U71"/>
    <mergeCell ref="W71:Y71"/>
    <mergeCell ref="Z71:AA71"/>
    <mergeCell ref="N68:P68"/>
    <mergeCell ref="Q68:S68"/>
    <mergeCell ref="T68:U68"/>
    <mergeCell ref="W68:Y68"/>
    <mergeCell ref="Z68:AA68"/>
    <mergeCell ref="N69:P69"/>
    <mergeCell ref="Q69:S69"/>
    <mergeCell ref="T69:U69"/>
    <mergeCell ref="W69:Y69"/>
    <mergeCell ref="Z69:AA69"/>
    <mergeCell ref="N66:P66"/>
    <mergeCell ref="Q66:S66"/>
    <mergeCell ref="T66:U66"/>
    <mergeCell ref="W66:Y66"/>
    <mergeCell ref="Z66:AA66"/>
    <mergeCell ref="N67:P67"/>
    <mergeCell ref="Q67:S67"/>
    <mergeCell ref="T67:U67"/>
    <mergeCell ref="W67:Y67"/>
    <mergeCell ref="Z67:AA67"/>
    <mergeCell ref="N64:P64"/>
    <mergeCell ref="Q64:S64"/>
    <mergeCell ref="T64:V64"/>
    <mergeCell ref="W64:Y64"/>
    <mergeCell ref="Z64:AB64"/>
    <mergeCell ref="N65:P65"/>
    <mergeCell ref="Q65:S65"/>
    <mergeCell ref="T65:U65"/>
    <mergeCell ref="W65:Y65"/>
    <mergeCell ref="Z65:AA65"/>
    <mergeCell ref="N62:P62"/>
    <mergeCell ref="Q62:S62"/>
    <mergeCell ref="T62:U62"/>
    <mergeCell ref="W62:Y62"/>
    <mergeCell ref="Z62:AA62"/>
    <mergeCell ref="N63:P63"/>
    <mergeCell ref="Q63:S63"/>
    <mergeCell ref="T63:U63"/>
    <mergeCell ref="W63:Y63"/>
    <mergeCell ref="Z63:AA63"/>
    <mergeCell ref="N60:P60"/>
    <mergeCell ref="Q60:S60"/>
    <mergeCell ref="T60:U60"/>
    <mergeCell ref="W60:Y60"/>
    <mergeCell ref="Z60:AA60"/>
    <mergeCell ref="N61:P61"/>
    <mergeCell ref="Q61:S61"/>
    <mergeCell ref="T61:U61"/>
    <mergeCell ref="W61:Y61"/>
    <mergeCell ref="Z61:AA61"/>
    <mergeCell ref="N58:P58"/>
    <mergeCell ref="Q58:S58"/>
    <mergeCell ref="T58:U58"/>
    <mergeCell ref="W58:Y58"/>
    <mergeCell ref="Z58:AA58"/>
    <mergeCell ref="N59:P59"/>
    <mergeCell ref="Q59:S59"/>
    <mergeCell ref="T59:U59"/>
    <mergeCell ref="W59:Y59"/>
    <mergeCell ref="Z59:AA59"/>
    <mergeCell ref="N56:P56"/>
    <mergeCell ref="Q56:S56"/>
    <mergeCell ref="T56:U56"/>
    <mergeCell ref="W56:Y56"/>
    <mergeCell ref="Z56:AA56"/>
    <mergeCell ref="N57:P57"/>
    <mergeCell ref="Q57:S57"/>
    <mergeCell ref="T57:U57"/>
    <mergeCell ref="W57:Y57"/>
    <mergeCell ref="Z57:AA57"/>
    <mergeCell ref="N54:P54"/>
    <mergeCell ref="Q54:S54"/>
    <mergeCell ref="T54:U54"/>
    <mergeCell ref="W54:Y54"/>
    <mergeCell ref="Z54:AA54"/>
    <mergeCell ref="N55:P55"/>
    <mergeCell ref="Q55:S55"/>
    <mergeCell ref="T55:U55"/>
    <mergeCell ref="W55:Y55"/>
    <mergeCell ref="Z55:AA55"/>
    <mergeCell ref="N52:P52"/>
    <mergeCell ref="Q52:S52"/>
    <mergeCell ref="T52:V52"/>
    <mergeCell ref="W52:Y52"/>
    <mergeCell ref="Z52:AB52"/>
    <mergeCell ref="N53:P53"/>
    <mergeCell ref="Q53:S53"/>
    <mergeCell ref="T53:V53"/>
    <mergeCell ref="W53:Y53"/>
    <mergeCell ref="Z53:AB53"/>
    <mergeCell ref="N50:P50"/>
    <mergeCell ref="Q50:S50"/>
    <mergeCell ref="T50:U50"/>
    <mergeCell ref="W50:Y50"/>
    <mergeCell ref="Z50:AA50"/>
    <mergeCell ref="N51:P51"/>
    <mergeCell ref="Q51:S51"/>
    <mergeCell ref="T51:U51"/>
    <mergeCell ref="W51:Y51"/>
    <mergeCell ref="Z51:AA51"/>
    <mergeCell ref="N48:P48"/>
    <mergeCell ref="Q48:S48"/>
    <mergeCell ref="T48:U48"/>
    <mergeCell ref="W48:Y48"/>
    <mergeCell ref="Z48:AA48"/>
    <mergeCell ref="N49:P49"/>
    <mergeCell ref="Q49:S49"/>
    <mergeCell ref="T49:U49"/>
    <mergeCell ref="W49:Y49"/>
    <mergeCell ref="Z49:AA49"/>
    <mergeCell ref="N46:P46"/>
    <mergeCell ref="Q46:S46"/>
    <mergeCell ref="T46:U46"/>
    <mergeCell ref="W46:Y46"/>
    <mergeCell ref="Z46:AA46"/>
    <mergeCell ref="N47:P47"/>
    <mergeCell ref="Q47:S47"/>
    <mergeCell ref="T47:U47"/>
    <mergeCell ref="W47:Y47"/>
    <mergeCell ref="Z47:AA47"/>
    <mergeCell ref="N44:P44"/>
    <mergeCell ref="Q44:S44"/>
    <mergeCell ref="T44:U44"/>
    <mergeCell ref="W44:Y44"/>
    <mergeCell ref="Z44:AA44"/>
    <mergeCell ref="N45:P45"/>
    <mergeCell ref="Q45:S45"/>
    <mergeCell ref="T45:U45"/>
    <mergeCell ref="W45:Y45"/>
    <mergeCell ref="Z45:AA45"/>
    <mergeCell ref="N42:P42"/>
    <mergeCell ref="Q42:S42"/>
    <mergeCell ref="T42:U42"/>
    <mergeCell ref="W42:Y42"/>
    <mergeCell ref="Z42:AA42"/>
    <mergeCell ref="N43:P43"/>
    <mergeCell ref="Q43:S43"/>
    <mergeCell ref="T43:U43"/>
    <mergeCell ref="W43:Y43"/>
    <mergeCell ref="Z43:AA43"/>
    <mergeCell ref="N40:P40"/>
    <mergeCell ref="Q40:S40"/>
    <mergeCell ref="T40:U40"/>
    <mergeCell ref="W40:Y40"/>
    <mergeCell ref="Z40:AA40"/>
    <mergeCell ref="N41:P41"/>
    <mergeCell ref="Q41:S41"/>
    <mergeCell ref="T41:U41"/>
    <mergeCell ref="W41:Y41"/>
    <mergeCell ref="Z41:AA41"/>
    <mergeCell ref="N38:P38"/>
    <mergeCell ref="Q38:S38"/>
    <mergeCell ref="T38:V38"/>
    <mergeCell ref="W38:Y38"/>
    <mergeCell ref="Z38:AB38"/>
    <mergeCell ref="N39:P39"/>
    <mergeCell ref="Q39:S39"/>
    <mergeCell ref="T39:V39"/>
    <mergeCell ref="W39:Y39"/>
    <mergeCell ref="Z39:AB39"/>
    <mergeCell ref="N33:S33"/>
    <mergeCell ref="N36:P36"/>
    <mergeCell ref="Q36:S36"/>
    <mergeCell ref="T36:AB36"/>
    <mergeCell ref="N37:P37"/>
    <mergeCell ref="Q37:S37"/>
    <mergeCell ref="T37:V37"/>
    <mergeCell ref="W37:Y37"/>
    <mergeCell ref="Z37:AB37"/>
  </mergeCells>
  <pageMargins left="0.7" right="0.7" top="0.75" bottom="0.75" header="0.3" footer="0.3"/>
  <pageSetup orientation="portrait" horizontalDpi="0" verticalDpi="0"/>
  <ignoredErrors>
    <ignoredError sqref="K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WACC</vt:lpstr>
      <vt:lpstr>Company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Ahn</dc:creator>
  <cp:lastModifiedBy>Microsoft Office User</cp:lastModifiedBy>
  <cp:lastPrinted>2021-11-09T13:29:02Z</cp:lastPrinted>
  <dcterms:created xsi:type="dcterms:W3CDTF">2018-03-17T04:35:48Z</dcterms:created>
  <dcterms:modified xsi:type="dcterms:W3CDTF">2022-05-19T04:47:15Z</dcterms:modified>
</cp:coreProperties>
</file>