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ylec\MyOrgMgr\sites\organizations\cloud\onedrive\OneDrive - CallawayCPA\FileCab_callawaycpa\clients\PERM\Bartells, Adam\"/>
    </mc:Choice>
  </mc:AlternateContent>
  <xr:revisionPtr revIDLastSave="0" documentId="13_ncr:1_{176E5979-40B3-4DBC-BBED-4A5852054495}" xr6:coauthVersionLast="47" xr6:coauthVersionMax="47" xr10:uidLastSave="{00000000-0000-0000-0000-000000000000}"/>
  <bookViews>
    <workbookView xWindow="180" yWindow="16245" windowWidth="29040" windowHeight="15720" firstSheet="1" activeTab="1" xr2:uid="{00000000-000D-0000-FFFF-FFFF00000000}"/>
  </bookViews>
  <sheets>
    <sheet name="ABOUT" sheetId="8" state="hidden" r:id="rId1"/>
    <sheet name="Summary" sheetId="7" r:id="rId2"/>
    <sheet name="1065" sheetId="9" r:id="rId3"/>
    <sheet name="Detail" sheetId="4" r:id="rId4"/>
    <sheet name="OldFormat" sheetId="1" state="hidden" r:id="rId5"/>
    <sheet name="setup" sheetId="6" state="hidden" r:id="rId6"/>
    <sheet name="settings" sheetId="3" r:id="rId7"/>
  </sheets>
  <definedNames>
    <definedName name="_xlnm.Print_Area" localSheetId="3">Detail!$A$1:$P$13</definedName>
    <definedName name="_xlnm.Print_Area" localSheetId="4">OldFormat!$A$1:$J$78</definedName>
    <definedName name="_xlnm.Print_Area" localSheetId="1">Summary!$A$1:$F$39</definedName>
    <definedName name="_xlnm.Print_Titles" localSheetId="4">OldFormat!$1:$1</definedName>
    <definedName name="Z_5061F855_4D70_4651_B8EA_25EA8B4FD770_.wvu.Cols" localSheetId="4" hidden="1">OldFormat!$O:$Q</definedName>
    <definedName name="Z_5061F855_4D70_4651_B8EA_25EA8B4FD770_.wvu.PrintArea" localSheetId="4" hidden="1">OldFormat!$A$1:$J$78</definedName>
    <definedName name="Z_5061F855_4D70_4651_B8EA_25EA8B4FD770_.wvu.PrintTitles" localSheetId="4" hidden="1">OldFormat!$1:$1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0" i="9" l="1"/>
  <c r="J136" i="7"/>
  <c r="L60" i="7"/>
  <c r="A6" i="4"/>
  <c r="A7" i="4" s="1"/>
  <c r="A10" i="4" s="1"/>
  <c r="A2" i="4"/>
  <c r="A1" i="7"/>
  <c r="A1" i="4" s="1"/>
  <c r="D10" i="4"/>
  <c r="D9" i="4"/>
  <c r="H8" i="4"/>
  <c r="H7" i="4"/>
  <c r="H6" i="4"/>
  <c r="G11" i="4"/>
  <c r="E11" i="4"/>
  <c r="G3" i="4"/>
  <c r="E3" i="4"/>
  <c r="C11" i="4"/>
  <c r="C3" i="4"/>
  <c r="A9" i="4" l="1"/>
  <c r="J6" i="4"/>
  <c r="K10" i="4"/>
  <c r="F11" i="4"/>
  <c r="J10" i="4"/>
  <c r="J8" i="4"/>
  <c r="K9" i="4"/>
  <c r="K7" i="4"/>
  <c r="J9" i="4"/>
  <c r="J7" i="4"/>
  <c r="H11" i="4"/>
  <c r="K6" i="4"/>
  <c r="K8" i="4"/>
  <c r="D11" i="4"/>
  <c r="L7" i="4" l="1"/>
  <c r="L8" i="4"/>
  <c r="L9" i="4"/>
  <c r="L10" i="4"/>
  <c r="K11" i="4"/>
  <c r="L6" i="4"/>
  <c r="J11" i="4"/>
  <c r="H10" i="3"/>
  <c r="H11" i="3"/>
  <c r="H12" i="3"/>
  <c r="H13" i="3"/>
  <c r="H14" i="3"/>
  <c r="H9" i="3"/>
  <c r="K14" i="3"/>
  <c r="K12" i="3"/>
  <c r="K11" i="3"/>
  <c r="K9" i="3"/>
  <c r="N10" i="4" l="1"/>
  <c r="M10" i="4"/>
  <c r="N9" i="4"/>
  <c r="M9" i="4"/>
  <c r="O9" i="4" s="1"/>
  <c r="K10" i="3"/>
  <c r="L11" i="4"/>
  <c r="K13" i="3"/>
  <c r="B14" i="7" l="1"/>
  <c r="O10" i="4"/>
  <c r="M8" i="4"/>
  <c r="M7" i="4"/>
  <c r="M6" i="4"/>
  <c r="B29" i="7"/>
  <c r="N7" i="4"/>
  <c r="N8" i="4"/>
  <c r="N6" i="4"/>
  <c r="G51" i="1"/>
  <c r="G50" i="1"/>
  <c r="G49" i="1"/>
  <c r="G62" i="1"/>
  <c r="B15" i="7" l="1"/>
  <c r="O7" i="4"/>
  <c r="O8" i="4"/>
  <c r="N11" i="4"/>
  <c r="O6" i="4"/>
  <c r="M11" i="4"/>
  <c r="G61" i="1"/>
  <c r="G60" i="1"/>
  <c r="G48" i="1"/>
  <c r="G47" i="1"/>
  <c r="B30" i="7" l="1"/>
  <c r="B13" i="7"/>
  <c r="B16" i="7" s="1"/>
  <c r="O11" i="4"/>
  <c r="B5" i="7" s="1"/>
  <c r="H31" i="1"/>
  <c r="G28" i="1"/>
  <c r="D28" i="1"/>
  <c r="C28" i="1"/>
  <c r="F28" i="1" s="1"/>
  <c r="B28" i="1"/>
  <c r="E28" i="1" s="1"/>
  <c r="H32" i="1"/>
  <c r="B31" i="7" l="1"/>
  <c r="B8" i="7"/>
  <c r="C5" i="7"/>
  <c r="D5" i="7"/>
  <c r="H28" i="1"/>
  <c r="C8" i="7" l="1"/>
  <c r="D8" i="7"/>
  <c r="F78" i="1"/>
  <c r="E78" i="1"/>
  <c r="D78" i="1"/>
  <c r="G72" i="1"/>
  <c r="G71" i="1"/>
  <c r="D23" i="1"/>
  <c r="G23" i="1" s="1"/>
  <c r="F65" i="1"/>
  <c r="E65" i="1"/>
  <c r="D65" i="1"/>
  <c r="C23" i="1"/>
  <c r="F23" i="1" s="1"/>
  <c r="F57" i="1"/>
  <c r="E57" i="1"/>
  <c r="D57" i="1"/>
  <c r="B21" i="1"/>
  <c r="E21" i="1" s="1"/>
  <c r="D35" i="1"/>
  <c r="D40" i="1" s="1"/>
  <c r="C35" i="1"/>
  <c r="C40" i="1" s="1"/>
  <c r="B35" i="1"/>
  <c r="B40" i="1" s="1"/>
  <c r="D34" i="1"/>
  <c r="D39" i="1" s="1"/>
  <c r="C34" i="1"/>
  <c r="C39" i="1" s="1"/>
  <c r="B34" i="1"/>
  <c r="D33" i="1"/>
  <c r="D38" i="1" s="1"/>
  <c r="C33" i="1"/>
  <c r="B33" i="1"/>
  <c r="D27" i="1"/>
  <c r="G27" i="1" s="1"/>
  <c r="C27" i="1"/>
  <c r="F27" i="1" s="1"/>
  <c r="B27" i="1"/>
  <c r="E27" i="1" s="1"/>
  <c r="D26" i="1"/>
  <c r="G26" i="1" s="1"/>
  <c r="C26" i="1"/>
  <c r="F26" i="1" s="1"/>
  <c r="B26" i="1"/>
  <c r="E26" i="1" s="1"/>
  <c r="D25" i="1"/>
  <c r="G25" i="1" s="1"/>
  <c r="C25" i="1"/>
  <c r="F25" i="1" s="1"/>
  <c r="B25" i="1"/>
  <c r="E25" i="1" s="1"/>
  <c r="C24" i="1"/>
  <c r="F24" i="1" s="1"/>
  <c r="B24" i="1"/>
  <c r="E24" i="1" s="1"/>
  <c r="B23" i="1"/>
  <c r="E23" i="1" s="1"/>
  <c r="D22" i="1"/>
  <c r="G22" i="1" s="1"/>
  <c r="C22" i="1"/>
  <c r="F22" i="1" s="1"/>
  <c r="B22" i="1"/>
  <c r="E22" i="1" s="1"/>
  <c r="D21" i="1"/>
  <c r="G21" i="1" s="1"/>
  <c r="C21" i="1"/>
  <c r="F21" i="1" s="1"/>
  <c r="F29" i="1" l="1"/>
  <c r="E29" i="1"/>
  <c r="D24" i="1"/>
  <c r="G24" i="1" s="1"/>
  <c r="G29" i="1" s="1"/>
  <c r="G76" i="1"/>
  <c r="H23" i="1"/>
  <c r="E33" i="1"/>
  <c r="E34" i="1"/>
  <c r="G57" i="1"/>
  <c r="H26" i="1"/>
  <c r="C36" i="1"/>
  <c r="C41" i="1" s="1"/>
  <c r="C38" i="1"/>
  <c r="H21" i="1"/>
  <c r="H25" i="1"/>
  <c r="H27" i="1"/>
  <c r="E40" i="1"/>
  <c r="H22" i="1"/>
  <c r="E35" i="1"/>
  <c r="B36" i="1"/>
  <c r="B41" i="1" s="1"/>
  <c r="B39" i="1"/>
  <c r="E39" i="1" s="1"/>
  <c r="D36" i="1"/>
  <c r="D41" i="1" s="1"/>
  <c r="G65" i="1"/>
  <c r="B38" i="1"/>
  <c r="G78" i="1" l="1"/>
  <c r="H24" i="1"/>
  <c r="H29" i="1" s="1"/>
  <c r="H30" i="1" s="1"/>
  <c r="H33" i="1" s="1"/>
  <c r="E36" i="1"/>
  <c r="E38" i="1"/>
  <c r="E41" i="1"/>
</calcChain>
</file>

<file path=xl/sharedStrings.xml><?xml version="1.0" encoding="utf-8"?>
<sst xmlns="http://schemas.openxmlformats.org/spreadsheetml/2006/main" count="265" uniqueCount="157">
  <si>
    <t>Item</t>
  </si>
  <si>
    <t>*Annual Est Fee</t>
  </si>
  <si>
    <t>As MO Billing</t>
  </si>
  <si>
    <t>As Qtr Billing</t>
  </si>
  <si>
    <t>Notes</t>
  </si>
  <si>
    <t>Total Annual Estimate</t>
  </si>
  <si>
    <t>Click HERE for detail</t>
  </si>
  <si>
    <t>*The figures shown here are based on the average annual fee, see detail tab for the est hours per period and high/low projection.</t>
  </si>
  <si>
    <t>Discount:</t>
  </si>
  <si>
    <t>Summary By Service</t>
  </si>
  <si>
    <t>Name</t>
  </si>
  <si>
    <t>Annual Estimate</t>
  </si>
  <si>
    <t>IncomeTax</t>
  </si>
  <si>
    <t>Accounting</t>
  </si>
  <si>
    <t>Advisory</t>
  </si>
  <si>
    <t>Summay By Entity</t>
  </si>
  <si>
    <t>AMNA Enterprises, LLC</t>
  </si>
  <si>
    <t>Bartells, Adam &amp; Mindy</t>
  </si>
  <si>
    <t>Gross Sales</t>
  </si>
  <si>
    <t>Nominee to 87-4556114</t>
  </si>
  <si>
    <t>Other Expenses</t>
  </si>
  <si>
    <t>Recommendations/My Plan</t>
  </si>
  <si>
    <t>- Cash Flow Optimization</t>
  </si>
  <si>
    <t>Push estiamtes to YE</t>
  </si>
  <si>
    <t>- Tax efficiency</t>
  </si>
  <si>
    <t>Move to S corp, go forward it will impact as you grow, move expenses into businesses in an "intelligent way"</t>
  </si>
  <si>
    <t>- Risk Mitigation</t>
  </si>
  <si>
    <t xml:space="preserve"> Intelligent aggression</t>
  </si>
  <si>
    <t>Payroll / Wages</t>
  </si>
  <si>
    <t xml:space="preserve"> Taxes and licenses?</t>
  </si>
  <si>
    <t>Investigate</t>
  </si>
  <si>
    <t>Retirement or other EE Benefits?</t>
  </si>
  <si>
    <t>Passive vs Active</t>
  </si>
  <si>
    <t>other expense</t>
  </si>
  <si>
    <t>Monthly</t>
  </si>
  <si>
    <t>Quarterly</t>
  </si>
  <si>
    <t>Annually</t>
  </si>
  <si>
    <t>Yearly Totals/Estimates</t>
  </si>
  <si>
    <t>Entity</t>
  </si>
  <si>
    <t>Service</t>
  </si>
  <si>
    <t>LOW</t>
  </si>
  <si>
    <t>HIGH</t>
  </si>
  <si>
    <t>Avg</t>
  </si>
  <si>
    <t>Jurisdiction</t>
  </si>
  <si>
    <t>TaxPrep - 1065</t>
  </si>
  <si>
    <t>Owned by trust, non-passive O&amp;G</t>
  </si>
  <si>
    <t>Fed</t>
  </si>
  <si>
    <t>TaxPrep - TX</t>
  </si>
  <si>
    <t>Depending on income threshold</t>
  </si>
  <si>
    <t>State</t>
  </si>
  <si>
    <t>TaxPrep - 1040</t>
  </si>
  <si>
    <t>Schedule C and K1s</t>
  </si>
  <si>
    <t>Estimate based on emails/conversation with Adam, will update / change as things progress and internal procedures are developed/handed off.</t>
  </si>
  <si>
    <t>Review</t>
  </si>
  <si>
    <t>Total Hrs/Period</t>
  </si>
  <si>
    <t>*Estimate for item is based on firms required minimum fee</t>
  </si>
  <si>
    <t>TBD</t>
  </si>
  <si>
    <t>BK</t>
  </si>
  <si>
    <t>Internal items/notes</t>
  </si>
  <si>
    <t>Admin Items</t>
  </si>
  <si>
    <t>Client Info</t>
  </si>
  <si>
    <t>Business Organized As</t>
  </si>
  <si>
    <t xml:space="preserve">Accounting System Setup </t>
  </si>
  <si>
    <t>CPA2</t>
  </si>
  <si>
    <t>(our system, client system, QB's online or other?)</t>
  </si>
  <si>
    <t>CPA1</t>
  </si>
  <si>
    <t>Services Provided</t>
  </si>
  <si>
    <t>Services &amp; Details</t>
  </si>
  <si>
    <t>Yes/No/Other</t>
  </si>
  <si>
    <t>Notes/Details</t>
  </si>
  <si>
    <t>Examples:</t>
  </si>
  <si>
    <t>L:\FORMS &amp; LETTERS &amp; ADMIN\2023 Engagement Letters</t>
  </si>
  <si>
    <t>ACCT &amp; BKKEEPING</t>
  </si>
  <si>
    <t>Yes</t>
  </si>
  <si>
    <t>Watts Drilling Company, LP 2023</t>
  </si>
  <si>
    <t>MNTHLY/QTRL PACKET</t>
  </si>
  <si>
    <t>Tri-Media Publications 2023</t>
  </si>
  <si>
    <t>PAYROLL</t>
  </si>
  <si>
    <t>No</t>
  </si>
  <si>
    <t>N/A</t>
  </si>
  <si>
    <t>INCOME TAX</t>
  </si>
  <si>
    <t>SALES TAX</t>
  </si>
  <si>
    <t>TX PROPERTY TAX</t>
  </si>
  <si>
    <t>MISC/OTHER</t>
  </si>
  <si>
    <t>Time &amp; Cost Summary for Client - Recurring Monthly Service</t>
  </si>
  <si>
    <t>By Task</t>
  </si>
  <si>
    <t>Mo</t>
  </si>
  <si>
    <t>Qtrly</t>
  </si>
  <si>
    <t>Annual</t>
  </si>
  <si>
    <t>TOTAL MO</t>
  </si>
  <si>
    <t>TOTAL QTR</t>
  </si>
  <si>
    <t>TOTAL ANN</t>
  </si>
  <si>
    <t>Grand Total</t>
  </si>
  <si>
    <t>MO</t>
  </si>
  <si>
    <t>QTR</t>
  </si>
  <si>
    <t>Consulting/Planning</t>
  </si>
  <si>
    <t>20 hrs of consulting/planning built in</t>
  </si>
  <si>
    <t>Cost</t>
  </si>
  <si>
    <t>Total Annual Internal Cost</t>
  </si>
  <si>
    <t>Cost/MO</t>
  </si>
  <si>
    <t>Built in consluting/planning</t>
  </si>
  <si>
    <t>By Individual</t>
  </si>
  <si>
    <t>Total</t>
  </si>
  <si>
    <t>Monthly client discount, # srvs x 5%</t>
  </si>
  <si>
    <t># services used</t>
  </si>
  <si>
    <t>Minimum Req Monthly Fee</t>
  </si>
  <si>
    <t>Total Time by Category</t>
  </si>
  <si>
    <t>Annualized</t>
  </si>
  <si>
    <t>Total Time Annually</t>
  </si>
  <si>
    <t>Time and Cost Budget Details</t>
  </si>
  <si>
    <t>Practice CS Projects/Task</t>
  </si>
  <si>
    <t>Monthly Tasks</t>
  </si>
  <si>
    <t>Who</t>
  </si>
  <si>
    <t>Qtr</t>
  </si>
  <si>
    <t>Activity Detail</t>
  </si>
  <si>
    <t>Project</t>
  </si>
  <si>
    <t>Task</t>
  </si>
  <si>
    <t>Enter data, classify/code data/reconcile bk</t>
  </si>
  <si>
    <t>MOACCTBOOK</t>
  </si>
  <si>
    <t>Task 1 - Prep</t>
  </si>
  <si>
    <t>BK2</t>
  </si>
  <si>
    <t>Review recon and P&amp;L</t>
  </si>
  <si>
    <t>Task 2 - Review</t>
  </si>
  <si>
    <t>MOPRDD2WKS</t>
  </si>
  <si>
    <t>Task 1 - Prep / Task 2- Review / Task 3 - Make Tax Pmt</t>
  </si>
  <si>
    <t>MOSTMOFILE</t>
  </si>
  <si>
    <t>Task 2 - Review &amp; File</t>
  </si>
  <si>
    <t>Total Monthly Tasks Cost (Annualized)</t>
  </si>
  <si>
    <t>Quarterly Tasks</t>
  </si>
  <si>
    <t>Detailed Tax Est &amp; Est Pmt Voucher</t>
  </si>
  <si>
    <t>Review and prepare quarteryl financials/packet</t>
  </si>
  <si>
    <t>MOCLQTRPACK</t>
  </si>
  <si>
    <t>Task 1 - Prep / Task 3 - Send</t>
  </si>
  <si>
    <t>Total Quarterly Tasks Cost (Annualized)</t>
  </si>
  <si>
    <t>Annual Tasks</t>
  </si>
  <si>
    <t>Business &amp; pers tax returns - fed &amp; state</t>
  </si>
  <si>
    <t>Total Annual Tasks Cost</t>
  </si>
  <si>
    <t>Total Est Annual Cost</t>
  </si>
  <si>
    <t>Primary Contact</t>
  </si>
  <si>
    <t>Bartells, Adam</t>
  </si>
  <si>
    <t>Reccurance</t>
  </si>
  <si>
    <t>Staff/Rates Range</t>
  </si>
  <si>
    <t>Symbols/Ref</t>
  </si>
  <si>
    <t>Est High From Low %</t>
  </si>
  <si>
    <t>Primary Client</t>
  </si>
  <si>
    <t>Blended/Avg</t>
  </si>
  <si>
    <t>-</t>
  </si>
  <si>
    <t>Function</t>
  </si>
  <si>
    <t>Low</t>
  </si>
  <si>
    <t>High</t>
  </si>
  <si>
    <t>Bk</t>
  </si>
  <si>
    <t>CPA</t>
  </si>
  <si>
    <t>Detail</t>
  </si>
  <si>
    <t>Ref</t>
  </si>
  <si>
    <t>Lvl</t>
  </si>
  <si>
    <t>Rate</t>
  </si>
  <si>
    <t>w6w3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</si>
</sst>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#,##0.0_);[Red]\(#,##0.0\)"/>
    <numFmt numFmtId="166" formatCode="0.0"/>
    <numFmt numFmtId="167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9.35"/>
      <color theme="10"/>
      <name val="Calibri"/>
      <family val="2"/>
    </font>
    <font>
      <u/>
      <sz val="12"/>
      <color theme="10"/>
      <name val="Calibri"/>
      <family val="2"/>
    </font>
    <font>
      <u/>
      <sz val="8"/>
      <color theme="10"/>
      <name val="Calibri"/>
      <family val="2"/>
    </font>
    <font>
      <b/>
      <u/>
      <sz val="2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3" fillId="2" borderId="0" xfId="0" applyFont="1" applyFill="1"/>
    <xf numFmtId="0" fontId="5" fillId="0" borderId="0" xfId="3" applyFont="1" applyAlignment="1" applyProtection="1">
      <alignment horizontal="center"/>
    </xf>
    <xf numFmtId="0" fontId="6" fillId="0" borderId="0" xfId="3" applyFont="1" applyAlignment="1" applyProtection="1">
      <alignment horizontal="center"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4" fontId="2" fillId="0" borderId="0" xfId="0" applyNumberFormat="1" applyFont="1"/>
    <xf numFmtId="0" fontId="0" fillId="3" borderId="0" xfId="0" applyFill="1"/>
    <xf numFmtId="0" fontId="10" fillId="0" borderId="0" xfId="0" applyFont="1"/>
    <xf numFmtId="0" fontId="11" fillId="0" borderId="0" xfId="0" applyFont="1" applyAlignment="1">
      <alignment vertical="top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2" fillId="4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164" fontId="0" fillId="5" borderId="4" xfId="1" applyNumberFormat="1" applyFont="1" applyFill="1" applyBorder="1" applyAlignment="1">
      <alignment horizontal="center"/>
    </xf>
    <xf numFmtId="164" fontId="0" fillId="5" borderId="5" xfId="1" applyNumberFormat="1" applyFont="1" applyFill="1" applyBorder="1" applyAlignment="1">
      <alignment horizontal="center"/>
    </xf>
    <xf numFmtId="164" fontId="0" fillId="5" borderId="6" xfId="0" applyNumberFormat="1" applyFill="1" applyBorder="1"/>
    <xf numFmtId="164" fontId="0" fillId="5" borderId="7" xfId="1" applyNumberFormat="1" applyFont="1" applyFill="1" applyBorder="1" applyAlignment="1">
      <alignment horizontal="center"/>
    </xf>
    <xf numFmtId="164" fontId="0" fillId="5" borderId="8" xfId="1" applyNumberFormat="1" applyFont="1" applyFill="1" applyBorder="1" applyAlignment="1">
      <alignment horizontal="center"/>
    </xf>
    <xf numFmtId="164" fontId="0" fillId="5" borderId="9" xfId="0" applyNumberFormat="1" applyFill="1" applyBorder="1"/>
    <xf numFmtId="164" fontId="0" fillId="5" borderId="10" xfId="0" applyNumberFormat="1" applyFill="1" applyBorder="1"/>
    <xf numFmtId="164" fontId="0" fillId="5" borderId="11" xfId="0" applyNumberFormat="1" applyFill="1" applyBorder="1"/>
    <xf numFmtId="164" fontId="2" fillId="5" borderId="11" xfId="1" applyNumberFormat="1" applyFont="1" applyFill="1" applyBorder="1" applyAlignment="1">
      <alignment horizontal="center"/>
    </xf>
    <xf numFmtId="40" fontId="0" fillId="0" borderId="0" xfId="0" applyNumberFormat="1" applyAlignment="1">
      <alignment horizontal="center"/>
    </xf>
    <xf numFmtId="44" fontId="24" fillId="5" borderId="0" xfId="0" applyNumberFormat="1" applyFont="1" applyFill="1"/>
    <xf numFmtId="0" fontId="25" fillId="0" borderId="0" xfId="0" applyFont="1"/>
    <xf numFmtId="0" fontId="21" fillId="0" borderId="0" xfId="0" applyFont="1" applyAlignment="1">
      <alignment horizontal="left"/>
    </xf>
    <xf numFmtId="10" fontId="26" fillId="3" borderId="0" xfId="2" applyNumberFormat="1" applyFont="1" applyFill="1"/>
    <xf numFmtId="0" fontId="26" fillId="0" borderId="0" xfId="0" applyFont="1"/>
    <xf numFmtId="165" fontId="0" fillId="5" borderId="4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44" fontId="8" fillId="5" borderId="1" xfId="0" applyNumberFormat="1" applyFont="1" applyFill="1" applyBorder="1"/>
    <xf numFmtId="0" fontId="8" fillId="0" borderId="2" xfId="0" applyFont="1" applyBorder="1"/>
    <xf numFmtId="0" fontId="0" fillId="0" borderId="3" xfId="0" applyBorder="1"/>
    <xf numFmtId="165" fontId="0" fillId="5" borderId="7" xfId="0" applyNumberFormat="1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0" fontId="2" fillId="0" borderId="0" xfId="0" applyFont="1" applyAlignment="1">
      <alignment horizontal="left"/>
    </xf>
    <xf numFmtId="165" fontId="2" fillId="5" borderId="7" xfId="0" applyNumberFormat="1" applyFont="1" applyFill="1" applyBorder="1" applyAlignment="1">
      <alignment horizontal="center"/>
    </xf>
    <xf numFmtId="165" fontId="2" fillId="5" borderId="8" xfId="0" applyNumberFormat="1" applyFont="1" applyFill="1" applyBorder="1" applyAlignment="1">
      <alignment horizontal="center"/>
    </xf>
    <xf numFmtId="165" fontId="2" fillId="5" borderId="9" xfId="0" applyNumberFormat="1" applyFont="1" applyFill="1" applyBorder="1" applyAlignment="1">
      <alignment horizontal="center"/>
    </xf>
    <xf numFmtId="38" fontId="0" fillId="5" borderId="7" xfId="0" applyNumberFormat="1" applyFill="1" applyBorder="1" applyAlignment="1">
      <alignment horizontal="center"/>
    </xf>
    <xf numFmtId="38" fontId="0" fillId="5" borderId="8" xfId="0" applyNumberForma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165" fontId="2" fillId="5" borderId="11" xfId="0" applyNumberFormat="1" applyFont="1" applyFill="1" applyBorder="1" applyAlignment="1">
      <alignment horizontal="center"/>
    </xf>
    <xf numFmtId="165" fontId="2" fillId="5" borderId="12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27" fillId="4" borderId="0" xfId="0" applyFont="1" applyFill="1" applyAlignment="1">
      <alignment horizontal="right"/>
    </xf>
    <xf numFmtId="0" fontId="2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3" borderId="8" xfId="0" applyFill="1" applyBorder="1" applyAlignment="1">
      <alignment horizontal="center"/>
    </xf>
    <xf numFmtId="40" fontId="0" fillId="3" borderId="8" xfId="0" applyNumberFormat="1" applyFill="1" applyBorder="1" applyAlignment="1">
      <alignment horizontal="center"/>
    </xf>
    <xf numFmtId="44" fontId="0" fillId="5" borderId="8" xfId="1" applyFont="1" applyFill="1" applyBorder="1" applyAlignment="1">
      <alignment horizontal="center"/>
    </xf>
    <xf numFmtId="0" fontId="11" fillId="0" borderId="0" xfId="0" applyFont="1" applyAlignment="1">
      <alignment horizontal="right" vertical="top"/>
    </xf>
    <xf numFmtId="0" fontId="25" fillId="3" borderId="8" xfId="0" applyFont="1" applyFill="1" applyBorder="1" applyAlignment="1">
      <alignment horizontal="center"/>
    </xf>
    <xf numFmtId="165" fontId="25" fillId="3" borderId="8" xfId="0" applyNumberFormat="1" applyFont="1" applyFill="1" applyBorder="1" applyAlignment="1">
      <alignment horizontal="center"/>
    </xf>
    <xf numFmtId="44" fontId="25" fillId="5" borderId="8" xfId="1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13" fillId="0" borderId="0" xfId="0" applyFont="1" applyAlignment="1">
      <alignment horizontal="right" vertical="top"/>
    </xf>
    <xf numFmtId="165" fontId="0" fillId="3" borderId="8" xfId="0" applyNumberFormat="1" applyFill="1" applyBorder="1" applyAlignment="1">
      <alignment horizontal="center"/>
    </xf>
    <xf numFmtId="0" fontId="12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40" fontId="24" fillId="5" borderId="0" xfId="0" applyNumberFormat="1" applyFont="1" applyFill="1" applyAlignment="1">
      <alignment horizontal="center"/>
    </xf>
    <xf numFmtId="44" fontId="24" fillId="5" borderId="0" xfId="1" applyFont="1" applyFill="1" applyAlignment="1">
      <alignment horizontal="center"/>
    </xf>
    <xf numFmtId="0" fontId="24" fillId="0" borderId="0" xfId="0" applyFont="1"/>
    <xf numFmtId="0" fontId="28" fillId="4" borderId="0" xfId="0" applyFont="1" applyFill="1" applyAlignment="1">
      <alignment horizontal="right"/>
    </xf>
    <xf numFmtId="0" fontId="0" fillId="3" borderId="8" xfId="0" applyFill="1" applyBorder="1"/>
    <xf numFmtId="0" fontId="14" fillId="0" borderId="0" xfId="0" applyFont="1" applyAlignment="1">
      <alignment horizontal="right" vertical="top"/>
    </xf>
    <xf numFmtId="0" fontId="25" fillId="3" borderId="8" xfId="0" applyFont="1" applyFill="1" applyBorder="1"/>
    <xf numFmtId="0" fontId="9" fillId="4" borderId="0" xfId="0" applyFont="1" applyFill="1" applyAlignment="1">
      <alignment horizontal="right"/>
    </xf>
    <xf numFmtId="40" fontId="25" fillId="3" borderId="8" xfId="0" applyNumberFormat="1" applyFont="1" applyFill="1" applyBorder="1" applyAlignment="1">
      <alignment horizontal="center"/>
    </xf>
    <xf numFmtId="0" fontId="16" fillId="0" borderId="0" xfId="0" applyFont="1" applyAlignment="1">
      <alignment horizontal="right" vertical="top"/>
    </xf>
    <xf numFmtId="44" fontId="24" fillId="5" borderId="8" xfId="1" applyFont="1" applyFill="1" applyBorder="1" applyAlignment="1">
      <alignment horizontal="center"/>
    </xf>
    <xf numFmtId="0" fontId="29" fillId="0" borderId="0" xfId="0" applyFont="1"/>
    <xf numFmtId="0" fontId="0" fillId="6" borderId="0" xfId="0" applyFill="1"/>
    <xf numFmtId="0" fontId="30" fillId="0" borderId="0" xfId="0" applyFont="1" applyAlignment="1">
      <alignment horizontal="left" vertical="top"/>
    </xf>
    <xf numFmtId="164" fontId="18" fillId="5" borderId="7" xfId="1" applyNumberFormat="1" applyFont="1" applyFill="1" applyBorder="1" applyAlignment="1">
      <alignment horizontal="center"/>
    </xf>
    <xf numFmtId="164" fontId="18" fillId="5" borderId="8" xfId="1" applyNumberFormat="1" applyFont="1" applyFill="1" applyBorder="1" applyAlignment="1">
      <alignment horizontal="center"/>
    </xf>
    <xf numFmtId="164" fontId="18" fillId="5" borderId="9" xfId="0" applyNumberFormat="1" applyFont="1" applyFill="1" applyBorder="1"/>
    <xf numFmtId="0" fontId="15" fillId="0" borderId="0" xfId="0" applyFont="1"/>
    <xf numFmtId="0" fontId="29" fillId="0" borderId="0" xfId="0" applyFont="1" applyAlignment="1">
      <alignment vertical="top"/>
    </xf>
    <xf numFmtId="0" fontId="0" fillId="2" borderId="0" xfId="0" applyFill="1"/>
    <xf numFmtId="0" fontId="0" fillId="7" borderId="0" xfId="0" applyFill="1"/>
    <xf numFmtId="0" fontId="10" fillId="7" borderId="0" xfId="0" applyFont="1" applyFill="1"/>
    <xf numFmtId="0" fontId="2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4" fontId="2" fillId="7" borderId="0" xfId="1" applyFont="1" applyFill="1" applyAlignment="1">
      <alignment horizontal="center"/>
    </xf>
    <xf numFmtId="0" fontId="15" fillId="0" borderId="0" xfId="0" applyFont="1" applyAlignment="1">
      <alignment horizontal="right" vertical="top"/>
    </xf>
    <xf numFmtId="0" fontId="31" fillId="7" borderId="0" xfId="0" applyFont="1" applyFill="1"/>
    <xf numFmtId="2" fontId="0" fillId="7" borderId="0" xfId="0" applyNumberFormat="1" applyFill="1"/>
    <xf numFmtId="0" fontId="0" fillId="0" borderId="0" xfId="0" applyAlignment="1">
      <alignment horizontal="left" vertical="center"/>
    </xf>
    <xf numFmtId="44" fontId="0" fillId="0" borderId="0" xfId="1" applyFont="1"/>
    <xf numFmtId="44" fontId="2" fillId="0" borderId="0" xfId="0" applyNumberFormat="1" applyFont="1"/>
    <xf numFmtId="0" fontId="0" fillId="0" borderId="0" xfId="0" quotePrefix="1"/>
    <xf numFmtId="0" fontId="0" fillId="9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64" fontId="2" fillId="4" borderId="0" xfId="0" applyNumberFormat="1" applyFont="1" applyFill="1"/>
    <xf numFmtId="0" fontId="32" fillId="0" borderId="0" xfId="0" applyFont="1"/>
    <xf numFmtId="14" fontId="0" fillId="0" borderId="0" xfId="0" applyNumberFormat="1" applyAlignment="1">
      <alignment horizontal="left"/>
    </xf>
    <xf numFmtId="8" fontId="0" fillId="0" borderId="0" xfId="0" applyNumberFormat="1"/>
    <xf numFmtId="0" fontId="2" fillId="0" borderId="0" xfId="0" applyFont="1" applyAlignment="1">
      <alignment horizont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14" fillId="0" borderId="0" xfId="0" applyFont="1"/>
    <xf numFmtId="44" fontId="0" fillId="11" borderId="0" xfId="0" applyNumberFormat="1" applyFill="1"/>
    <xf numFmtId="44" fontId="0" fillId="8" borderId="0" xfId="1" applyFont="1" applyFill="1"/>
    <xf numFmtId="0" fontId="24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8" fontId="0" fillId="0" borderId="0" xfId="0" applyNumberFormat="1" applyAlignment="1">
      <alignment horizontal="center"/>
    </xf>
    <xf numFmtId="0" fontId="0" fillId="4" borderId="0" xfId="0" applyFill="1" applyAlignment="1">
      <alignment vertical="center"/>
    </xf>
    <xf numFmtId="44" fontId="0" fillId="4" borderId="0" xfId="0" applyNumberFormat="1" applyFill="1"/>
    <xf numFmtId="0" fontId="10" fillId="0" borderId="0" xfId="0" applyFont="1" applyAlignment="1">
      <alignment horizontal="center"/>
    </xf>
    <xf numFmtId="0" fontId="4" fillId="0" borderId="0" xfId="3" applyAlignment="1" applyProtection="1"/>
    <xf numFmtId="44" fontId="0" fillId="12" borderId="0" xfId="0" applyNumberFormat="1" applyFill="1"/>
    <xf numFmtId="1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49" fontId="0" fillId="7" borderId="0" xfId="1" applyNumberFormat="1" applyFont="1" applyFill="1"/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1" fontId="2" fillId="5" borderId="13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42" fontId="0" fillId="5" borderId="0" xfId="1" applyNumberFormat="1" applyFont="1" applyFill="1"/>
    <xf numFmtId="42" fontId="0" fillId="5" borderId="0" xfId="1" applyNumberFormat="1" applyFont="1" applyFill="1" applyAlignment="1">
      <alignment horizontal="center" vertical="center"/>
    </xf>
    <xf numFmtId="42" fontId="24" fillId="5" borderId="13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0" borderId="13" xfId="0" applyNumberFormat="1" applyFont="1" applyBorder="1" applyAlignment="1">
      <alignment horizontal="center"/>
    </xf>
    <xf numFmtId="42" fontId="0" fillId="0" borderId="0" xfId="1" applyNumberFormat="1" applyFont="1" applyFill="1"/>
    <xf numFmtId="42" fontId="0" fillId="0" borderId="0" xfId="1" applyNumberFormat="1" applyFont="1" applyFill="1" applyAlignment="1">
      <alignment horizontal="center" vertical="center"/>
    </xf>
    <xf numFmtId="42" fontId="24" fillId="0" borderId="13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/>
    <xf numFmtId="167" fontId="0" fillId="0" borderId="0" xfId="4" applyNumberFormat="1" applyFont="1"/>
    <xf numFmtId="0" fontId="25" fillId="9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Summary!$A$29:$A$30</c:f>
              <c:strCache>
                <c:ptCount val="2"/>
                <c:pt idx="0">
                  <c:v>AMNA Enterprises, LLC</c:v>
                </c:pt>
                <c:pt idx="1">
                  <c:v>Bartells, Adam &amp; Mindy</c:v>
                </c:pt>
              </c:strCache>
            </c:strRef>
          </c:cat>
          <c:val>
            <c:numRef>
              <c:f>Summary!$B$29:$B$30</c:f>
              <c:numCache>
                <c:formatCode>_("$"* #,##0.00_);_("$"* \(#,##0.00\);_("$"* "-"??_);_(@_)</c:formatCode>
                <c:ptCount val="2"/>
                <c:pt idx="0">
                  <c:v>6681.25</c:v>
                </c:pt>
                <c:pt idx="1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4-468A-94A1-82BCEA4E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23727536"/>
        <c:axId val="223724176"/>
        <c:axId val="0"/>
      </c:bar3DChart>
      <c:catAx>
        <c:axId val="22372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24176"/>
        <c:crosses val="autoZero"/>
        <c:auto val="1"/>
        <c:lblAlgn val="ctr"/>
        <c:lblOffset val="100"/>
        <c:noMultiLvlLbl val="0"/>
      </c:catAx>
      <c:valAx>
        <c:axId val="2237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2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45" r="0.45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</a:t>
            </a:r>
            <a:r>
              <a:rPr lang="en-US" baseline="0"/>
              <a:t>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9B-494C-9A28-FD076AACEE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9B-494C-9A28-FD076AACEE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9B-494C-9A28-FD076AACEE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Summary!$A$13:$A$15</c:f>
              <c:strCache>
                <c:ptCount val="3"/>
                <c:pt idx="0">
                  <c:v>IncomeTax</c:v>
                </c:pt>
                <c:pt idx="1">
                  <c:v>Accounting</c:v>
                </c:pt>
                <c:pt idx="2">
                  <c:v>Advisory</c:v>
                </c:pt>
              </c:strCache>
            </c:strRef>
          </c:cat>
          <c:val>
            <c:numRef>
              <c:f>Summary!$B$13:$B$15</c:f>
              <c:numCache>
                <c:formatCode>_("$"* #,##0.00_);_("$"* \(#,##0.00\);_("$"* "-"??_);_(@_)</c:formatCode>
                <c:ptCount val="3"/>
                <c:pt idx="0">
                  <c:v>2156.25</c:v>
                </c:pt>
                <c:pt idx="1">
                  <c:v>2700</c:v>
                </c:pt>
                <c:pt idx="2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6B4-94C8-EF407391CA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-4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264583</xdr:colOff>
      <xdr:row>25</xdr:row>
      <xdr:rowOff>145552</xdr:rowOff>
    </xdr:from>
    <xdr:to>
      <xdr:col>8</xdr:col>
      <xdr:colOff>328084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F4FD2-3A55-CBCF-1169-E7E3ABE65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264583</xdr:colOff>
      <xdr:row>9</xdr:row>
      <xdr:rowOff>4234</xdr:rowOff>
    </xdr:from>
    <xdr:to>
      <xdr:col>5</xdr:col>
      <xdr:colOff>709083</xdr:colOff>
      <xdr:row>23</xdr:row>
      <xdr:rowOff>69851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4F978-DA0A-B31F-17C8-6B70C5C7FCF5}"/>
            </a:ext>
            <a:ext uri="{147F2762-F138-4A5C-976F-8EAC2B608ADB}">
              <a16:predDERef xmlns:a16="http://schemas.microsoft.com/office/drawing/2014/main" pred="{600F4FD2-3A55-CBCF-1169-E7E3ABE65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1600200</xdr:colOff>
      <xdr:row>59</xdr:row>
      <xdr:rowOff>0</xdr:rowOff>
    </xdr:from>
    <xdr:to>
      <xdr:col>11</xdr:col>
      <xdr:colOff>514350</xdr:colOff>
      <xdr:row>85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06D497-80B8-EE98-8F8F-C1C32BA716FD}"/>
            </a:ext>
            <a:ext uri="{147F2762-F138-4A5C-976F-8EAC2B608ADB}">
              <a16:predDERef xmlns:a16="http://schemas.microsoft.com/office/drawing/2014/main" pred="{2564F978-DA0A-B31F-17C8-6B70C5C7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150" y="11363325"/>
          <a:ext cx="5229225" cy="5114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6</xdr:col>
      <xdr:colOff>221013</xdr:colOff>
      <xdr:row>113</xdr:row>
      <xdr:rowOff>115193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6F07FF-0F59-F0EB-4BD7-2F0FA9E0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3083" y="15367000"/>
          <a:ext cx="6306430" cy="6401693"/>
        </a:xfrm>
        <a:prstGeom prst="rect">
          <a:avLst/>
        </a:prstGeom>
      </xdr:spPr>
    </xdr:pic>
    <xdr:clientData/>
  </xdr:twoCellAnchor>
  <xdr:twoCellAnchor editAs="oneCell">
    <xdr:from>
      <xdr:col>7</xdr:col>
      <xdr:colOff>10584</xdr:colOff>
      <xdr:row>79</xdr:row>
      <xdr:rowOff>74083</xdr:rowOff>
    </xdr:from>
    <xdr:to>
      <xdr:col>16</xdr:col>
      <xdr:colOff>578747</xdr:colOff>
      <xdr:row>116</xdr:row>
      <xdr:rowOff>103646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0712B2-E6FF-2381-27F8-694775397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01667" y="15250583"/>
          <a:ext cx="6430272" cy="70780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7</xdr:col>
      <xdr:colOff>420116</xdr:colOff>
      <xdr:row>161</xdr:row>
      <xdr:rowOff>39275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F22093-7DCE-1018-CEC4-4158804C0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33083" y="22415500"/>
          <a:ext cx="7278116" cy="8421275"/>
        </a:xfrm>
        <a:prstGeom prst="rect">
          <a:avLst/>
        </a:prstGeom>
      </xdr:spPr>
    </xdr:pic>
    <xdr:clientData/>
  </xdr:twoCellAnchor>
  <xdr:twoCellAnchor>
    <xdr:from>
      <xdr:col>5</xdr:col>
      <xdr:colOff>512379</xdr:colOff>
      <xdr:row>152</xdr:row>
      <xdr:rowOff>105104</xdr:rowOff>
    </xdr:from>
    <xdr:to>
      <xdr:col>6</xdr:col>
      <xdr:colOff>584638</xdr:colOff>
      <xdr:row>154</xdr:row>
      <xdr:rowOff>6569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34F494F-48EE-E2DF-2FC2-969278768A7B}"/>
            </a:ext>
          </a:extLst>
        </xdr:cNvPr>
        <xdr:cNvSpPr/>
      </xdr:nvSpPr>
      <xdr:spPr>
        <a:xfrm>
          <a:off x="7948448" y="29179345"/>
          <a:ext cx="932793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1682969</xdr:colOff>
      <xdr:row>150</xdr:row>
      <xdr:rowOff>14452</xdr:rowOff>
    </xdr:from>
    <xdr:to>
      <xdr:col>5</xdr:col>
      <xdr:colOff>493986</xdr:colOff>
      <xdr:row>151</xdr:row>
      <xdr:rowOff>106417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6CA2C8B-363B-4553-B0A0-8DA5F4CB3AB1}"/>
            </a:ext>
          </a:extLst>
        </xdr:cNvPr>
        <xdr:cNvSpPr/>
      </xdr:nvSpPr>
      <xdr:spPr>
        <a:xfrm>
          <a:off x="6997262" y="28707693"/>
          <a:ext cx="932793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1618593</xdr:colOff>
      <xdr:row>153</xdr:row>
      <xdr:rowOff>153714</xdr:rowOff>
    </xdr:from>
    <xdr:to>
      <xdr:col>5</xdr:col>
      <xdr:colOff>429610</xdr:colOff>
      <xdr:row>155</xdr:row>
      <xdr:rowOff>55179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AA2710B-6434-4DED-B815-BA89360BBF7A}"/>
            </a:ext>
          </a:extLst>
        </xdr:cNvPr>
        <xdr:cNvSpPr/>
      </xdr:nvSpPr>
      <xdr:spPr>
        <a:xfrm>
          <a:off x="6932886" y="29418455"/>
          <a:ext cx="932793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590550</xdr:colOff>
      <xdr:row>134</xdr:row>
      <xdr:rowOff>0</xdr:rowOff>
    </xdr:from>
    <xdr:to>
      <xdr:col>6</xdr:col>
      <xdr:colOff>668392</xdr:colOff>
      <xdr:row>135</xdr:row>
      <xdr:rowOff>91965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C68BF6C-E13D-4CC5-AC96-A5B62E91F338}"/>
            </a:ext>
            <a:ext uri="{147F2762-F138-4A5C-976F-8EAC2B608ADB}">
              <a16:predDERef xmlns:a16="http://schemas.microsoft.com/office/drawing/2014/main" pred="{6AA2710B-6434-4DED-B815-BA89360BBF7A}"/>
            </a:ext>
          </a:extLst>
        </xdr:cNvPr>
        <xdr:cNvSpPr/>
      </xdr:nvSpPr>
      <xdr:spPr>
        <a:xfrm>
          <a:off x="8029575" y="25650825"/>
          <a:ext cx="935092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123825</xdr:rowOff>
    </xdr:from>
    <xdr:to>
      <xdr:col>14</xdr:col>
      <xdr:colOff>533400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D986F-7FF9-D477-051A-F3C8C90B1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314325"/>
          <a:ext cx="7820025" cy="4581525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1</xdr:row>
      <xdr:rowOff>123825</xdr:rowOff>
    </xdr:from>
    <xdr:to>
      <xdr:col>26</xdr:col>
      <xdr:colOff>38100</xdr:colOff>
      <xdr:row>26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160A55-3D21-FF8C-DA8B-BD7A098ACBDC}"/>
            </a:ext>
            <a:ext uri="{147F2762-F138-4A5C-976F-8EAC2B608ADB}">
              <a16:predDERef xmlns:a16="http://schemas.microsoft.com/office/drawing/2014/main" pred="{5AED986F-7FF9-D477-051A-F3C8C90B1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0" y="314325"/>
          <a:ext cx="6648450" cy="4724400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29</xdr:row>
      <xdr:rowOff>57150</xdr:rowOff>
    </xdr:from>
    <xdr:to>
      <xdr:col>17</xdr:col>
      <xdr:colOff>114300</xdr:colOff>
      <xdr:row>42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AD150F-B4F4-69F5-118D-E82110B48F20}"/>
            </a:ext>
            <a:ext uri="{147F2762-F138-4A5C-976F-8EAC2B608ADB}">
              <a16:predDERef xmlns:a16="http://schemas.microsoft.com/office/drawing/2014/main" pred="{4B160A55-3D21-FF8C-DA8B-BD7A098A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7575" y="5581650"/>
          <a:ext cx="7019925" cy="245745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44</xdr:row>
      <xdr:rowOff>85725</xdr:rowOff>
    </xdr:from>
    <xdr:to>
      <xdr:col>11</xdr:col>
      <xdr:colOff>514350</xdr:colOff>
      <xdr:row>50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E80974-8C4E-AB32-3CAD-5FB562D6480B}"/>
            </a:ext>
            <a:ext uri="{147F2762-F138-4A5C-976F-8EAC2B608ADB}">
              <a16:predDERef xmlns:a16="http://schemas.microsoft.com/office/drawing/2014/main" pred="{9AAD150F-B4F4-69F5-118D-E82110B4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7950" y="8467725"/>
          <a:ext cx="4572000" cy="123825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42</xdr:row>
      <xdr:rowOff>114300</xdr:rowOff>
    </xdr:from>
    <xdr:to>
      <xdr:col>18</xdr:col>
      <xdr:colOff>428625</xdr:colOff>
      <xdr:row>66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6D9FC7-46E1-8D64-15E5-EB196E9BA79F}"/>
            </a:ext>
            <a:ext uri="{147F2762-F138-4A5C-976F-8EAC2B608ADB}">
              <a16:predDERef xmlns:a16="http://schemas.microsoft.com/office/drawing/2014/main" pred="{41E80974-8C4E-AB32-3CAD-5FB562D64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50" y="8115300"/>
          <a:ext cx="4067175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64</xdr:row>
      <xdr:rowOff>133350</xdr:rowOff>
    </xdr:from>
    <xdr:to>
      <xdr:col>16</xdr:col>
      <xdr:colOff>466725</xdr:colOff>
      <xdr:row>90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1818E5-F3BB-50E5-86DB-8E48CDAB74B1}"/>
            </a:ext>
            <a:ext uri="{147F2762-F138-4A5C-976F-8EAC2B608ADB}">
              <a16:predDERef xmlns:a16="http://schemas.microsoft.com/office/drawing/2014/main" pred="{E16D9FC7-46E1-8D64-15E5-EB196E9B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52900" y="12325350"/>
          <a:ext cx="6067425" cy="4924425"/>
        </a:xfrm>
        <a:prstGeom prst="rect">
          <a:avLst/>
        </a:prstGeom>
      </xdr:spPr>
    </xdr:pic>
    <xdr:clientData/>
  </xdr:twoCellAnchor>
  <xdr:twoCellAnchor>
    <xdr:from>
      <xdr:col>12</xdr:col>
      <xdr:colOff>409575</xdr:colOff>
      <xdr:row>18</xdr:row>
      <xdr:rowOff>114300</xdr:rowOff>
    </xdr:from>
    <xdr:to>
      <xdr:col>14</xdr:col>
      <xdr:colOff>125467</xdr:colOff>
      <xdr:row>20</xdr:row>
      <xdr:rowOff>15765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98EBE89-4784-4C20-825C-2A636B5084E1}"/>
            </a:ext>
            <a:ext uri="{147F2762-F138-4A5C-976F-8EAC2B608ADB}">
              <a16:predDERef xmlns:a16="http://schemas.microsoft.com/office/drawing/2014/main" pred="{C81818E5-F3BB-50E5-86DB-8E48CDAB74B1}"/>
            </a:ext>
          </a:extLst>
        </xdr:cNvPr>
        <xdr:cNvSpPr/>
      </xdr:nvSpPr>
      <xdr:spPr>
        <a:xfrm>
          <a:off x="7724775" y="3543300"/>
          <a:ext cx="935092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561975</xdr:colOff>
      <xdr:row>16</xdr:row>
      <xdr:rowOff>171450</xdr:rowOff>
    </xdr:from>
    <xdr:to>
      <xdr:col>25</xdr:col>
      <xdr:colOff>277867</xdr:colOff>
      <xdr:row>18</xdr:row>
      <xdr:rowOff>72915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CDBAD28-8EFB-410B-81CC-0EED84D7480E}"/>
            </a:ext>
            <a:ext uri="{147F2762-F138-4A5C-976F-8EAC2B608ADB}">
              <a16:predDERef xmlns:a16="http://schemas.microsoft.com/office/drawing/2014/main" pred="{398EBE89-4784-4C20-825C-2A636B5084E1}"/>
            </a:ext>
          </a:extLst>
        </xdr:cNvPr>
        <xdr:cNvSpPr/>
      </xdr:nvSpPr>
      <xdr:spPr>
        <a:xfrm>
          <a:off x="14582775" y="3219450"/>
          <a:ext cx="935092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180975</xdr:colOff>
      <xdr:row>89</xdr:row>
      <xdr:rowOff>47625</xdr:rowOff>
    </xdr:from>
    <xdr:to>
      <xdr:col>16</xdr:col>
      <xdr:colOff>342900</xdr:colOff>
      <xdr:row>90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DE555B-B032-4710-ACBA-C00369ACD84B}"/>
            </a:ext>
            <a:ext uri="{147F2762-F138-4A5C-976F-8EAC2B608ADB}">
              <a16:predDERef xmlns:a16="http://schemas.microsoft.com/office/drawing/2014/main" pred="{5CDBAD28-8EFB-410B-81CC-0EED84D7480E}"/>
            </a:ext>
          </a:extLst>
        </xdr:cNvPr>
        <xdr:cNvSpPr/>
      </xdr:nvSpPr>
      <xdr:spPr>
        <a:xfrm>
          <a:off x="4448175" y="17002125"/>
          <a:ext cx="5648325" cy="285750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123825</xdr:colOff>
      <xdr:row>34</xdr:row>
      <xdr:rowOff>19050</xdr:rowOff>
    </xdr:from>
    <xdr:to>
      <xdr:col>16</xdr:col>
      <xdr:colOff>449317</xdr:colOff>
      <xdr:row>35</xdr:row>
      <xdr:rowOff>111015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73A8B30-64C3-4444-8263-511CDC9A4155}"/>
            </a:ext>
            <a:ext uri="{147F2762-F138-4A5C-976F-8EAC2B608ADB}">
              <a16:predDERef xmlns:a16="http://schemas.microsoft.com/office/drawing/2014/main" pred="{92DE555B-B032-4710-ACBA-C00369ACD84B}"/>
            </a:ext>
          </a:extLst>
        </xdr:cNvPr>
        <xdr:cNvSpPr/>
      </xdr:nvSpPr>
      <xdr:spPr>
        <a:xfrm>
          <a:off x="9267825" y="6496050"/>
          <a:ext cx="935092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142875</xdr:colOff>
      <xdr:row>7</xdr:row>
      <xdr:rowOff>66675</xdr:rowOff>
    </xdr:from>
    <xdr:to>
      <xdr:col>6</xdr:col>
      <xdr:colOff>468367</xdr:colOff>
      <xdr:row>8</xdr:row>
      <xdr:rowOff>158640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C8C6E3-8FE0-411A-AE25-0CD722F5F106}"/>
            </a:ext>
            <a:ext uri="{147F2762-F138-4A5C-976F-8EAC2B608ADB}">
              <a16:predDERef xmlns:a16="http://schemas.microsoft.com/office/drawing/2014/main" pred="{573A8B30-64C3-4444-8263-511CDC9A4155}"/>
            </a:ext>
          </a:extLst>
        </xdr:cNvPr>
        <xdr:cNvSpPr/>
      </xdr:nvSpPr>
      <xdr:spPr>
        <a:xfrm>
          <a:off x="3190875" y="1400175"/>
          <a:ext cx="935092" cy="282465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DCB-80DF-43B0-AB20-F87BC086564C}">
  <dimension ref="A1"/>
  <sheetViews>
    <sheetView workbookViewId="0">
      <selection activeCell="B9" sqref="B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7F72-B59E-4AA1-B1A0-1EB03DFC887B}">
  <sheetPr codeName="shSummary1">
    <pageSetUpPr fitToPage="1"/>
  </sheetPr>
  <dimension ref="A1:M168"/>
  <sheetViews>
    <sheetView tabSelected="1" zoomScaleNormal="100" workbookViewId="0">
      <selection activeCell="C5" sqref="C5"/>
    </sheetView>
  </sheetViews>
  <sheetFormatPr defaultRowHeight="15" x14ac:dyDescent="0.25"/>
  <cols>
    <col min="1" max="1" width="33.42578125" customWidth="1"/>
    <col min="2" max="2" width="16.42578125" bestFit="1" customWidth="1"/>
    <col min="3" max="3" width="16.42578125" customWidth="1"/>
    <col min="4" max="4" width="13.42578125" customWidth="1"/>
    <col min="5" max="5" width="31.85546875" bestFit="1" customWidth="1"/>
    <col min="6" max="6" width="12.85546875" bestFit="1" customWidth="1"/>
    <col min="7" max="7" width="11.5703125" bestFit="1" customWidth="1"/>
    <col min="11" max="11" width="11" customWidth="1"/>
    <col min="12" max="12" width="12.28515625" bestFit="1" customWidth="1"/>
  </cols>
  <sheetData>
    <row r="1" spans="1:5" ht="23.25" x14ac:dyDescent="0.35">
      <c r="A1" s="117" t="str">
        <f>settings!B1&amp;" "&amp;"Proposal"</f>
        <v>Bartells, Adam Proposal</v>
      </c>
    </row>
    <row r="2" spans="1:5" x14ac:dyDescent="0.25">
      <c r="A2" s="118">
        <v>45778</v>
      </c>
    </row>
    <row r="3" spans="1:5" x14ac:dyDescent="0.25">
      <c r="A3" s="118"/>
    </row>
    <row r="4" spans="1:5" x14ac:dyDescent="0.25">
      <c r="A4" s="10" t="s">
        <v>0</v>
      </c>
      <c r="B4" s="120" t="s">
        <v>1</v>
      </c>
      <c r="C4" s="131" t="s">
        <v>2</v>
      </c>
      <c r="D4" s="131" t="s">
        <v>3</v>
      </c>
      <c r="E4" s="10" t="s">
        <v>4</v>
      </c>
    </row>
    <row r="5" spans="1:5" x14ac:dyDescent="0.25">
      <c r="A5" t="s">
        <v>5</v>
      </c>
      <c r="B5" s="116">
        <f>Detail!O11</f>
        <v>7556.25</v>
      </c>
      <c r="C5" s="130">
        <f>$B$5/12</f>
        <v>629.6875</v>
      </c>
      <c r="D5" s="130">
        <f>$B$5/4</f>
        <v>1889.0625</v>
      </c>
      <c r="E5" s="132" t="s">
        <v>6</v>
      </c>
    </row>
    <row r="6" spans="1:5" x14ac:dyDescent="0.25">
      <c r="A6" t="s">
        <v>7</v>
      </c>
    </row>
    <row r="7" spans="1:5" x14ac:dyDescent="0.25">
      <c r="A7" s="68" t="s">
        <v>8</v>
      </c>
      <c r="B7" s="151">
        <v>0</v>
      </c>
    </row>
    <row r="8" spans="1:5" x14ac:dyDescent="0.25">
      <c r="A8" s="68"/>
      <c r="B8" s="116">
        <f>B5-(B5*B7)</f>
        <v>7556.25</v>
      </c>
      <c r="C8" s="130">
        <f>$B$8/12</f>
        <v>629.6875</v>
      </c>
      <c r="D8" s="130">
        <f>$B$8/4</f>
        <v>1889.0625</v>
      </c>
    </row>
    <row r="9" spans="1:5" x14ac:dyDescent="0.25">
      <c r="A9" s="68"/>
    </row>
    <row r="11" spans="1:5" ht="15.75" x14ac:dyDescent="0.25">
      <c r="A11" s="126" t="s">
        <v>9</v>
      </c>
    </row>
    <row r="12" spans="1:5" x14ac:dyDescent="0.25">
      <c r="A12" s="10" t="s">
        <v>10</v>
      </c>
      <c r="B12" s="114" t="s">
        <v>11</v>
      </c>
    </row>
    <row r="13" spans="1:5" x14ac:dyDescent="0.25">
      <c r="A13" t="s">
        <v>12</v>
      </c>
      <c r="B13" s="110">
        <f>SUMIF(Detail!Q:Q,Summary!A13,Detail!O:O)</f>
        <v>2156.25</v>
      </c>
    </row>
    <row r="14" spans="1:5" x14ac:dyDescent="0.25">
      <c r="A14" t="s">
        <v>13</v>
      </c>
      <c r="B14" s="110">
        <f>SUMIF(Detail!Q:Q,Summary!A14,Detail!O:O)</f>
        <v>2700</v>
      </c>
    </row>
    <row r="15" spans="1:5" x14ac:dyDescent="0.25">
      <c r="A15" t="s">
        <v>14</v>
      </c>
      <c r="B15" s="110">
        <f>SUMIF(Detail!Q:Q,Summary!A15,Detail!O:O)</f>
        <v>2700</v>
      </c>
    </row>
    <row r="16" spans="1:5" x14ac:dyDescent="0.25">
      <c r="A16" s="14"/>
      <c r="B16" s="111">
        <f>SUM(B13:B15)</f>
        <v>7556.25</v>
      </c>
    </row>
    <row r="17" spans="1:3" x14ac:dyDescent="0.25">
      <c r="A17" s="14"/>
      <c r="B17" s="110"/>
    </row>
    <row r="18" spans="1:3" ht="15" customHeight="1" x14ac:dyDescent="0.25">
      <c r="B18" s="111"/>
    </row>
    <row r="19" spans="1:3" ht="15" customHeight="1" x14ac:dyDescent="0.25">
      <c r="B19" s="110"/>
    </row>
    <row r="20" spans="1:3" ht="15" customHeight="1" x14ac:dyDescent="0.25">
      <c r="B20" s="110"/>
    </row>
    <row r="22" spans="1:3" x14ac:dyDescent="0.25">
      <c r="C22" s="120"/>
    </row>
    <row r="23" spans="1:3" x14ac:dyDescent="0.25">
      <c r="C23" s="110"/>
    </row>
    <row r="24" spans="1:3" x14ac:dyDescent="0.25">
      <c r="C24" s="110"/>
    </row>
    <row r="25" spans="1:3" x14ac:dyDescent="0.25">
      <c r="C25" s="110"/>
    </row>
    <row r="27" spans="1:3" ht="15.75" x14ac:dyDescent="0.25">
      <c r="A27" s="126" t="s">
        <v>15</v>
      </c>
    </row>
    <row r="28" spans="1:3" x14ac:dyDescent="0.25">
      <c r="A28" s="10" t="s">
        <v>10</v>
      </c>
      <c r="B28" s="114" t="s">
        <v>11</v>
      </c>
    </row>
    <row r="29" spans="1:3" x14ac:dyDescent="0.25">
      <c r="A29" t="s">
        <v>16</v>
      </c>
      <c r="B29" s="110">
        <f>SUMIF(Detail!A:A,Summary!A29,Detail!O:O)</f>
        <v>6681.25</v>
      </c>
    </row>
    <row r="30" spans="1:3" x14ac:dyDescent="0.25">
      <c r="A30" t="s">
        <v>17</v>
      </c>
      <c r="B30" s="110">
        <f>SUMIF(Detail!A:A,Summary!A30,Detail!O:O)</f>
        <v>875</v>
      </c>
    </row>
    <row r="31" spans="1:3" x14ac:dyDescent="0.25">
      <c r="B31" s="111">
        <f>SUM(B29:B30)</f>
        <v>7556.25</v>
      </c>
    </row>
    <row r="36" spans="3:4" x14ac:dyDescent="0.25">
      <c r="C36" s="110"/>
    </row>
    <row r="37" spans="3:4" x14ac:dyDescent="0.25">
      <c r="C37" s="110"/>
    </row>
    <row r="38" spans="3:4" x14ac:dyDescent="0.25">
      <c r="C38" s="110"/>
    </row>
    <row r="39" spans="3:4" x14ac:dyDescent="0.25">
      <c r="C39" s="110"/>
      <c r="D39" s="110"/>
    </row>
    <row r="40" spans="3:4" x14ac:dyDescent="0.25">
      <c r="C40" s="110"/>
      <c r="D40" s="110"/>
    </row>
    <row r="41" spans="3:4" x14ac:dyDescent="0.25">
      <c r="C41" s="110"/>
      <c r="D41" s="110"/>
    </row>
    <row r="42" spans="3:4" x14ac:dyDescent="0.25">
      <c r="C42" s="110"/>
      <c r="D42" s="110"/>
    </row>
    <row r="43" spans="3:4" x14ac:dyDescent="0.25">
      <c r="C43" s="110"/>
      <c r="D43" s="110"/>
    </row>
    <row r="44" spans="3:4" x14ac:dyDescent="0.25">
      <c r="C44" s="110"/>
      <c r="D44" s="110"/>
    </row>
    <row r="45" spans="3:4" x14ac:dyDescent="0.25">
      <c r="C45" s="110"/>
      <c r="D45" s="110"/>
    </row>
    <row r="46" spans="3:4" x14ac:dyDescent="0.25">
      <c r="C46" s="111"/>
      <c r="D46" s="111"/>
    </row>
    <row r="58" spans="11:13" x14ac:dyDescent="0.25">
      <c r="K58" t="s">
        <v>18</v>
      </c>
      <c r="L58" s="152">
        <v>17165</v>
      </c>
    </row>
    <row r="59" spans="11:13" x14ac:dyDescent="0.25">
      <c r="K59" s="68" t="s">
        <v>19</v>
      </c>
      <c r="L59" s="152">
        <v>-17165</v>
      </c>
      <c r="M59" t="s">
        <v>20</v>
      </c>
    </row>
    <row r="60" spans="11:13" x14ac:dyDescent="0.25">
      <c r="L60" s="152">
        <f>SUM(L58:L59)</f>
        <v>0</v>
      </c>
    </row>
    <row r="135" spans="10:10" x14ac:dyDescent="0.25">
      <c r="J135">
        <v>14000</v>
      </c>
    </row>
    <row r="136" spans="10:10" x14ac:dyDescent="0.25">
      <c r="J136">
        <f>+J135*0.18</f>
        <v>2520</v>
      </c>
    </row>
    <row r="165" spans="1:2" x14ac:dyDescent="0.25">
      <c r="A165" s="112" t="s">
        <v>21</v>
      </c>
    </row>
    <row r="166" spans="1:2" x14ac:dyDescent="0.25">
      <c r="A166" s="112" t="s">
        <v>22</v>
      </c>
      <c r="B166" s="112" t="s">
        <v>23</v>
      </c>
    </row>
    <row r="167" spans="1:2" x14ac:dyDescent="0.25">
      <c r="A167" s="112" t="s">
        <v>24</v>
      </c>
      <c r="B167" s="112" t="s">
        <v>25</v>
      </c>
    </row>
    <row r="168" spans="1:2" x14ac:dyDescent="0.25">
      <c r="A168" s="112" t="s">
        <v>26</v>
      </c>
      <c r="B168" s="112" t="s">
        <v>27</v>
      </c>
    </row>
  </sheetData>
  <sortState xmlns:xlrd2="http://schemas.microsoft.com/office/spreadsheetml/2017/richdata2" ref="I10:I11">
    <sortCondition ref="I10:I11"/>
  </sortState>
  <hyperlinks>
    <hyperlink ref="E5" location="Detail!A1" display="Click HERE for detail" xr:uid="{1EB832A4-2EF9-4D23-A7D3-56D523155FDB}"/>
  </hyperlinks>
  <pageMargins left="0.45" right="0.45" top="0.75" bottom="0.75" header="0.3" footer="0.3"/>
  <pageSetup scale="7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74A6-ABCA-426C-A8A8-CA75FE6C1777}">
  <dimension ref="A5:Z70"/>
  <sheetViews>
    <sheetView workbookViewId="0">
      <selection activeCell="U42" sqref="U42"/>
    </sheetView>
  </sheetViews>
  <sheetFormatPr defaultRowHeight="15" x14ac:dyDescent="0.25"/>
  <sheetData>
    <row r="5" spans="1:1" x14ac:dyDescent="0.25">
      <c r="A5" s="112" t="s">
        <v>28</v>
      </c>
    </row>
    <row r="30" spans="1:1" x14ac:dyDescent="0.25">
      <c r="A30" s="112" t="s">
        <v>29</v>
      </c>
    </row>
    <row r="35" spans="1:19" x14ac:dyDescent="0.25">
      <c r="S35" t="s">
        <v>30</v>
      </c>
    </row>
    <row r="37" spans="1:19" x14ac:dyDescent="0.25">
      <c r="A37" t="s">
        <v>31</v>
      </c>
    </row>
    <row r="45" spans="1:19" x14ac:dyDescent="0.25">
      <c r="A45" s="112" t="s">
        <v>32</v>
      </c>
    </row>
    <row r="60" spans="26:26" x14ac:dyDescent="0.25">
      <c r="Z60">
        <f>44668.83-5640</f>
        <v>39028.83</v>
      </c>
    </row>
    <row r="70" spans="1:1" x14ac:dyDescent="0.25">
      <c r="A70" s="112" t="s">
        <v>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AB55-608A-4AE4-B976-B7CC0D553E01}">
  <sheetPr codeName="shDetail">
    <pageSetUpPr fitToPage="1"/>
  </sheetPr>
  <dimension ref="A1:R17"/>
  <sheetViews>
    <sheetView zoomScaleNormal="100" workbookViewId="0">
      <selection activeCell="D11" sqref="D11"/>
    </sheetView>
  </sheetViews>
  <sheetFormatPr defaultRowHeight="15" x14ac:dyDescent="0.25"/>
  <cols>
    <col min="1" max="1" width="24" customWidth="1"/>
    <col min="2" max="2" width="21.7109375" customWidth="1"/>
    <col min="3" max="3" width="8" customWidth="1"/>
    <col min="4" max="4" width="8.28515625" customWidth="1"/>
    <col min="5" max="5" width="9.42578125" customWidth="1"/>
    <col min="6" max="6" width="10.85546875" bestFit="1" customWidth="1"/>
    <col min="7" max="7" width="8.85546875" bestFit="1" customWidth="1"/>
    <col min="8" max="8" width="5.5703125" bestFit="1" customWidth="1"/>
    <col min="9" max="9" width="3" customWidth="1"/>
    <col min="10" max="10" width="6.5703125" customWidth="1"/>
    <col min="11" max="11" width="5.5703125" bestFit="1" customWidth="1"/>
    <col min="12" max="12" width="6" bestFit="1" customWidth="1"/>
    <col min="13" max="14" width="9.85546875" bestFit="1" customWidth="1"/>
    <col min="15" max="15" width="9.85546875" customWidth="1"/>
    <col min="16" max="16" width="52.140625" customWidth="1"/>
    <col min="17" max="17" width="10.85546875" bestFit="1" customWidth="1"/>
    <col min="18" max="18" width="11.7109375" bestFit="1" customWidth="1"/>
  </cols>
  <sheetData>
    <row r="1" spans="1:18" ht="23.25" x14ac:dyDescent="0.35">
      <c r="A1" t="str">
        <f>Summary!A1</f>
        <v>Bartells, Adam Proposal</v>
      </c>
      <c r="B1" s="117"/>
    </row>
    <row r="2" spans="1:18" x14ac:dyDescent="0.25">
      <c r="A2" s="118">
        <f>Summary!A2</f>
        <v>45778</v>
      </c>
      <c r="B2" s="118"/>
      <c r="R2" s="119"/>
    </row>
    <row r="3" spans="1:18" x14ac:dyDescent="0.25">
      <c r="A3" s="118"/>
      <c r="B3" s="118"/>
      <c r="C3" s="127">
        <f>VLOOKUP(C4,settings!$E:$F,2,FALSE)</f>
        <v>12</v>
      </c>
      <c r="E3" s="127">
        <f>VLOOKUP(E4,settings!$E:$F,2,FALSE)</f>
        <v>4</v>
      </c>
      <c r="G3" s="127">
        <f>VLOOKUP(G4,settings!$E:$F,2,FALSE)</f>
        <v>1</v>
      </c>
      <c r="H3" s="127"/>
      <c r="J3" s="80"/>
      <c r="K3" s="80"/>
      <c r="L3" s="80"/>
      <c r="R3" s="119"/>
    </row>
    <row r="4" spans="1:18" ht="15.75" x14ac:dyDescent="0.25">
      <c r="A4" s="118"/>
      <c r="B4" s="118"/>
      <c r="C4" s="113" t="s">
        <v>34</v>
      </c>
      <c r="D4" s="113"/>
      <c r="E4" s="113" t="s">
        <v>35</v>
      </c>
      <c r="F4" s="113"/>
      <c r="G4" s="113" t="s">
        <v>36</v>
      </c>
      <c r="H4" s="113"/>
      <c r="J4" s="153" t="s">
        <v>37</v>
      </c>
      <c r="K4" s="153"/>
      <c r="L4" s="153"/>
      <c r="M4" s="153"/>
      <c r="N4" s="153"/>
      <c r="O4" s="141"/>
      <c r="R4" s="119"/>
    </row>
    <row r="5" spans="1:18" x14ac:dyDescent="0.25">
      <c r="A5" s="10" t="s">
        <v>38</v>
      </c>
      <c r="B5" s="10" t="s">
        <v>39</v>
      </c>
      <c r="C5" s="114" t="s">
        <v>40</v>
      </c>
      <c r="D5" s="115" t="s">
        <v>41</v>
      </c>
      <c r="E5" s="114" t="s">
        <v>40</v>
      </c>
      <c r="F5" s="115" t="s">
        <v>41</v>
      </c>
      <c r="G5" s="114" t="s">
        <v>40</v>
      </c>
      <c r="H5" s="115" t="s">
        <v>41</v>
      </c>
      <c r="J5" s="114" t="s">
        <v>40</v>
      </c>
      <c r="K5" s="115" t="s">
        <v>41</v>
      </c>
      <c r="L5" s="120" t="s">
        <v>42</v>
      </c>
      <c r="M5" s="114" t="s">
        <v>40</v>
      </c>
      <c r="N5" s="115" t="s">
        <v>41</v>
      </c>
      <c r="O5" s="120" t="s">
        <v>42</v>
      </c>
      <c r="P5" s="10" t="s">
        <v>4</v>
      </c>
      <c r="Q5" s="10" t="s">
        <v>39</v>
      </c>
      <c r="R5" s="10" t="s">
        <v>43</v>
      </c>
    </row>
    <row r="6" spans="1:18" x14ac:dyDescent="0.25">
      <c r="A6" t="str">
        <f>settings!B2</f>
        <v>AMNA Enterprises, LLC</v>
      </c>
      <c r="B6" s="14" t="s">
        <v>44</v>
      </c>
      <c r="C6" s="110"/>
      <c r="D6" s="110"/>
      <c r="G6" s="135">
        <v>3</v>
      </c>
      <c r="H6" s="134">
        <f>ROUNDUP(G6*settings!$O$2,0)</f>
        <v>4</v>
      </c>
      <c r="J6" s="139">
        <f>G6*$G$3</f>
        <v>3</v>
      </c>
      <c r="K6" s="139">
        <f>H6*$G$3</f>
        <v>4</v>
      </c>
      <c r="L6" s="145">
        <f>AVERAGE(J6,K6)</f>
        <v>3.5</v>
      </c>
      <c r="M6" s="142">
        <f>settings!$K$13*G6</f>
        <v>750</v>
      </c>
      <c r="N6" s="142">
        <f>settings!$K$13*H6</f>
        <v>1000</v>
      </c>
      <c r="O6" s="147">
        <f>AVERAGE(M6,N6)</f>
        <v>875</v>
      </c>
      <c r="P6" t="s">
        <v>45</v>
      </c>
      <c r="Q6" s="121" t="s">
        <v>12</v>
      </c>
      <c r="R6" s="121" t="s">
        <v>46</v>
      </c>
    </row>
    <row r="7" spans="1:18" x14ac:dyDescent="0.25">
      <c r="A7" t="str">
        <f>A6</f>
        <v>AMNA Enterprises, LLC</v>
      </c>
      <c r="B7" s="14" t="s">
        <v>47</v>
      </c>
      <c r="C7" s="110"/>
      <c r="D7" s="110"/>
      <c r="G7" s="135">
        <v>1.25</v>
      </c>
      <c r="H7" s="134">
        <f>ROUNDUP(G7*settings!$O$2,0)</f>
        <v>2</v>
      </c>
      <c r="J7" s="139">
        <f t="shared" ref="J7:J8" si="0">G7*$G$3</f>
        <v>1.25</v>
      </c>
      <c r="K7" s="139">
        <f t="shared" ref="K7:K8" si="1">H7*$G$3</f>
        <v>2</v>
      </c>
      <c r="L7" s="145">
        <f t="shared" ref="L7:L10" si="2">AVERAGE(J7,K7)</f>
        <v>1.625</v>
      </c>
      <c r="M7" s="142">
        <f>settings!$K$13*G7</f>
        <v>312.5</v>
      </c>
      <c r="N7" s="142">
        <f>settings!$K$13*H7</f>
        <v>500</v>
      </c>
      <c r="O7" s="147">
        <f t="shared" ref="O7:O10" si="3">AVERAGE(M7,N7)</f>
        <v>406.25</v>
      </c>
      <c r="P7" t="s">
        <v>48</v>
      </c>
      <c r="Q7" s="121" t="s">
        <v>12</v>
      </c>
      <c r="R7" s="121" t="s">
        <v>49</v>
      </c>
    </row>
    <row r="8" spans="1:18" x14ac:dyDescent="0.25">
      <c r="A8" t="s">
        <v>17</v>
      </c>
      <c r="B8" s="14" t="s">
        <v>50</v>
      </c>
      <c r="C8" s="110"/>
      <c r="D8" s="110"/>
      <c r="G8" s="135">
        <v>3</v>
      </c>
      <c r="H8" s="134">
        <f>ROUNDUP(G8*settings!$O$2,0)</f>
        <v>4</v>
      </c>
      <c r="J8" s="139">
        <f t="shared" si="0"/>
        <v>3</v>
      </c>
      <c r="K8" s="139">
        <f t="shared" si="1"/>
        <v>4</v>
      </c>
      <c r="L8" s="145">
        <f t="shared" si="2"/>
        <v>3.5</v>
      </c>
      <c r="M8" s="142">
        <f>settings!$K$13*G8</f>
        <v>750</v>
      </c>
      <c r="N8" s="142">
        <f>settings!$K$13*H8</f>
        <v>1000</v>
      </c>
      <c r="O8" s="147">
        <f t="shared" si="3"/>
        <v>875</v>
      </c>
      <c r="P8" t="s">
        <v>51</v>
      </c>
      <c r="Q8" s="121" t="s">
        <v>12</v>
      </c>
      <c r="R8" s="121" t="s">
        <v>46</v>
      </c>
    </row>
    <row r="9" spans="1:18" x14ac:dyDescent="0.25">
      <c r="A9" s="150" t="str">
        <f>A7</f>
        <v>AMNA Enterprises, LLC</v>
      </c>
      <c r="B9" s="109" t="s">
        <v>13</v>
      </c>
      <c r="C9" s="122">
        <v>1</v>
      </c>
      <c r="D9" s="134">
        <f>ROUNDUP(C9*settings!$O$2,0)</f>
        <v>2</v>
      </c>
      <c r="E9" s="122"/>
      <c r="G9" s="122"/>
      <c r="H9" s="122"/>
      <c r="J9" s="139">
        <f>C9*$C$3</f>
        <v>12</v>
      </c>
      <c r="K9" s="139">
        <f>D9*$C$3</f>
        <v>24</v>
      </c>
      <c r="L9" s="145">
        <f t="shared" si="2"/>
        <v>18</v>
      </c>
      <c r="M9" s="143">
        <f>(settings!$K$9*C9)*$C$3</f>
        <v>1800</v>
      </c>
      <c r="N9" s="143">
        <f>(settings!$K$9*D9)*$C$3</f>
        <v>3600</v>
      </c>
      <c r="O9" s="148">
        <f t="shared" si="3"/>
        <v>2700</v>
      </c>
      <c r="P9" s="154" t="s">
        <v>52</v>
      </c>
      <c r="Q9" s="129" t="s">
        <v>13</v>
      </c>
      <c r="R9" s="128"/>
    </row>
    <row r="10" spans="1:18" x14ac:dyDescent="0.25">
      <c r="A10" t="str">
        <f>A7</f>
        <v>AMNA Enterprises, LLC</v>
      </c>
      <c r="B10" s="109" t="s">
        <v>53</v>
      </c>
      <c r="C10" s="122">
        <v>1</v>
      </c>
      <c r="D10" s="134">
        <f>ROUNDUP(C10*settings!$O$2,0)</f>
        <v>2</v>
      </c>
      <c r="E10" s="122"/>
      <c r="G10" s="122"/>
      <c r="H10" s="122"/>
      <c r="J10" s="139">
        <f>C10*$C$3</f>
        <v>12</v>
      </c>
      <c r="K10" s="139">
        <f>D10*$C$3</f>
        <v>24</v>
      </c>
      <c r="L10" s="145">
        <f t="shared" si="2"/>
        <v>18</v>
      </c>
      <c r="M10" s="143">
        <f>(settings!$K$9*C10)*$C$3</f>
        <v>1800</v>
      </c>
      <c r="N10" s="143">
        <f>(settings!$K$9*D10)*$C$3</f>
        <v>3600</v>
      </c>
      <c r="O10" s="147">
        <f t="shared" si="3"/>
        <v>2700</v>
      </c>
      <c r="P10" s="154"/>
      <c r="Q10" s="129" t="s">
        <v>14</v>
      </c>
      <c r="R10" s="128"/>
    </row>
    <row r="11" spans="1:18" ht="16.5" thickBot="1" x14ac:dyDescent="0.3">
      <c r="A11" s="14"/>
      <c r="B11" s="14" t="s">
        <v>54</v>
      </c>
      <c r="C11" s="137">
        <f t="shared" ref="C11:H11" si="4">SUM(C6:C10)</f>
        <v>2</v>
      </c>
      <c r="D11" s="137">
        <f t="shared" si="4"/>
        <v>4</v>
      </c>
      <c r="E11" s="137">
        <f t="shared" si="4"/>
        <v>0</v>
      </c>
      <c r="F11" s="137">
        <f t="shared" si="4"/>
        <v>0</v>
      </c>
      <c r="G11" s="138">
        <f t="shared" si="4"/>
        <v>7.25</v>
      </c>
      <c r="H11" s="137">
        <f t="shared" si="4"/>
        <v>10</v>
      </c>
      <c r="J11" s="140">
        <f t="shared" ref="J11:O11" si="5">SUM(J6:J10)</f>
        <v>31.25</v>
      </c>
      <c r="K11" s="140">
        <f t="shared" si="5"/>
        <v>58</v>
      </c>
      <c r="L11" s="146">
        <f t="shared" si="5"/>
        <v>44.625</v>
      </c>
      <c r="M11" s="144">
        <f t="shared" si="5"/>
        <v>5412.5</v>
      </c>
      <c r="N11" s="144">
        <f t="shared" si="5"/>
        <v>9700</v>
      </c>
      <c r="O11" s="149">
        <f t="shared" si="5"/>
        <v>7556.25</v>
      </c>
      <c r="R11" s="119"/>
    </row>
    <row r="12" spans="1:18" ht="15.75" thickTop="1" x14ac:dyDescent="0.25">
      <c r="R12" s="119"/>
    </row>
    <row r="13" spans="1:18" x14ac:dyDescent="0.25">
      <c r="A13" s="136" t="s">
        <v>55</v>
      </c>
      <c r="B13" s="101"/>
      <c r="C13" s="101"/>
    </row>
    <row r="17" spans="7:7" x14ac:dyDescent="0.25">
      <c r="G17" s="132"/>
    </row>
  </sheetData>
  <sortState xmlns:xlrd2="http://schemas.microsoft.com/office/spreadsheetml/2017/richdata2" ref="P13">
    <sortCondition ref="P13"/>
  </sortState>
  <mergeCells count="2">
    <mergeCell ref="J4:N4"/>
    <mergeCell ref="P9:P10"/>
  </mergeCells>
  <pageMargins left="0.45" right="0.45" top="0.75" bottom="0.75" header="0.3" footer="0.3"/>
  <pageSetup scale="65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Old"/>
  <dimension ref="A1:R86"/>
  <sheetViews>
    <sheetView showGridLines="0" zoomScaleNormal="100" workbookViewId="0">
      <selection activeCell="J10" sqref="J10"/>
    </sheetView>
  </sheetViews>
  <sheetFormatPr defaultRowHeight="15" x14ac:dyDescent="0.25"/>
  <cols>
    <col min="1" max="1" width="20.7109375" customWidth="1"/>
    <col min="2" max="2" width="14.28515625" customWidth="1"/>
    <col min="3" max="3" width="10" customWidth="1"/>
    <col min="4" max="4" width="30.28515625" bestFit="1" customWidth="1"/>
    <col min="5" max="5" width="16.42578125" bestFit="1" customWidth="1"/>
    <col min="6" max="6" width="16.85546875" customWidth="1"/>
    <col min="7" max="7" width="21.7109375" customWidth="1"/>
    <col min="8" max="8" width="29.85546875" customWidth="1"/>
    <col min="9" max="9" width="18.7109375" customWidth="1"/>
    <col min="10" max="11" width="19.7109375" customWidth="1"/>
    <col min="12" max="12" width="14.5703125" customWidth="1"/>
    <col min="13" max="13" width="17.140625" style="101" customWidth="1"/>
    <col min="14" max="14" width="13.28515625" style="101" customWidth="1"/>
    <col min="15" max="15" width="26.42578125" style="101" customWidth="1"/>
    <col min="16" max="16" width="17.7109375" style="101" customWidth="1"/>
    <col min="17" max="17" width="10.28515625" style="101" customWidth="1"/>
    <col min="18" max="18" width="11.85546875" style="101" customWidth="1"/>
    <col min="19" max="19" width="11" customWidth="1"/>
    <col min="20" max="20" width="11.5703125" customWidth="1"/>
    <col min="21" max="21" width="17.140625" customWidth="1"/>
    <col min="22" max="22" width="14.5703125" customWidth="1"/>
    <col min="23" max="23" width="13.85546875" bestFit="1" customWidth="1"/>
    <col min="24" max="24" width="14.140625" bestFit="1" customWidth="1"/>
    <col min="25" max="25" width="13.5703125" customWidth="1"/>
    <col min="26" max="26" width="10.7109375" customWidth="1"/>
  </cols>
  <sheetData>
    <row r="1" spans="1:14" ht="26.25" x14ac:dyDescent="0.4">
      <c r="A1" s="1" t="s">
        <v>56</v>
      </c>
      <c r="B1" s="1"/>
      <c r="C1" s="100"/>
      <c r="E1" s="2"/>
      <c r="F1" s="3"/>
      <c r="G1" s="3"/>
      <c r="H1" s="92"/>
      <c r="J1" t="s">
        <v>57</v>
      </c>
      <c r="K1">
        <v>1</v>
      </c>
      <c r="L1">
        <v>65</v>
      </c>
      <c r="M1" s="107" t="s">
        <v>58</v>
      </c>
    </row>
    <row r="2" spans="1:14" x14ac:dyDescent="0.25">
      <c r="A2" s="4"/>
      <c r="H2" s="92"/>
      <c r="J2" t="s">
        <v>57</v>
      </c>
      <c r="K2">
        <v>2</v>
      </c>
      <c r="L2">
        <v>165</v>
      </c>
    </row>
    <row r="3" spans="1:14" ht="28.5" x14ac:dyDescent="0.45">
      <c r="A3" s="5" t="s">
        <v>59</v>
      </c>
      <c r="F3" s="6"/>
      <c r="H3" s="92"/>
      <c r="I3" s="4"/>
      <c r="J3" t="s">
        <v>57</v>
      </c>
      <c r="K3">
        <v>3</v>
      </c>
      <c r="L3">
        <v>121</v>
      </c>
    </row>
    <row r="4" spans="1:14" ht="18.75" x14ac:dyDescent="0.3">
      <c r="A4" s="7" t="s">
        <v>60</v>
      </c>
      <c r="B4" s="8"/>
      <c r="C4" s="7" t="s">
        <v>61</v>
      </c>
      <c r="D4" s="7"/>
      <c r="F4" s="7" t="s">
        <v>62</v>
      </c>
      <c r="H4" s="92"/>
      <c r="J4" t="s">
        <v>63</v>
      </c>
      <c r="K4">
        <v>1</v>
      </c>
      <c r="L4">
        <v>135</v>
      </c>
    </row>
    <row r="5" spans="1:14" x14ac:dyDescent="0.25">
      <c r="A5" s="9" t="s">
        <v>56</v>
      </c>
      <c r="C5" s="9" t="s">
        <v>56</v>
      </c>
      <c r="F5" t="s">
        <v>64</v>
      </c>
      <c r="H5" s="92"/>
      <c r="J5" t="s">
        <v>65</v>
      </c>
      <c r="K5">
        <v>2</v>
      </c>
      <c r="L5">
        <v>121</v>
      </c>
    </row>
    <row r="6" spans="1:14" x14ac:dyDescent="0.25">
      <c r="F6" s="9" t="s">
        <v>56</v>
      </c>
      <c r="G6" s="9"/>
      <c r="H6" s="92"/>
      <c r="J6" t="s">
        <v>63</v>
      </c>
      <c r="K6">
        <v>3</v>
      </c>
      <c r="L6">
        <v>135</v>
      </c>
    </row>
    <row r="7" spans="1:14" ht="28.5" x14ac:dyDescent="0.45">
      <c r="A7" s="5" t="s">
        <v>66</v>
      </c>
      <c r="H7" s="92"/>
    </row>
    <row r="8" spans="1:14" ht="18.75" x14ac:dyDescent="0.3">
      <c r="A8" s="7" t="s">
        <v>67</v>
      </c>
      <c r="B8" s="10" t="s">
        <v>68</v>
      </c>
      <c r="C8" s="10" t="s">
        <v>69</v>
      </c>
      <c r="F8" s="112" t="s">
        <v>70</v>
      </c>
      <c r="G8" t="s">
        <v>71</v>
      </c>
      <c r="H8" s="92"/>
      <c r="L8" s="14"/>
    </row>
    <row r="9" spans="1:14" x14ac:dyDescent="0.25">
      <c r="A9" s="11" t="s">
        <v>72</v>
      </c>
      <c r="B9" s="12" t="s">
        <v>73</v>
      </c>
      <c r="C9" s="9" t="s">
        <v>56</v>
      </c>
      <c r="D9" s="13"/>
      <c r="E9" s="13"/>
      <c r="F9" s="13"/>
      <c r="G9" s="13" t="s">
        <v>74</v>
      </c>
      <c r="H9" s="99"/>
      <c r="L9" s="10"/>
      <c r="M9" s="108"/>
      <c r="N9" s="108"/>
    </row>
    <row r="10" spans="1:14" x14ac:dyDescent="0.25">
      <c r="A10" s="15" t="s">
        <v>75</v>
      </c>
      <c r="B10" s="12" t="s">
        <v>73</v>
      </c>
      <c r="C10" s="9" t="s">
        <v>56</v>
      </c>
      <c r="D10" s="13"/>
      <c r="E10" s="13"/>
      <c r="F10" s="13"/>
      <c r="G10" s="13" t="s">
        <v>76</v>
      </c>
      <c r="H10" s="13"/>
      <c r="L10" s="14"/>
    </row>
    <row r="11" spans="1:14" x14ac:dyDescent="0.25">
      <c r="A11" s="16" t="s">
        <v>77</v>
      </c>
      <c r="B11" s="12" t="s">
        <v>78</v>
      </c>
      <c r="C11" s="9" t="s">
        <v>79</v>
      </c>
      <c r="D11" s="13"/>
      <c r="E11" s="13"/>
      <c r="F11" s="13"/>
      <c r="G11" s="13"/>
      <c r="H11" s="13"/>
    </row>
    <row r="12" spans="1:14" x14ac:dyDescent="0.25">
      <c r="A12" s="17" t="s">
        <v>80</v>
      </c>
      <c r="B12" s="12" t="s">
        <v>73</v>
      </c>
      <c r="C12" s="9" t="s">
        <v>56</v>
      </c>
      <c r="D12" s="13"/>
      <c r="E12" s="13"/>
      <c r="F12" s="13"/>
      <c r="G12" s="13"/>
      <c r="H12" s="13"/>
    </row>
    <row r="13" spans="1:14" x14ac:dyDescent="0.25">
      <c r="A13" s="18" t="s">
        <v>81</v>
      </c>
      <c r="B13" s="12" t="s">
        <v>56</v>
      </c>
      <c r="C13" s="9" t="s">
        <v>56</v>
      </c>
      <c r="D13" s="19"/>
      <c r="E13" s="19"/>
      <c r="F13" s="19"/>
      <c r="G13" s="19"/>
      <c r="H13" s="19"/>
    </row>
    <row r="14" spans="1:14" x14ac:dyDescent="0.25">
      <c r="A14" s="20" t="s">
        <v>82</v>
      </c>
      <c r="B14" s="12" t="s">
        <v>78</v>
      </c>
      <c r="C14" s="9" t="s">
        <v>79</v>
      </c>
      <c r="D14" s="19"/>
      <c r="E14" s="19"/>
      <c r="F14" s="19"/>
      <c r="G14" s="19"/>
      <c r="H14" s="19"/>
    </row>
    <row r="15" spans="1:14" x14ac:dyDescent="0.25">
      <c r="A15" s="21" t="s">
        <v>83</v>
      </c>
      <c r="B15" s="12" t="s">
        <v>78</v>
      </c>
      <c r="C15" s="9" t="s">
        <v>79</v>
      </c>
      <c r="D15" s="19"/>
      <c r="E15" s="19"/>
      <c r="F15" s="19"/>
      <c r="G15" s="19"/>
      <c r="H15" s="19"/>
    </row>
    <row r="16" spans="1:14" x14ac:dyDescent="0.25">
      <c r="A16" s="22" t="s">
        <v>56</v>
      </c>
      <c r="B16" s="12"/>
      <c r="C16" s="9"/>
      <c r="D16" s="19"/>
      <c r="E16" s="19"/>
      <c r="F16" s="19"/>
      <c r="G16" s="19"/>
      <c r="H16" s="19"/>
    </row>
    <row r="17" spans="1:18" x14ac:dyDescent="0.25">
      <c r="A17" s="19"/>
      <c r="B17" s="19"/>
      <c r="C17" s="19"/>
      <c r="D17" s="19"/>
      <c r="E17" s="19"/>
      <c r="F17" s="19"/>
      <c r="G17" s="19"/>
      <c r="H17" s="19"/>
      <c r="I17" s="109"/>
    </row>
    <row r="18" spans="1:18" x14ac:dyDescent="0.25">
      <c r="D18" s="23"/>
    </row>
    <row r="19" spans="1:18" ht="27" thickBot="1" x14ac:dyDescent="0.45">
      <c r="A19" s="24" t="s">
        <v>84</v>
      </c>
      <c r="N19" s="102"/>
    </row>
    <row r="20" spans="1:18" ht="19.5" thickBot="1" x14ac:dyDescent="0.35">
      <c r="A20" s="25" t="s">
        <v>85</v>
      </c>
      <c r="B20" s="26" t="s">
        <v>86</v>
      </c>
      <c r="C20" s="27" t="s">
        <v>87</v>
      </c>
      <c r="D20" s="27" t="s">
        <v>88</v>
      </c>
      <c r="E20" s="27" t="s">
        <v>89</v>
      </c>
      <c r="F20" s="27" t="s">
        <v>90</v>
      </c>
      <c r="G20" s="27" t="s">
        <v>91</v>
      </c>
      <c r="H20" s="28" t="s">
        <v>92</v>
      </c>
      <c r="O20" s="103" t="s">
        <v>93</v>
      </c>
      <c r="P20" s="103" t="s">
        <v>94</v>
      </c>
      <c r="Q20" s="103" t="s">
        <v>88</v>
      </c>
    </row>
    <row r="21" spans="1:18" x14ac:dyDescent="0.25">
      <c r="A21" s="11" t="s">
        <v>72</v>
      </c>
      <c r="B21" s="30">
        <f t="shared" ref="B21:B28" si="0">SUMIF($B$46:$B$57,A21,$G$46:$G$57)</f>
        <v>1120</v>
      </c>
      <c r="C21" s="31">
        <f t="shared" ref="C21:C28" si="1">SUMIF($B$59:$B$65,A21,$G$59:$G$65)</f>
        <v>0</v>
      </c>
      <c r="D21" s="31">
        <f t="shared" ref="D21:D28" si="2">SUMIF($B$67:$B$77,A21,$G$67:$G$77)</f>
        <v>0</v>
      </c>
      <c r="E21" s="31">
        <f t="shared" ref="E21:G27" si="3">+B21*O21</f>
        <v>13440</v>
      </c>
      <c r="F21" s="31">
        <f t="shared" si="3"/>
        <v>0</v>
      </c>
      <c r="G21" s="31">
        <f t="shared" si="3"/>
        <v>0</v>
      </c>
      <c r="H21" s="32">
        <f t="shared" ref="H21:H28" si="4">SUM(E21:G21)</f>
        <v>13440</v>
      </c>
      <c r="O21" s="104">
        <v>12</v>
      </c>
      <c r="P21" s="104">
        <v>4</v>
      </c>
      <c r="Q21" s="104">
        <v>1</v>
      </c>
    </row>
    <row r="22" spans="1:18" x14ac:dyDescent="0.25">
      <c r="A22" s="15" t="s">
        <v>75</v>
      </c>
      <c r="B22" s="33">
        <f t="shared" si="0"/>
        <v>0</v>
      </c>
      <c r="C22" s="34">
        <f t="shared" si="1"/>
        <v>218.5</v>
      </c>
      <c r="D22" s="34">
        <f t="shared" si="2"/>
        <v>0</v>
      </c>
      <c r="E22" s="34">
        <f t="shared" si="3"/>
        <v>0</v>
      </c>
      <c r="F22" s="34">
        <f t="shared" si="3"/>
        <v>874</v>
      </c>
      <c r="G22" s="34">
        <f t="shared" si="3"/>
        <v>0</v>
      </c>
      <c r="H22" s="35">
        <f t="shared" si="4"/>
        <v>874</v>
      </c>
      <c r="O22" s="104">
        <v>12</v>
      </c>
      <c r="P22" s="104">
        <v>4</v>
      </c>
      <c r="Q22" s="104">
        <v>1</v>
      </c>
    </row>
    <row r="23" spans="1:18" x14ac:dyDescent="0.25">
      <c r="A23" s="16" t="s">
        <v>77</v>
      </c>
      <c r="B23" s="33">
        <f t="shared" si="0"/>
        <v>247.5</v>
      </c>
      <c r="C23" s="34">
        <f t="shared" si="1"/>
        <v>0</v>
      </c>
      <c r="D23" s="34">
        <f t="shared" si="2"/>
        <v>0</v>
      </c>
      <c r="E23" s="34">
        <f t="shared" si="3"/>
        <v>2970</v>
      </c>
      <c r="F23" s="34">
        <f t="shared" si="3"/>
        <v>0</v>
      </c>
      <c r="G23" s="34">
        <f t="shared" si="3"/>
        <v>0</v>
      </c>
      <c r="H23" s="35">
        <f t="shared" si="4"/>
        <v>2970</v>
      </c>
      <c r="O23" s="104">
        <v>12</v>
      </c>
      <c r="P23" s="104">
        <v>4</v>
      </c>
      <c r="Q23" s="104">
        <v>1</v>
      </c>
    </row>
    <row r="24" spans="1:18" x14ac:dyDescent="0.25">
      <c r="A24" s="17" t="s">
        <v>80</v>
      </c>
      <c r="B24" s="33">
        <f t="shared" si="0"/>
        <v>0</v>
      </c>
      <c r="C24" s="34">
        <f t="shared" si="1"/>
        <v>363</v>
      </c>
      <c r="D24" s="34">
        <f t="shared" si="2"/>
        <v>1266</v>
      </c>
      <c r="E24" s="34">
        <f t="shared" si="3"/>
        <v>0</v>
      </c>
      <c r="F24" s="34">
        <f t="shared" si="3"/>
        <v>1452</v>
      </c>
      <c r="G24" s="34">
        <f t="shared" si="3"/>
        <v>1266</v>
      </c>
      <c r="H24" s="35">
        <f t="shared" si="4"/>
        <v>2718</v>
      </c>
      <c r="O24" s="104">
        <v>12</v>
      </c>
      <c r="P24" s="104">
        <v>4</v>
      </c>
      <c r="Q24" s="104">
        <v>1</v>
      </c>
    </row>
    <row r="25" spans="1:18" x14ac:dyDescent="0.25">
      <c r="A25" s="18" t="s">
        <v>81</v>
      </c>
      <c r="B25" s="33">
        <f t="shared" si="0"/>
        <v>495</v>
      </c>
      <c r="C25" s="34">
        <f t="shared" si="1"/>
        <v>0</v>
      </c>
      <c r="D25" s="34">
        <f t="shared" si="2"/>
        <v>0</v>
      </c>
      <c r="E25" s="34">
        <f t="shared" si="3"/>
        <v>5940</v>
      </c>
      <c r="F25" s="34">
        <f t="shared" si="3"/>
        <v>0</v>
      </c>
      <c r="G25" s="34">
        <f t="shared" si="3"/>
        <v>0</v>
      </c>
      <c r="H25" s="35">
        <f t="shared" si="4"/>
        <v>5940</v>
      </c>
      <c r="O25" s="104">
        <v>12</v>
      </c>
      <c r="P25" s="104">
        <v>4</v>
      </c>
      <c r="Q25" s="104">
        <v>1</v>
      </c>
    </row>
    <row r="26" spans="1:18" x14ac:dyDescent="0.25">
      <c r="A26" s="20" t="s">
        <v>82</v>
      </c>
      <c r="B26" s="33">
        <f t="shared" si="0"/>
        <v>0</v>
      </c>
      <c r="C26" s="34">
        <f t="shared" si="1"/>
        <v>0</v>
      </c>
      <c r="D26" s="34">
        <f t="shared" si="2"/>
        <v>0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5">
        <f t="shared" si="4"/>
        <v>0</v>
      </c>
      <c r="O26" s="104">
        <v>12</v>
      </c>
      <c r="P26" s="104">
        <v>4</v>
      </c>
      <c r="Q26" s="104">
        <v>1</v>
      </c>
    </row>
    <row r="27" spans="1:18" x14ac:dyDescent="0.25">
      <c r="A27" s="21" t="s">
        <v>83</v>
      </c>
      <c r="B27" s="33">
        <f t="shared" si="0"/>
        <v>0</v>
      </c>
      <c r="C27" s="34">
        <f t="shared" si="1"/>
        <v>0</v>
      </c>
      <c r="D27" s="34">
        <f t="shared" si="2"/>
        <v>0</v>
      </c>
      <c r="E27" s="34">
        <f t="shared" si="3"/>
        <v>0</v>
      </c>
      <c r="F27" s="34">
        <f t="shared" si="3"/>
        <v>0</v>
      </c>
      <c r="G27" s="34">
        <f t="shared" si="3"/>
        <v>0</v>
      </c>
      <c r="H27" s="35">
        <f t="shared" si="4"/>
        <v>0</v>
      </c>
      <c r="O27" s="104">
        <v>12</v>
      </c>
      <c r="P27" s="104">
        <v>4</v>
      </c>
      <c r="Q27" s="104">
        <v>1</v>
      </c>
    </row>
    <row r="28" spans="1:18" x14ac:dyDescent="0.25">
      <c r="A28" s="94" t="s">
        <v>95</v>
      </c>
      <c r="B28" s="95">
        <f t="shared" si="0"/>
        <v>0</v>
      </c>
      <c r="C28" s="96">
        <f t="shared" si="1"/>
        <v>0</v>
      </c>
      <c r="D28" s="96">
        <f t="shared" si="2"/>
        <v>0</v>
      </c>
      <c r="E28" s="96">
        <f>+B28*O28</f>
        <v>0</v>
      </c>
      <c r="F28" s="96">
        <f>+C28*P28</f>
        <v>0</v>
      </c>
      <c r="G28" s="96">
        <f>20*150</f>
        <v>3000</v>
      </c>
      <c r="H28" s="97">
        <f t="shared" si="4"/>
        <v>3000</v>
      </c>
      <c r="I28" s="98" t="s">
        <v>96</v>
      </c>
      <c r="O28" s="104"/>
      <c r="P28" s="104"/>
      <c r="Q28" s="104"/>
    </row>
    <row r="29" spans="1:18" ht="15.75" thickBot="1" x14ac:dyDescent="0.3">
      <c r="A29" s="4" t="s">
        <v>97</v>
      </c>
      <c r="B29" s="36"/>
      <c r="C29" s="37"/>
      <c r="D29" s="37"/>
      <c r="E29" s="38">
        <f>SUM(E21:E27)</f>
        <v>22350</v>
      </c>
      <c r="F29" s="38">
        <f>SUM(F21:F27)</f>
        <v>2326</v>
      </c>
      <c r="G29" s="38">
        <f>SUM(G21:G28)</f>
        <v>4266</v>
      </c>
      <c r="H29" s="38">
        <f>SUM(H21:H28)</f>
        <v>28942</v>
      </c>
      <c r="I29" t="s">
        <v>98</v>
      </c>
      <c r="O29" s="105"/>
    </row>
    <row r="30" spans="1:18" ht="15.75" x14ac:dyDescent="0.25">
      <c r="B30" s="39"/>
      <c r="C30" s="39"/>
      <c r="D30" s="39"/>
      <c r="H30" s="40">
        <f>+H29/12</f>
        <v>2411.8333333333335</v>
      </c>
      <c r="I30" s="41" t="s">
        <v>99</v>
      </c>
    </row>
    <row r="31" spans="1:18" ht="16.5" thickBot="1" x14ac:dyDescent="0.3">
      <c r="B31" s="39"/>
      <c r="C31" s="39"/>
      <c r="D31" s="39"/>
      <c r="H31" s="40">
        <f>(-150*20)/12</f>
        <v>-250</v>
      </c>
      <c r="I31" s="98" t="s">
        <v>100</v>
      </c>
      <c r="J31" s="41"/>
      <c r="K31" s="41"/>
    </row>
    <row r="32" spans="1:18" ht="19.5" thickBot="1" x14ac:dyDescent="0.35">
      <c r="A32" s="42" t="s">
        <v>101</v>
      </c>
      <c r="B32" s="26" t="s">
        <v>86</v>
      </c>
      <c r="C32" s="27" t="s">
        <v>87</v>
      </c>
      <c r="D32" s="27" t="s">
        <v>88</v>
      </c>
      <c r="E32" s="28" t="s">
        <v>102</v>
      </c>
      <c r="H32" s="43">
        <f>+M32*-0.05</f>
        <v>-0.15000000000000002</v>
      </c>
      <c r="I32" s="44" t="s">
        <v>103</v>
      </c>
      <c r="J32" s="41"/>
      <c r="K32" s="41"/>
      <c r="M32" s="93">
        <v>3</v>
      </c>
      <c r="N32" s="93" t="s">
        <v>104</v>
      </c>
      <c r="O32" s="93"/>
      <c r="P32" s="93"/>
      <c r="Q32" s="93"/>
      <c r="R32" s="93"/>
    </row>
    <row r="33" spans="1:14" ht="19.5" thickBot="1" x14ac:dyDescent="0.35">
      <c r="A33" t="s">
        <v>57</v>
      </c>
      <c r="B33" s="45">
        <f>SUMIF($C$46:$C$79,A33,$D$46:$D$79)</f>
        <v>10.5</v>
      </c>
      <c r="C33" s="46">
        <f>SUMIF($C$46:$C$79,A33,$E$46:$E$79)</f>
        <v>0</v>
      </c>
      <c r="D33" s="46">
        <f>SUMIF($C$46:$C$79,A33,$F$46:$F$79)</f>
        <v>0</v>
      </c>
      <c r="E33" s="47">
        <f>SUM(B33:D33)</f>
        <v>10.5</v>
      </c>
      <c r="H33" s="48">
        <f>(H30+H31)*(1+H32)</f>
        <v>1837.5583333333334</v>
      </c>
      <c r="I33" s="49" t="s">
        <v>105</v>
      </c>
      <c r="J33" s="50"/>
    </row>
    <row r="34" spans="1:14" x14ac:dyDescent="0.25">
      <c r="A34" t="s">
        <v>65</v>
      </c>
      <c r="B34" s="51">
        <f>SUMIF($C$46:$C$79,A34,$D$46:$D$79)</f>
        <v>0</v>
      </c>
      <c r="C34" s="52">
        <f>SUMIF($C$46:$C$79,A34,$E$46:$E$79)</f>
        <v>4</v>
      </c>
      <c r="D34" s="52">
        <f>SUMIF($C$46:$C$79,A34,$F$46:$F$79)</f>
        <v>6</v>
      </c>
      <c r="E34" s="53">
        <f>SUM(B34:D34)</f>
        <v>10</v>
      </c>
    </row>
    <row r="35" spans="1:14" x14ac:dyDescent="0.25">
      <c r="A35" t="s">
        <v>63</v>
      </c>
      <c r="B35" s="51">
        <f>SUMIF($C$46:$C$79,A35,$D$46:$D$79)</f>
        <v>0</v>
      </c>
      <c r="C35" s="52">
        <f>SUMIF($C$46:$C$79,A35,$E$46:$E$79)</f>
        <v>0</v>
      </c>
      <c r="D35" s="52">
        <f>SUMIF($C$46:$C$79,A35,$F$46:$F$79)</f>
        <v>4</v>
      </c>
      <c r="E35" s="53">
        <f>SUM(B35:D35)</f>
        <v>4</v>
      </c>
    </row>
    <row r="36" spans="1:14" x14ac:dyDescent="0.25">
      <c r="A36" s="54" t="s">
        <v>106</v>
      </c>
      <c r="B36" s="55">
        <f>SUM(B33:B35)</f>
        <v>10.5</v>
      </c>
      <c r="C36" s="56">
        <f>SUM(C33:C35)</f>
        <v>4</v>
      </c>
      <c r="D36" s="56">
        <f>SUM(D33:D35)</f>
        <v>10</v>
      </c>
      <c r="E36" s="57">
        <f>SUM(E33:E35)</f>
        <v>24.5</v>
      </c>
    </row>
    <row r="37" spans="1:14" x14ac:dyDescent="0.25">
      <c r="A37" s="14" t="s">
        <v>107</v>
      </c>
      <c r="B37" s="58">
        <v>12</v>
      </c>
      <c r="C37" s="59">
        <v>4</v>
      </c>
      <c r="D37" s="59">
        <v>1</v>
      </c>
      <c r="E37" s="53"/>
    </row>
    <row r="38" spans="1:14" x14ac:dyDescent="0.25">
      <c r="A38" t="s">
        <v>57</v>
      </c>
      <c r="B38" s="51">
        <f>+B33*B37</f>
        <v>126</v>
      </c>
      <c r="C38" s="52">
        <f>+C33*C37</f>
        <v>0</v>
      </c>
      <c r="D38" s="52">
        <f>+D33*D37</f>
        <v>0</v>
      </c>
      <c r="E38" s="53">
        <f>SUM(B38:D38)</f>
        <v>126</v>
      </c>
    </row>
    <row r="39" spans="1:14" x14ac:dyDescent="0.25">
      <c r="A39" t="s">
        <v>65</v>
      </c>
      <c r="B39" s="51">
        <f>+B34*B37</f>
        <v>0</v>
      </c>
      <c r="C39" s="52">
        <f>+C34*C37</f>
        <v>16</v>
      </c>
      <c r="D39" s="52">
        <f>+D34*D37</f>
        <v>6</v>
      </c>
      <c r="E39" s="53">
        <f>SUM(B39:D39)</f>
        <v>22</v>
      </c>
    </row>
    <row r="40" spans="1:14" x14ac:dyDescent="0.25">
      <c r="A40" t="s">
        <v>63</v>
      </c>
      <c r="B40" s="51">
        <f>+B35*B37</f>
        <v>0</v>
      </c>
      <c r="C40" s="52">
        <f>+C35*C37</f>
        <v>0</v>
      </c>
      <c r="D40" s="52">
        <f>+D35*D37</f>
        <v>4</v>
      </c>
      <c r="E40" s="53">
        <f>SUM(B40:D40)</f>
        <v>4</v>
      </c>
    </row>
    <row r="41" spans="1:14" ht="15.75" thickBot="1" x14ac:dyDescent="0.3">
      <c r="A41" s="4" t="s">
        <v>108</v>
      </c>
      <c r="B41" s="60">
        <f>+B36*B37</f>
        <v>126</v>
      </c>
      <c r="C41" s="61">
        <f>+C36*C37</f>
        <v>16</v>
      </c>
      <c r="D41" s="61">
        <f>+D36*D37</f>
        <v>10</v>
      </c>
      <c r="E41" s="62">
        <f>SUM(B41:D41)</f>
        <v>152</v>
      </c>
    </row>
    <row r="43" spans="1:14" ht="15.75" thickBot="1" x14ac:dyDescent="0.3"/>
    <row r="44" spans="1:14" ht="24" thickBot="1" x14ac:dyDescent="0.4">
      <c r="A44" s="10"/>
      <c r="B44" s="63" t="s">
        <v>109</v>
      </c>
      <c r="C44" s="64"/>
      <c r="D44" s="64"/>
      <c r="E44" s="64"/>
      <c r="F44" s="64"/>
      <c r="G44" s="64"/>
      <c r="H44" s="64"/>
      <c r="I44" s="65"/>
      <c r="M44" s="101" t="s">
        <v>110</v>
      </c>
    </row>
    <row r="45" spans="1:14" ht="18.75" x14ac:dyDescent="0.3">
      <c r="B45" s="66" t="s">
        <v>111</v>
      </c>
      <c r="C45" s="29" t="s">
        <v>112</v>
      </c>
      <c r="D45" s="29" t="s">
        <v>86</v>
      </c>
      <c r="E45" s="29" t="s">
        <v>113</v>
      </c>
      <c r="F45" s="29" t="s">
        <v>88</v>
      </c>
      <c r="G45" s="29" t="s">
        <v>97</v>
      </c>
      <c r="H45" s="67" t="s">
        <v>114</v>
      </c>
      <c r="I45" s="67"/>
      <c r="M45" s="102" t="s">
        <v>115</v>
      </c>
      <c r="N45" s="102" t="s">
        <v>116</v>
      </c>
    </row>
    <row r="46" spans="1:14" x14ac:dyDescent="0.25">
      <c r="B46" s="68"/>
      <c r="C46" s="69"/>
      <c r="D46" s="70"/>
      <c r="E46" s="70"/>
      <c r="F46" s="70"/>
      <c r="G46" s="71"/>
    </row>
    <row r="47" spans="1:14" ht="15.75" x14ac:dyDescent="0.25">
      <c r="B47" s="72" t="s">
        <v>72</v>
      </c>
      <c r="C47" s="73" t="s">
        <v>57</v>
      </c>
      <c r="D47" s="74">
        <v>6</v>
      </c>
      <c r="E47" s="70"/>
      <c r="F47" s="70"/>
      <c r="G47" s="75">
        <f>IF(C47="BK",$L$2*D47,IF(C47="BK2",$L$1*D47,IF(C47="CPA1",$L$3*D47,IF(C47="CPA2",$L$4*D47))))</f>
        <v>990</v>
      </c>
      <c r="H47" s="76" t="s">
        <v>117</v>
      </c>
      <c r="M47" s="101" t="s">
        <v>118</v>
      </c>
      <c r="N47" s="101" t="s">
        <v>119</v>
      </c>
    </row>
    <row r="48" spans="1:14" ht="15.75" x14ac:dyDescent="0.25">
      <c r="B48" s="72" t="s">
        <v>72</v>
      </c>
      <c r="C48" s="73" t="s">
        <v>120</v>
      </c>
      <c r="D48" s="74">
        <v>2</v>
      </c>
      <c r="E48" s="70"/>
      <c r="F48" s="70"/>
      <c r="G48" s="75">
        <f>IF(C48="BK",$L$2*D48,IF(C48="BK2",$L$1*D48,IF(C48="CPA1",$L$3*D48,IF(C48="CPA2",$L$4*D48))))</f>
        <v>130</v>
      </c>
      <c r="H48" s="76" t="s">
        <v>121</v>
      </c>
      <c r="M48" s="101" t="s">
        <v>118</v>
      </c>
      <c r="N48" s="101" t="s">
        <v>122</v>
      </c>
    </row>
    <row r="49" spans="2:14" ht="15.75" x14ac:dyDescent="0.25">
      <c r="B49" s="77" t="s">
        <v>77</v>
      </c>
      <c r="C49" s="73" t="s">
        <v>57</v>
      </c>
      <c r="D49" s="74">
        <v>1.5</v>
      </c>
      <c r="E49" s="70"/>
      <c r="F49" s="70"/>
      <c r="G49" s="75">
        <f>IF(C49="BK",$L$2*D49,IF(C49="BK2",$L$1*D49,IF(C49="CPA1",$L$3*D49,IF(C49="CPA2",$L$4*D49))))</f>
        <v>247.5</v>
      </c>
      <c r="H49" s="76"/>
      <c r="M49" s="101" t="s">
        <v>123</v>
      </c>
      <c r="N49" s="101" t="s">
        <v>124</v>
      </c>
    </row>
    <row r="50" spans="2:14" ht="15.75" x14ac:dyDescent="0.25">
      <c r="B50" s="106" t="s">
        <v>81</v>
      </c>
      <c r="C50" s="73" t="s">
        <v>57</v>
      </c>
      <c r="D50" s="74">
        <v>2</v>
      </c>
      <c r="E50" s="70"/>
      <c r="F50" s="70"/>
      <c r="G50" s="75">
        <f>IF(C50="BK",$L$2*D50,IF(C50="BK2",$L$1*D50,IF(C50="CPA1",$L$3*D50,IF(C50="CPA2",$L$4*D50))))</f>
        <v>330</v>
      </c>
      <c r="H50" s="76"/>
      <c r="M50" s="101" t="s">
        <v>125</v>
      </c>
      <c r="N50" s="101" t="s">
        <v>119</v>
      </c>
    </row>
    <row r="51" spans="2:14" ht="15.75" x14ac:dyDescent="0.25">
      <c r="B51" s="106" t="s">
        <v>81</v>
      </c>
      <c r="C51" s="73" t="s">
        <v>57</v>
      </c>
      <c r="D51" s="74">
        <v>1</v>
      </c>
      <c r="E51" s="70"/>
      <c r="F51" s="70"/>
      <c r="G51" s="75">
        <f>IF(C51="BK",$L$2*D51,IF(C51="BK2",$L$1*D51,IF(C51="CPA1",$L$3*D51,IF(C51="CPA2",$L$4*D51))))</f>
        <v>165</v>
      </c>
      <c r="H51" s="76"/>
      <c r="M51" s="101" t="s">
        <v>125</v>
      </c>
      <c r="N51" s="101" t="s">
        <v>126</v>
      </c>
    </row>
    <row r="52" spans="2:14" ht="15.75" x14ac:dyDescent="0.25">
      <c r="B52" s="77"/>
      <c r="C52" s="69"/>
      <c r="D52" s="78"/>
      <c r="E52" s="70"/>
      <c r="F52" s="70"/>
      <c r="G52" s="75"/>
      <c r="H52" s="41"/>
    </row>
    <row r="53" spans="2:14" ht="15.75" x14ac:dyDescent="0.25">
      <c r="B53" s="68"/>
      <c r="C53" s="69"/>
      <c r="D53" s="78"/>
      <c r="E53" s="70"/>
      <c r="F53" s="70"/>
      <c r="G53" s="75"/>
      <c r="H53" s="41"/>
    </row>
    <row r="54" spans="2:14" ht="15.75" x14ac:dyDescent="0.25">
      <c r="B54" s="79"/>
      <c r="C54" s="73"/>
      <c r="D54" s="74"/>
      <c r="E54" s="70"/>
      <c r="F54" s="70"/>
      <c r="G54" s="75"/>
      <c r="H54" s="41"/>
    </row>
    <row r="55" spans="2:14" ht="15.75" x14ac:dyDescent="0.25">
      <c r="B55" s="68"/>
      <c r="C55" s="69"/>
      <c r="D55" s="70"/>
      <c r="E55" s="70"/>
      <c r="F55" s="70"/>
      <c r="G55" s="71"/>
      <c r="H55" s="41"/>
    </row>
    <row r="56" spans="2:14" ht="15.75" x14ac:dyDescent="0.25">
      <c r="B56" s="68"/>
      <c r="C56" s="69"/>
      <c r="D56" s="70"/>
      <c r="E56" s="70"/>
      <c r="F56" s="70"/>
      <c r="G56" s="71"/>
      <c r="H56" s="41"/>
    </row>
    <row r="57" spans="2:14" ht="15.75" x14ac:dyDescent="0.25">
      <c r="B57" s="68"/>
      <c r="C57" s="80"/>
      <c r="D57" s="81">
        <f>SUM(D46:D56)</f>
        <v>12.5</v>
      </c>
      <c r="E57" s="81">
        <f>SUM(E45:E56)</f>
        <v>0</v>
      </c>
      <c r="F57" s="81">
        <f>SUM(F45:F56)</f>
        <v>0</v>
      </c>
      <c r="G57" s="82">
        <f>SUM(G46:G56)*12</f>
        <v>22350</v>
      </c>
      <c r="H57" s="83" t="s">
        <v>127</v>
      </c>
    </row>
    <row r="58" spans="2:14" ht="18.75" x14ac:dyDescent="0.3">
      <c r="B58" s="84" t="s">
        <v>128</v>
      </c>
      <c r="C58" s="29" t="s">
        <v>112</v>
      </c>
      <c r="D58" s="29" t="s">
        <v>86</v>
      </c>
      <c r="E58" s="29" t="s">
        <v>113</v>
      </c>
      <c r="F58" s="29" t="s">
        <v>88</v>
      </c>
      <c r="G58" s="29" t="s">
        <v>97</v>
      </c>
      <c r="H58" s="41"/>
      <c r="M58" s="102" t="s">
        <v>115</v>
      </c>
      <c r="N58" s="102" t="s">
        <v>116</v>
      </c>
    </row>
    <row r="59" spans="2:14" ht="15.75" x14ac:dyDescent="0.25">
      <c r="B59" s="77"/>
      <c r="C59" s="69"/>
      <c r="D59" s="85"/>
      <c r="E59" s="70"/>
      <c r="F59" s="70"/>
      <c r="G59" s="71"/>
      <c r="H59" s="41"/>
    </row>
    <row r="60" spans="2:14" ht="15.75" x14ac:dyDescent="0.25">
      <c r="B60" s="86" t="s">
        <v>80</v>
      </c>
      <c r="C60" s="73" t="s">
        <v>65</v>
      </c>
      <c r="D60" s="74"/>
      <c r="E60" s="74">
        <v>3</v>
      </c>
      <c r="F60" s="70"/>
      <c r="G60" s="75">
        <f>IF(C60="BK",$L$2*E60,IF(C60="BK2",$L$1*E60,IF(C60="CPA1",$L$3*E60,IF(C60="CPA2",$L$4*E60))))</f>
        <v>363</v>
      </c>
      <c r="H60" s="76" t="s">
        <v>129</v>
      </c>
    </row>
    <row r="61" spans="2:14" ht="15.75" x14ac:dyDescent="0.25">
      <c r="B61" s="79" t="s">
        <v>75</v>
      </c>
      <c r="C61" s="73" t="s">
        <v>120</v>
      </c>
      <c r="D61" s="74"/>
      <c r="E61" s="74">
        <v>1.5</v>
      </c>
      <c r="F61" s="70"/>
      <c r="G61" s="75">
        <f>IF(C61="BK",$L$2*E61,IF(C61="BK2",$L$1*E61,IF(C61="CPA1",$L$3*E61,IF(C61="CPA2",$L$4*E61))))</f>
        <v>97.5</v>
      </c>
      <c r="H61" s="76" t="s">
        <v>130</v>
      </c>
      <c r="M61" s="101" t="s">
        <v>131</v>
      </c>
      <c r="N61" s="101" t="s">
        <v>132</v>
      </c>
    </row>
    <row r="62" spans="2:14" ht="15.75" x14ac:dyDescent="0.25">
      <c r="B62" s="79" t="s">
        <v>75</v>
      </c>
      <c r="C62" s="73" t="s">
        <v>65</v>
      </c>
      <c r="D62" s="74"/>
      <c r="E62" s="74">
        <v>1</v>
      </c>
      <c r="F62" s="70"/>
      <c r="G62" s="75">
        <f>IF(C62="BK",$L$2*E62,IF(C62="BK2",$L$1*E62,IF(C62="CPA1",$L$3*E62,IF(C62="CPA2",$L$4*E62))))</f>
        <v>121</v>
      </c>
      <c r="H62" s="76"/>
      <c r="M62" s="101" t="s">
        <v>131</v>
      </c>
      <c r="N62" s="101" t="s">
        <v>122</v>
      </c>
    </row>
    <row r="63" spans="2:14" ht="15.75" x14ac:dyDescent="0.25">
      <c r="B63" s="68"/>
      <c r="C63" s="69"/>
      <c r="D63" s="74"/>
      <c r="E63" s="70"/>
      <c r="F63" s="70"/>
      <c r="G63" s="71"/>
      <c r="H63" s="41"/>
    </row>
    <row r="64" spans="2:14" ht="15.75" x14ac:dyDescent="0.25">
      <c r="B64" s="68"/>
      <c r="C64" s="69"/>
      <c r="D64" s="85"/>
      <c r="E64" s="70"/>
      <c r="F64" s="70"/>
      <c r="G64" s="71"/>
      <c r="H64" s="41"/>
    </row>
    <row r="65" spans="2:14" ht="15.75" x14ac:dyDescent="0.25">
      <c r="B65" s="68"/>
      <c r="C65" s="80"/>
      <c r="D65" s="81">
        <f>SUM(D58:D64)</f>
        <v>0</v>
      </c>
      <c r="E65" s="81">
        <f>SUM(E59:E64)</f>
        <v>5.5</v>
      </c>
      <c r="F65" s="81">
        <f>SUM(F58:F64)</f>
        <v>0</v>
      </c>
      <c r="G65" s="82">
        <f>SUM(G59:G64)*4</f>
        <v>2326</v>
      </c>
      <c r="H65" s="83" t="s">
        <v>133</v>
      </c>
      <c r="I65" s="41"/>
    </row>
    <row r="66" spans="2:14" ht="18.75" x14ac:dyDescent="0.3">
      <c r="B66" s="88" t="s">
        <v>134</v>
      </c>
      <c r="C66" s="29" t="s">
        <v>112</v>
      </c>
      <c r="D66" s="29" t="s">
        <v>86</v>
      </c>
      <c r="E66" s="29" t="s">
        <v>113</v>
      </c>
      <c r="F66" s="29" t="s">
        <v>88</v>
      </c>
      <c r="G66" s="29" t="s">
        <v>97</v>
      </c>
      <c r="H66" s="41"/>
      <c r="M66" s="102" t="s">
        <v>115</v>
      </c>
      <c r="N66" s="102" t="s">
        <v>116</v>
      </c>
    </row>
    <row r="67" spans="2:14" ht="15.75" x14ac:dyDescent="0.25">
      <c r="B67" s="77"/>
      <c r="C67" s="73"/>
      <c r="D67" s="87"/>
      <c r="E67" s="89"/>
      <c r="F67" s="74"/>
      <c r="G67" s="75"/>
      <c r="H67" s="41"/>
    </row>
    <row r="68" spans="2:14" ht="15.75" x14ac:dyDescent="0.25">
      <c r="B68" s="77"/>
      <c r="C68" s="73"/>
      <c r="D68" s="87"/>
      <c r="E68" s="89"/>
      <c r="F68" s="74"/>
      <c r="G68" s="75"/>
      <c r="H68" s="41"/>
    </row>
    <row r="69" spans="2:14" ht="15" customHeight="1" x14ac:dyDescent="0.25">
      <c r="B69" s="68"/>
      <c r="C69" s="73"/>
      <c r="D69" s="87"/>
      <c r="E69" s="89"/>
      <c r="F69" s="74"/>
      <c r="G69" s="75"/>
      <c r="H69" s="41"/>
    </row>
    <row r="70" spans="2:14" ht="12.6" customHeight="1" x14ac:dyDescent="0.25">
      <c r="B70" s="68"/>
      <c r="C70" s="73"/>
      <c r="D70" s="87"/>
      <c r="E70" s="89"/>
      <c r="F70" s="74"/>
      <c r="G70" s="75"/>
      <c r="H70" s="41"/>
    </row>
    <row r="71" spans="2:14" ht="15.75" x14ac:dyDescent="0.25">
      <c r="B71" s="86" t="s">
        <v>80</v>
      </c>
      <c r="C71" s="73" t="s">
        <v>65</v>
      </c>
      <c r="D71" s="87"/>
      <c r="E71" s="89"/>
      <c r="F71" s="74">
        <v>6</v>
      </c>
      <c r="G71" s="75">
        <f>IF(C71="BK",$L$2*F71,IF(C71="CPA1",$L$3*F71,IF(C71="CPA2",$L$4*F71)))</f>
        <v>726</v>
      </c>
      <c r="H71" s="76" t="s">
        <v>135</v>
      </c>
    </row>
    <row r="72" spans="2:14" ht="15.75" x14ac:dyDescent="0.25">
      <c r="B72" s="86" t="s">
        <v>80</v>
      </c>
      <c r="C72" s="73" t="s">
        <v>63</v>
      </c>
      <c r="D72" s="87"/>
      <c r="E72" s="89"/>
      <c r="F72" s="74">
        <v>4</v>
      </c>
      <c r="G72" s="75">
        <f>IF(C72="BK",$L$2*F72,IF(C72="CPA1",$L$3*F72,IF(C72="CPA2",$L$4*F72)))</f>
        <v>540</v>
      </c>
      <c r="H72" s="76" t="s">
        <v>135</v>
      </c>
    </row>
    <row r="73" spans="2:14" ht="15.75" x14ac:dyDescent="0.25">
      <c r="B73" s="68"/>
      <c r="C73" s="73"/>
      <c r="D73" s="87"/>
      <c r="E73" s="89"/>
      <c r="F73" s="74"/>
      <c r="G73" s="75"/>
      <c r="H73" s="41"/>
    </row>
    <row r="74" spans="2:14" ht="15.75" x14ac:dyDescent="0.25">
      <c r="B74" s="90"/>
      <c r="C74" s="73"/>
      <c r="D74" s="87"/>
      <c r="E74" s="89"/>
      <c r="F74" s="74"/>
      <c r="G74" s="75"/>
      <c r="H74" s="41"/>
    </row>
    <row r="75" spans="2:14" ht="15.75" x14ac:dyDescent="0.25">
      <c r="B75" s="68"/>
      <c r="C75" s="73"/>
      <c r="D75" s="87"/>
      <c r="E75" s="89"/>
      <c r="F75" s="74"/>
      <c r="G75" s="75"/>
      <c r="H75" s="41"/>
    </row>
    <row r="76" spans="2:14" ht="15.75" x14ac:dyDescent="0.25">
      <c r="B76" s="68"/>
      <c r="C76" s="69"/>
      <c r="D76" s="85"/>
      <c r="E76" s="70"/>
      <c r="F76" s="70"/>
      <c r="G76" s="91">
        <f>SUM(G67:G75)</f>
        <v>1266</v>
      </c>
      <c r="H76" s="83" t="s">
        <v>136</v>
      </c>
    </row>
    <row r="77" spans="2:14" ht="15.75" x14ac:dyDescent="0.25">
      <c r="B77" s="68"/>
      <c r="C77" s="69"/>
      <c r="D77" s="85"/>
      <c r="E77" s="70"/>
      <c r="F77" s="70"/>
      <c r="G77" s="75"/>
      <c r="H77" s="41"/>
    </row>
    <row r="78" spans="2:14" ht="15.75" x14ac:dyDescent="0.25">
      <c r="C78" s="80"/>
      <c r="D78" s="81">
        <f>SUM(D67:D77)</f>
        <v>0</v>
      </c>
      <c r="E78" s="81">
        <f>SUM(E67:E77)</f>
        <v>0</v>
      </c>
      <c r="F78" s="81">
        <f>SUM(F67:F77)</f>
        <v>10</v>
      </c>
      <c r="G78" s="82">
        <f>+G57+G65+G76</f>
        <v>25942</v>
      </c>
      <c r="H78" s="83" t="s">
        <v>137</v>
      </c>
    </row>
    <row r="86" spans="13:13" x14ac:dyDescent="0.25">
      <c r="M86"/>
    </row>
  </sheetData>
  <sheetProtection algorithmName="SHA-512" hashValue="t0mFS+Vxh+lcqHwQ4IeBLzBcNffG0WA3/W413hGS5gnd2n4prBrQl4bE9JxYsMczmRAb/xAUv0drUFwtpkLLDw==" saltValue="xTPls111OsTBRhoLMhbKWg==" spinCount="100000" sheet="1" objects="1" scenarios="1"/>
  <pageMargins left="0.45" right="0.45" top="0.5" bottom="0.5" header="0.3" footer="0.3"/>
  <pageSetup scale="70" fitToHeight="2" orientation="landscape" r:id="rId1"/>
  <rowBreaks count="1" manualBreakCount="1">
    <brk id="42" max="9" man="1"/>
  </rowBreaks>
  <ignoredErrors>
    <ignoredError sqref="E6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C0AB-D2BE-4250-911F-47898525FBF8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A748-4EFF-4240-88FD-81A3A342DCB5}">
  <sheetPr codeName="shSettings"/>
  <dimension ref="A1:O14"/>
  <sheetViews>
    <sheetView workbookViewId="0">
      <selection activeCell="B3" sqref="B3"/>
    </sheetView>
  </sheetViews>
  <sheetFormatPr defaultRowHeight="15" x14ac:dyDescent="0.25"/>
  <cols>
    <col min="1" max="1" width="15.140625" bestFit="1" customWidth="1"/>
    <col min="5" max="5" width="11" bestFit="1" customWidth="1"/>
  </cols>
  <sheetData>
    <row r="1" spans="1:15" x14ac:dyDescent="0.25">
      <c r="A1" t="s">
        <v>138</v>
      </c>
      <c r="B1" t="s">
        <v>139</v>
      </c>
      <c r="E1" s="10" t="s">
        <v>140</v>
      </c>
      <c r="H1" s="10" t="s">
        <v>141</v>
      </c>
      <c r="M1" s="10" t="s">
        <v>142</v>
      </c>
      <c r="O1" s="10" t="s">
        <v>143</v>
      </c>
    </row>
    <row r="2" spans="1:15" x14ac:dyDescent="0.25">
      <c r="A2" t="s">
        <v>144</v>
      </c>
      <c r="B2" t="s">
        <v>16</v>
      </c>
      <c r="E2" t="s">
        <v>34</v>
      </c>
      <c r="F2">
        <v>12</v>
      </c>
      <c r="H2" s="123" t="s">
        <v>145</v>
      </c>
      <c r="M2" s="112" t="s">
        <v>146</v>
      </c>
      <c r="O2">
        <v>1.25</v>
      </c>
    </row>
    <row r="3" spans="1:15" x14ac:dyDescent="0.25">
      <c r="E3" t="s">
        <v>35</v>
      </c>
      <c r="F3">
        <v>4</v>
      </c>
      <c r="H3" s="4" t="s">
        <v>147</v>
      </c>
      <c r="I3" s="120" t="s">
        <v>148</v>
      </c>
      <c r="J3" s="120" t="s">
        <v>149</v>
      </c>
    </row>
    <row r="4" spans="1:15" x14ac:dyDescent="0.25">
      <c r="E4" t="s">
        <v>36</v>
      </c>
      <c r="F4">
        <v>1</v>
      </c>
      <c r="H4" t="s">
        <v>150</v>
      </c>
      <c r="I4" s="125">
        <v>150</v>
      </c>
      <c r="J4" s="125">
        <v>180</v>
      </c>
    </row>
    <row r="5" spans="1:15" x14ac:dyDescent="0.25">
      <c r="H5" t="s">
        <v>151</v>
      </c>
      <c r="I5" s="125">
        <v>250</v>
      </c>
      <c r="J5" s="125">
        <v>250</v>
      </c>
      <c r="K5" s="110"/>
    </row>
    <row r="7" spans="1:15" x14ac:dyDescent="0.25">
      <c r="H7" s="123" t="s">
        <v>152</v>
      </c>
    </row>
    <row r="8" spans="1:15" x14ac:dyDescent="0.25">
      <c r="H8" s="4" t="s">
        <v>153</v>
      </c>
      <c r="I8" s="4" t="s">
        <v>147</v>
      </c>
      <c r="J8" s="4" t="s">
        <v>154</v>
      </c>
      <c r="K8" s="4" t="s">
        <v>155</v>
      </c>
    </row>
    <row r="9" spans="1:15" x14ac:dyDescent="0.25">
      <c r="H9" t="str">
        <f>I9&amp;$M$2&amp;J9</f>
        <v>w6w3-1</v>
      </c>
      <c r="I9" t="s">
        <v>156</v>
      </c>
      <c r="J9" s="80">
        <v>1</v>
      </c>
      <c r="K9" s="133">
        <f>I4</f>
        <v>150</v>
      </c>
    </row>
    <row r="10" spans="1:15" x14ac:dyDescent="0.25">
      <c r="H10" t="str">
        <f t="shared" ref="H10:H14" si="0">I10&amp;$M$2&amp;J10</f>
        <v>BK-2</v>
      </c>
      <c r="I10" t="s">
        <v>57</v>
      </c>
      <c r="J10" s="80">
        <v>2</v>
      </c>
      <c r="K10" s="124">
        <f>AVERAGE(K9,K11)</f>
        <v>165</v>
      </c>
    </row>
    <row r="11" spans="1:15" x14ac:dyDescent="0.25">
      <c r="H11" t="str">
        <f t="shared" si="0"/>
        <v>BK-3</v>
      </c>
      <c r="I11" t="s">
        <v>57</v>
      </c>
      <c r="J11" s="80">
        <v>3</v>
      </c>
      <c r="K11" s="124">
        <f>J4</f>
        <v>180</v>
      </c>
    </row>
    <row r="12" spans="1:15" x14ac:dyDescent="0.25">
      <c r="H12" t="str">
        <f t="shared" si="0"/>
        <v>CPA-1</v>
      </c>
      <c r="I12" t="s">
        <v>151</v>
      </c>
      <c r="J12" s="80">
        <v>1</v>
      </c>
      <c r="K12" s="124">
        <f>I5</f>
        <v>250</v>
      </c>
    </row>
    <row r="13" spans="1:15" x14ac:dyDescent="0.25">
      <c r="H13" t="str">
        <f t="shared" si="0"/>
        <v>CPA-2</v>
      </c>
      <c r="I13" t="s">
        <v>151</v>
      </c>
      <c r="J13" s="80">
        <v>2</v>
      </c>
      <c r="K13" s="133">
        <f>AVERAGE(K12,K14)</f>
        <v>250</v>
      </c>
    </row>
    <row r="14" spans="1:15" x14ac:dyDescent="0.25">
      <c r="H14" t="str">
        <f t="shared" si="0"/>
        <v>CPA-3</v>
      </c>
      <c r="I14" t="s">
        <v>151</v>
      </c>
      <c r="J14" s="80">
        <v>3</v>
      </c>
      <c r="K14" s="124">
        <f>J5</f>
        <v>250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ABOUT</vt:lpstr>
      <vt:lpstr>Summary</vt:lpstr>
      <vt:lpstr>1065</vt:lpstr>
      <vt:lpstr>Detail</vt:lpstr>
      <vt:lpstr>OldFormat</vt:lpstr>
      <vt:lpstr>setup</vt:lpstr>
      <vt:lpstr>settings</vt:lpstr>
      <vt:lpstr>Detail!Print_Area</vt:lpstr>
      <vt:lpstr>OldFormat!Print_Area</vt:lpstr>
      <vt:lpstr>Summary!Print_Area</vt:lpstr>
      <vt:lpstr>OldFormat!Print_Titles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Callaway</dc:creator>
  <cp:keywords/>
  <dc:description/>
  <cp:lastModifiedBy>Kyle Callaway</cp:lastModifiedBy>
  <cp:revision/>
  <dcterms:created xsi:type="dcterms:W3CDTF">2015-07-09T11:11:22Z</dcterms:created>
  <dcterms:modified xsi:type="dcterms:W3CDTF">2025-06-26T09:44:48Z</dcterms:modified>
  <cp:category/>
  <cp:contentStatus/>
</cp:coreProperties>
</file>