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9735" yWindow="180" windowWidth="10755" windowHeight="7965" tabRatio="515" activeTab="1"/>
  </bookViews>
  <sheets>
    <sheet name="Mtd Dashboard" sheetId="14" r:id="rId1"/>
    <sheet name="Monthly Dashboard" sheetId="16" r:id="rId2"/>
    <sheet name="P&amp;L" sheetId="11" r:id="rId3"/>
    <sheet name="Sales" sheetId="10" r:id="rId4"/>
    <sheet name="Preparação" sheetId="9" r:id="rId5"/>
    <sheet name="Comparativo" sheetId="15" r:id="rId6"/>
    <sheet name="Total Sales" sheetId="2" r:id="rId7"/>
    <sheet name="Gross Profit 1" sheetId="3" r:id="rId8"/>
    <sheet name="Var+OCOS" sheetId="4" r:id="rId9"/>
    <sheet name="Gross Profit 2" sheetId="5" r:id="rId10"/>
    <sheet name="Total OPEX" sheetId="6" r:id="rId11"/>
    <sheet name="EBIT" sheetId="7" r:id="rId12"/>
    <sheet name="Total Sales Brazil" sheetId="17" r:id="rId13"/>
  </sheets>
  <definedNames>
    <definedName name="EssAliasTable" localSheetId="6">"Default"</definedName>
    <definedName name="EssfHasNonUnique" localSheetId="11">FALSE</definedName>
    <definedName name="EssfHasNonUnique" localSheetId="7">FALSE</definedName>
    <definedName name="EssfHasNonUnique" localSheetId="9">FALSE</definedName>
    <definedName name="EssfHasNonUnique" localSheetId="10">FALSE</definedName>
    <definedName name="EssfHasNonUnique" localSheetId="6">FALSE</definedName>
    <definedName name="EssfHasNonUnique" localSheetId="12">FALSE</definedName>
    <definedName name="EssfHasNonUnique" localSheetId="8">FALSE</definedName>
    <definedName name="EssLatest" localSheetId="6">"Opening"</definedName>
    <definedName name="EssOptions" localSheetId="6">"A1100000000111000011001100020_03(0)0000"</definedName>
    <definedName name="EssSamplingValue" localSheetId="6">100</definedName>
    <definedName name="_xlnm.Print_Area" localSheetId="1">'Monthly Dashboard'!$A$1:$Z$48</definedName>
    <definedName name="_xlnm.Print_Area" localSheetId="0">'Mtd Dashboard'!$A$1:$Y$48</definedName>
  </definedNames>
  <calcPr calcId="145621"/>
</workbook>
</file>

<file path=xl/calcChain.xml><?xml version="1.0" encoding="utf-8"?>
<calcChain xmlns="http://schemas.openxmlformats.org/spreadsheetml/2006/main">
  <c r="BI56" i="2" l="1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L34" i="16" l="1"/>
  <c r="BI63" i="17"/>
  <c r="BH63" i="17"/>
  <c r="BG63" i="17"/>
  <c r="BF63" i="17"/>
  <c r="BE63" i="17"/>
  <c r="BD63" i="17"/>
  <c r="BC63" i="17"/>
  <c r="BB63" i="17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BI62" i="17"/>
  <c r="BH62" i="17"/>
  <c r="BG62" i="17"/>
  <c r="BF62" i="17"/>
  <c r="BE62" i="17"/>
  <c r="BD62" i="17"/>
  <c r="BC62" i="17"/>
  <c r="BB62" i="17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BI61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BI60" i="17"/>
  <c r="BH60" i="17"/>
  <c r="BG60" i="17"/>
  <c r="BF60" i="17"/>
  <c r="BE60" i="17"/>
  <c r="BD60" i="17"/>
  <c r="BC60" i="17"/>
  <c r="BB60" i="17"/>
  <c r="BA60" i="17"/>
  <c r="AZ60" i="17"/>
  <c r="AY60" i="17"/>
  <c r="AX60" i="17"/>
  <c r="AW60" i="17"/>
  <c r="AV60" i="17"/>
  <c r="AU60" i="17"/>
  <c r="AT60" i="17"/>
  <c r="AS60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BI59" i="17"/>
  <c r="BH59" i="17"/>
  <c r="BG59" i="17"/>
  <c r="BF59" i="17"/>
  <c r="BE59" i="17"/>
  <c r="BD59" i="17"/>
  <c r="BC59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BI58" i="17"/>
  <c r="BH58" i="17"/>
  <c r="BG58" i="17"/>
  <c r="BF58" i="17"/>
  <c r="BE58" i="17"/>
  <c r="BD58" i="17"/>
  <c r="BC58" i="17"/>
  <c r="BB58" i="17"/>
  <c r="BA58" i="17"/>
  <c r="AZ58" i="17"/>
  <c r="AY58" i="17"/>
  <c r="AX58" i="17"/>
  <c r="AW58" i="17"/>
  <c r="AV58" i="17"/>
  <c r="AU58" i="17"/>
  <c r="AT58" i="17"/>
  <c r="AS58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63" i="2" l="1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I63" i="2" l="1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I58" i="2" l="1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E5" i="10" l="1"/>
  <c r="F5" i="10" s="1"/>
  <c r="E6" i="10"/>
  <c r="F4" i="10" l="1"/>
  <c r="D4" i="10"/>
  <c r="A21" i="10" s="1"/>
  <c r="E44" i="14" l="1"/>
  <c r="D44" i="14"/>
  <c r="D37" i="14"/>
  <c r="D43" i="14"/>
  <c r="D41" i="14"/>
  <c r="D40" i="14"/>
  <c r="D38" i="14"/>
  <c r="R29" i="9"/>
  <c r="R30" i="9"/>
  <c r="I15" i="9" l="1"/>
  <c r="I14" i="9"/>
  <c r="I13" i="9"/>
  <c r="I12" i="9"/>
  <c r="I11" i="9"/>
  <c r="I10" i="9"/>
  <c r="I9" i="9"/>
  <c r="I8" i="9"/>
  <c r="I7" i="9"/>
  <c r="I6" i="9"/>
  <c r="I5" i="9"/>
  <c r="I4" i="9"/>
  <c r="BI62" i="2"/>
  <c r="BH62" i="2"/>
  <c r="BG62" i="2"/>
  <c r="BF62" i="2"/>
  <c r="BE62" i="2"/>
  <c r="BD62" i="2"/>
  <c r="BC62" i="2"/>
  <c r="BB62" i="2"/>
  <c r="BA62" i="2"/>
  <c r="AZ62" i="2"/>
  <c r="AY62" i="2"/>
  <c r="AX62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62" i="2"/>
  <c r="AW59" i="2"/>
  <c r="AV62" i="2" l="1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K39" i="9" l="1"/>
  <c r="A2" i="11" l="1"/>
  <c r="K47" i="9"/>
  <c r="J47" i="9"/>
  <c r="I47" i="9"/>
  <c r="H47" i="9"/>
  <c r="K45" i="9"/>
  <c r="J45" i="9"/>
  <c r="I45" i="9"/>
  <c r="H45" i="9"/>
  <c r="G15" i="9"/>
  <c r="G14" i="9"/>
  <c r="G13" i="9"/>
  <c r="G12" i="9"/>
  <c r="G11" i="9"/>
  <c r="G10" i="9"/>
  <c r="G9" i="9"/>
  <c r="G8" i="9"/>
  <c r="U7" i="9"/>
  <c r="T7" i="9"/>
  <c r="S7" i="9"/>
  <c r="R7" i="9"/>
  <c r="G7" i="9"/>
  <c r="G6" i="9"/>
  <c r="U5" i="9"/>
  <c r="T5" i="9"/>
  <c r="S5" i="9"/>
  <c r="R5" i="9"/>
  <c r="G5" i="9"/>
  <c r="G4" i="9"/>
  <c r="U2" i="9"/>
  <c r="T2" i="9"/>
  <c r="S2" i="9"/>
  <c r="R2" i="9"/>
  <c r="K41" i="9" l="1"/>
  <c r="B2" i="16"/>
  <c r="F44" i="16" l="1"/>
  <c r="E44" i="16"/>
  <c r="E38" i="16"/>
  <c r="E37" i="16"/>
  <c r="E43" i="16"/>
  <c r="E41" i="16"/>
  <c r="E40" i="16"/>
  <c r="H32" i="9"/>
  <c r="A18" i="9"/>
  <c r="J28" i="9" l="1"/>
  <c r="H28" i="9"/>
  <c r="J31" i="9"/>
  <c r="J29" i="9"/>
  <c r="E18" i="14"/>
  <c r="K23" i="9"/>
  <c r="E5" i="11" s="1"/>
  <c r="P23" i="14"/>
  <c r="H29" i="9" l="1"/>
  <c r="I29" i="9" s="1"/>
  <c r="P10" i="14" s="1"/>
  <c r="H31" i="9"/>
  <c r="I31" i="9" s="1"/>
  <c r="P12" i="14" s="1"/>
  <c r="I23" i="9"/>
  <c r="J23" i="9"/>
  <c r="H23" i="9"/>
  <c r="E20" i="16" l="1"/>
  <c r="B32" i="16" s="1"/>
  <c r="AF20" i="15" l="1"/>
  <c r="AE20" i="15"/>
  <c r="AD20" i="15"/>
  <c r="AC20" i="15"/>
  <c r="AA15" i="15"/>
  <c r="Z15" i="15"/>
  <c r="Y15" i="15"/>
  <c r="V17" i="15"/>
  <c r="V19" i="15"/>
  <c r="U19" i="15"/>
  <c r="T19" i="15"/>
  <c r="S19" i="15"/>
  <c r="R19" i="15"/>
  <c r="Q19" i="15"/>
  <c r="U17" i="15"/>
  <c r="T17" i="15"/>
  <c r="S17" i="15"/>
  <c r="R17" i="15"/>
  <c r="Q17" i="15"/>
  <c r="P17" i="15"/>
  <c r="P19" i="15"/>
  <c r="O17" i="15"/>
  <c r="Z17" i="15" s="1"/>
  <c r="O19" i="15"/>
  <c r="Z19" i="15" s="1"/>
  <c r="N19" i="15"/>
  <c r="M19" i="15"/>
  <c r="L19" i="15"/>
  <c r="K19" i="15"/>
  <c r="J19" i="15"/>
  <c r="N17" i="15"/>
  <c r="M17" i="15"/>
  <c r="L17" i="15"/>
  <c r="K17" i="15"/>
  <c r="J17" i="15"/>
  <c r="I17" i="15"/>
  <c r="I19" i="15"/>
  <c r="H17" i="15"/>
  <c r="H19" i="15"/>
  <c r="G19" i="15"/>
  <c r="F19" i="15"/>
  <c r="E19" i="15"/>
  <c r="D19" i="15"/>
  <c r="C19" i="15"/>
  <c r="G17" i="15"/>
  <c r="F17" i="15"/>
  <c r="E17" i="15"/>
  <c r="D17" i="15"/>
  <c r="C17" i="15"/>
  <c r="B17" i="15"/>
  <c r="B19" i="15"/>
  <c r="AA2" i="15"/>
  <c r="Z2" i="15"/>
  <c r="Y2" i="15"/>
  <c r="V9" i="15"/>
  <c r="V7" i="15"/>
  <c r="AA7" i="15" s="1"/>
  <c r="V5" i="15"/>
  <c r="V4" i="15"/>
  <c r="AA4" i="15" s="1"/>
  <c r="U9" i="15"/>
  <c r="T9" i="15"/>
  <c r="U7" i="15"/>
  <c r="T7" i="15"/>
  <c r="U5" i="15"/>
  <c r="T5" i="15"/>
  <c r="U4" i="15"/>
  <c r="T4" i="15"/>
  <c r="O9" i="15"/>
  <c r="O7" i="15"/>
  <c r="Z7" i="15" s="1"/>
  <c r="O5" i="15"/>
  <c r="O4" i="15"/>
  <c r="Z4" i="15" s="1"/>
  <c r="H9" i="15"/>
  <c r="H7" i="15"/>
  <c r="H5" i="15"/>
  <c r="H4" i="15"/>
  <c r="N9" i="15"/>
  <c r="M9" i="15"/>
  <c r="N7" i="15"/>
  <c r="M7" i="15"/>
  <c r="N5" i="15"/>
  <c r="M5" i="15"/>
  <c r="N4" i="15"/>
  <c r="M4" i="15"/>
  <c r="G9" i="15"/>
  <c r="F9" i="15"/>
  <c r="E9" i="15"/>
  <c r="G7" i="15"/>
  <c r="F7" i="15"/>
  <c r="E7" i="15"/>
  <c r="G5" i="15"/>
  <c r="F5" i="15"/>
  <c r="G4" i="15"/>
  <c r="F4" i="15"/>
  <c r="F18" i="15" l="1"/>
  <c r="F22" i="15" s="1"/>
  <c r="J21" i="15"/>
  <c r="N21" i="15"/>
  <c r="S21" i="15"/>
  <c r="F21" i="15"/>
  <c r="I18" i="15"/>
  <c r="I22" i="15" s="1"/>
  <c r="L18" i="15"/>
  <c r="L22" i="15" s="1"/>
  <c r="Q18" i="15"/>
  <c r="Q22" i="15" s="1"/>
  <c r="U21" i="15"/>
  <c r="B21" i="15"/>
  <c r="K18" i="15"/>
  <c r="K22" i="15" s="1"/>
  <c r="T21" i="15"/>
  <c r="C21" i="15"/>
  <c r="E18" i="15"/>
  <c r="E22" i="15" s="1"/>
  <c r="Y19" i="15"/>
  <c r="M18" i="15"/>
  <c r="M22" i="15" s="1"/>
  <c r="R21" i="15"/>
  <c r="H21" i="15"/>
  <c r="P18" i="15"/>
  <c r="P22" i="15" s="1"/>
  <c r="V21" i="15"/>
  <c r="D21" i="15"/>
  <c r="Y9" i="15"/>
  <c r="Z9" i="15"/>
  <c r="AA9" i="15"/>
  <c r="AA10" i="15" s="1"/>
  <c r="Y4" i="15"/>
  <c r="AD4" i="15" s="1"/>
  <c r="I21" i="15"/>
  <c r="G21" i="15"/>
  <c r="Y5" i="15"/>
  <c r="Z5" i="15"/>
  <c r="AA5" i="15"/>
  <c r="R18" i="15"/>
  <c r="R22" i="15" s="1"/>
  <c r="AA19" i="15"/>
  <c r="Y7" i="15"/>
  <c r="Y17" i="15"/>
  <c r="P21" i="15"/>
  <c r="K21" i="15"/>
  <c r="O21" i="15"/>
  <c r="AA17" i="15"/>
  <c r="B18" i="15"/>
  <c r="B22" i="15" s="1"/>
  <c r="V18" i="15"/>
  <c r="E21" i="15"/>
  <c r="M21" i="15"/>
  <c r="Q21" i="15"/>
  <c r="L21" i="15"/>
  <c r="U18" i="15"/>
  <c r="U22" i="15" s="1"/>
  <c r="Z21" i="15"/>
  <c r="D18" i="15"/>
  <c r="D22" i="15" s="1"/>
  <c r="S18" i="15"/>
  <c r="S22" i="15" s="1"/>
  <c r="H18" i="15"/>
  <c r="T18" i="15"/>
  <c r="T22" i="15" s="1"/>
  <c r="U10" i="15"/>
  <c r="J18" i="15"/>
  <c r="J22" i="15" s="1"/>
  <c r="N18" i="15"/>
  <c r="N22" i="15" s="1"/>
  <c r="M8" i="15"/>
  <c r="T8" i="15"/>
  <c r="C18" i="15"/>
  <c r="C22" i="15" s="1"/>
  <c r="G18" i="15"/>
  <c r="G22" i="15" s="1"/>
  <c r="O18" i="15"/>
  <c r="AE7" i="15"/>
  <c r="AE4" i="15"/>
  <c r="N10" i="15"/>
  <c r="T10" i="15"/>
  <c r="M10" i="15"/>
  <c r="AF7" i="15"/>
  <c r="AF4" i="15"/>
  <c r="AA8" i="15"/>
  <c r="Z8" i="15"/>
  <c r="T6" i="15"/>
  <c r="U6" i="15"/>
  <c r="U8" i="15"/>
  <c r="M6" i="15"/>
  <c r="N6" i="15"/>
  <c r="N8" i="15"/>
  <c r="F6" i="15"/>
  <c r="F8" i="15"/>
  <c r="F10" i="15"/>
  <c r="V41" i="16"/>
  <c r="U41" i="16"/>
  <c r="R41" i="16"/>
  <c r="V40" i="16"/>
  <c r="U40" i="16"/>
  <c r="R40" i="16"/>
  <c r="R27" i="16"/>
  <c r="R26" i="16"/>
  <c r="Y8" i="15" l="1"/>
  <c r="AD19" i="15"/>
  <c r="Y21" i="15"/>
  <c r="AE19" i="15"/>
  <c r="AF5" i="15"/>
  <c r="AA21" i="15"/>
  <c r="AC5" i="15"/>
  <c r="AA6" i="15"/>
  <c r="AD5" i="15"/>
  <c r="AD9" i="15"/>
  <c r="AC9" i="15"/>
  <c r="AE9" i="15"/>
  <c r="Z6" i="15"/>
  <c r="AD7" i="15"/>
  <c r="AC4" i="15"/>
  <c r="Y10" i="15"/>
  <c r="AE5" i="15"/>
  <c r="AF9" i="15"/>
  <c r="Y6" i="15"/>
  <c r="Z10" i="15"/>
  <c r="AC7" i="15"/>
  <c r="AF19" i="15"/>
  <c r="AC19" i="15"/>
  <c r="AF17" i="15"/>
  <c r="AE17" i="15"/>
  <c r="AD17" i="15"/>
  <c r="AC17" i="15"/>
  <c r="O22" i="15"/>
  <c r="Z18" i="15"/>
  <c r="Z22" i="15" s="1"/>
  <c r="H22" i="15"/>
  <c r="Y18" i="15"/>
  <c r="Y22" i="15" s="1"/>
  <c r="V22" i="15"/>
  <c r="AA18" i="15"/>
  <c r="Q23" i="16"/>
  <c r="F21" i="16"/>
  <c r="E21" i="16" l="1"/>
  <c r="E30" i="16" s="1"/>
  <c r="F30" i="16"/>
  <c r="AA22" i="15"/>
  <c r="AF18" i="15"/>
  <c r="AE18" i="15"/>
  <c r="AD18" i="15"/>
  <c r="AC18" i="15"/>
  <c r="G37" i="9"/>
  <c r="D35" i="9"/>
  <c r="B35" i="9"/>
  <c r="I35" i="9"/>
  <c r="M30" i="16"/>
  <c r="M29" i="16"/>
  <c r="M25" i="16"/>
  <c r="P23" i="16"/>
  <c r="P24" i="16" s="1"/>
  <c r="D21" i="16"/>
  <c r="F20" i="16"/>
  <c r="I20" i="16" s="1"/>
  <c r="M44" i="16"/>
  <c r="M43" i="16"/>
  <c r="M39" i="16"/>
  <c r="T37" i="16"/>
  <c r="T38" i="16" s="1"/>
  <c r="Q37" i="16"/>
  <c r="Q38" i="16" s="1"/>
  <c r="P37" i="16"/>
  <c r="P38" i="16" s="1"/>
  <c r="O37" i="16"/>
  <c r="O38" i="16" s="1"/>
  <c r="N37" i="16"/>
  <c r="N38" i="16" s="1"/>
  <c r="H34" i="16"/>
  <c r="H44" i="16" s="1"/>
  <c r="F34" i="16"/>
  <c r="E34" i="16"/>
  <c r="D34" i="16" s="1"/>
  <c r="D44" i="16" s="1"/>
  <c r="F18" i="16"/>
  <c r="L4" i="16"/>
  <c r="E24" i="16" l="1"/>
  <c r="E29" i="16"/>
  <c r="E23" i="16"/>
  <c r="E27" i="16"/>
  <c r="E26" i="16"/>
  <c r="F38" i="16"/>
  <c r="F41" i="16"/>
  <c r="J20" i="16"/>
  <c r="J21" i="16" s="1"/>
  <c r="I21" i="16"/>
  <c r="I22" i="16" s="1"/>
  <c r="I30" i="16" s="1"/>
  <c r="Q24" i="16"/>
  <c r="H37" i="16"/>
  <c r="H40" i="16"/>
  <c r="F26" i="16"/>
  <c r="D37" i="16"/>
  <c r="H38" i="16"/>
  <c r="D40" i="16"/>
  <c r="H41" i="16"/>
  <c r="N23" i="16"/>
  <c r="N24" i="16" s="1"/>
  <c r="D38" i="16"/>
  <c r="D41" i="16"/>
  <c r="H43" i="16"/>
  <c r="H20" i="16"/>
  <c r="H21" i="16" s="1"/>
  <c r="H22" i="16" s="1"/>
  <c r="C21" i="16"/>
  <c r="O23" i="16"/>
  <c r="O24" i="16" s="1"/>
  <c r="F27" i="16"/>
  <c r="F29" i="16"/>
  <c r="D20" i="16"/>
  <c r="F43" i="16"/>
  <c r="L20" i="16"/>
  <c r="F23" i="16"/>
  <c r="F37" i="16"/>
  <c r="F40" i="16"/>
  <c r="D43" i="16"/>
  <c r="C20" i="16"/>
  <c r="F24" i="16"/>
  <c r="C30" i="16" l="1"/>
  <c r="D29" i="16"/>
  <c r="D30" i="16"/>
  <c r="H24" i="16"/>
  <c r="H30" i="16"/>
  <c r="E31" i="16"/>
  <c r="E25" i="16"/>
  <c r="E28" i="16"/>
  <c r="H45" i="16"/>
  <c r="C23" i="16"/>
  <c r="F42" i="16"/>
  <c r="J22" i="16"/>
  <c r="F22" i="16"/>
  <c r="D45" i="16"/>
  <c r="H29" i="16"/>
  <c r="I23" i="16"/>
  <c r="I31" i="16" s="1"/>
  <c r="I26" i="16"/>
  <c r="I24" i="16"/>
  <c r="I27" i="16"/>
  <c r="H27" i="16"/>
  <c r="I29" i="16"/>
  <c r="F45" i="16"/>
  <c r="E39" i="16"/>
  <c r="E45" i="16"/>
  <c r="F25" i="16"/>
  <c r="F28" i="16"/>
  <c r="H39" i="16"/>
  <c r="E42" i="16"/>
  <c r="F31" i="16"/>
  <c r="D42" i="16"/>
  <c r="D26" i="16"/>
  <c r="C29" i="16"/>
  <c r="C27" i="16"/>
  <c r="C26" i="16"/>
  <c r="H23" i="16"/>
  <c r="F39" i="16"/>
  <c r="C24" i="16"/>
  <c r="D23" i="16"/>
  <c r="D24" i="16"/>
  <c r="D27" i="16"/>
  <c r="D39" i="16"/>
  <c r="H26" i="16"/>
  <c r="H42" i="16"/>
  <c r="S9" i="15"/>
  <c r="R9" i="15"/>
  <c r="Q9" i="15"/>
  <c r="P9" i="15"/>
  <c r="S7" i="15"/>
  <c r="R7" i="15"/>
  <c r="Q7" i="15"/>
  <c r="P7" i="15"/>
  <c r="S5" i="15"/>
  <c r="R5" i="15"/>
  <c r="Q5" i="15"/>
  <c r="P5" i="15"/>
  <c r="S4" i="15"/>
  <c r="R4" i="15"/>
  <c r="Q4" i="15"/>
  <c r="P4" i="15"/>
  <c r="L9" i="15"/>
  <c r="K9" i="15"/>
  <c r="J9" i="15"/>
  <c r="I9" i="15"/>
  <c r="L7" i="15"/>
  <c r="K7" i="15"/>
  <c r="J7" i="15"/>
  <c r="I7" i="15"/>
  <c r="L5" i="15"/>
  <c r="K5" i="15"/>
  <c r="J5" i="15"/>
  <c r="I5" i="15"/>
  <c r="L4" i="15"/>
  <c r="K4" i="15"/>
  <c r="J4" i="15"/>
  <c r="I4" i="15"/>
  <c r="D9" i="15"/>
  <c r="C9" i="15"/>
  <c r="B9" i="15"/>
  <c r="D7" i="15"/>
  <c r="C7" i="15"/>
  <c r="B7" i="15"/>
  <c r="E5" i="15"/>
  <c r="D5" i="15"/>
  <c r="C5" i="15"/>
  <c r="B5" i="15"/>
  <c r="E4" i="15"/>
  <c r="D4" i="15"/>
  <c r="C4" i="15"/>
  <c r="B4" i="15"/>
  <c r="J23" i="16" l="1"/>
  <c r="J30" i="16"/>
  <c r="C25" i="16"/>
  <c r="B10" i="15"/>
  <c r="G10" i="15"/>
  <c r="I10" i="15"/>
  <c r="P8" i="15"/>
  <c r="S10" i="15"/>
  <c r="R8" i="15"/>
  <c r="P6" i="15"/>
  <c r="P10" i="15"/>
  <c r="Q8" i="15"/>
  <c r="Q6" i="15"/>
  <c r="Q10" i="15"/>
  <c r="C28" i="16"/>
  <c r="C31" i="16"/>
  <c r="J24" i="16"/>
  <c r="J29" i="16"/>
  <c r="I25" i="16"/>
  <c r="J26" i="16"/>
  <c r="J27" i="16"/>
  <c r="H28" i="16"/>
  <c r="I28" i="16"/>
  <c r="D28" i="16"/>
  <c r="D25" i="16"/>
  <c r="H25" i="16"/>
  <c r="H31" i="16"/>
  <c r="D31" i="16"/>
  <c r="S8" i="15"/>
  <c r="R6" i="15"/>
  <c r="R10" i="15"/>
  <c r="S6" i="15"/>
  <c r="I6" i="15"/>
  <c r="K8" i="15"/>
  <c r="J8" i="15"/>
  <c r="J6" i="15"/>
  <c r="J10" i="15"/>
  <c r="K6" i="15"/>
  <c r="L8" i="15"/>
  <c r="K10" i="15"/>
  <c r="L6" i="15"/>
  <c r="I8" i="15"/>
  <c r="L10" i="15"/>
  <c r="B6" i="15"/>
  <c r="G6" i="15"/>
  <c r="D8" i="15"/>
  <c r="C8" i="15"/>
  <c r="C6" i="15"/>
  <c r="C10" i="15"/>
  <c r="D6" i="15"/>
  <c r="E8" i="15"/>
  <c r="D10" i="15"/>
  <c r="E6" i="15"/>
  <c r="B8" i="15"/>
  <c r="G8" i="15"/>
  <c r="E10" i="15"/>
  <c r="J28" i="16" l="1"/>
  <c r="J25" i="16"/>
  <c r="J31" i="16"/>
  <c r="V6" i="15"/>
  <c r="O10" i="15"/>
  <c r="H10" i="15"/>
  <c r="O6" i="15"/>
  <c r="V8" i="15"/>
  <c r="O8" i="15"/>
  <c r="V10" i="15"/>
  <c r="H8" i="15"/>
  <c r="H6" i="15"/>
  <c r="D34" i="14" l="1"/>
  <c r="C34" i="14" s="1"/>
  <c r="C44" i="14" s="1"/>
  <c r="G34" i="14"/>
  <c r="G44" i="14" s="1"/>
  <c r="K4" i="14"/>
  <c r="E34" i="14"/>
  <c r="S37" i="14"/>
  <c r="S38" i="14" s="1"/>
  <c r="L44" i="14"/>
  <c r="L39" i="14"/>
  <c r="P37" i="14"/>
  <c r="P38" i="14" s="1"/>
  <c r="O37" i="14"/>
  <c r="O38" i="14" s="1"/>
  <c r="N37" i="14"/>
  <c r="N38" i="14" s="1"/>
  <c r="M37" i="14"/>
  <c r="M38" i="14" s="1"/>
  <c r="L43" i="14"/>
  <c r="O39" i="14" l="1"/>
  <c r="P39" i="16"/>
  <c r="M39" i="14"/>
  <c r="N39" i="16"/>
  <c r="N39" i="14"/>
  <c r="O39" i="16"/>
  <c r="P39" i="14"/>
  <c r="Q39" i="16"/>
  <c r="V7" i="9"/>
  <c r="G21" i="9"/>
  <c r="I19" i="9"/>
  <c r="A31" i="9"/>
  <c r="A30" i="9"/>
  <c r="A29" i="9"/>
  <c r="A28" i="9"/>
  <c r="A27" i="9"/>
  <c r="A26" i="9"/>
  <c r="A25" i="9"/>
  <c r="A24" i="9"/>
  <c r="A23" i="9"/>
  <c r="A22" i="9"/>
  <c r="A21" i="9"/>
  <c r="A20" i="9"/>
  <c r="D19" i="9"/>
  <c r="B19" i="9"/>
  <c r="L30" i="14"/>
  <c r="L29" i="14"/>
  <c r="L25" i="14"/>
  <c r="O23" i="14"/>
  <c r="E21" i="14"/>
  <c r="E30" i="14" s="1"/>
  <c r="E20" i="14"/>
  <c r="H20" i="14" s="1"/>
  <c r="D20" i="9" l="1"/>
  <c r="D24" i="9"/>
  <c r="D25" i="9"/>
  <c r="D23" i="9"/>
  <c r="D21" i="9"/>
  <c r="D22" i="9"/>
  <c r="A42" i="9"/>
  <c r="P24" i="14"/>
  <c r="O24" i="14"/>
  <c r="A38" i="9"/>
  <c r="D38" i="9" s="1"/>
  <c r="A39" i="9"/>
  <c r="D39" i="9" s="1"/>
  <c r="A47" i="9"/>
  <c r="A36" i="9"/>
  <c r="D36" i="9" s="1"/>
  <c r="A40" i="9"/>
  <c r="A37" i="9"/>
  <c r="D37" i="9" s="1"/>
  <c r="A41" i="9"/>
  <c r="A46" i="9"/>
  <c r="A43" i="9"/>
  <c r="A44" i="9"/>
  <c r="A45" i="9"/>
  <c r="S39" i="14"/>
  <c r="T39" i="16"/>
  <c r="G40" i="14"/>
  <c r="E23" i="14"/>
  <c r="C37" i="14"/>
  <c r="E41" i="14"/>
  <c r="C43" i="14"/>
  <c r="G38" i="14"/>
  <c r="E40" i="14"/>
  <c r="C41" i="14"/>
  <c r="G43" i="14"/>
  <c r="G37" i="14"/>
  <c r="E38" i="14"/>
  <c r="C40" i="14"/>
  <c r="G41" i="14"/>
  <c r="E37" i="14"/>
  <c r="E43" i="14"/>
  <c r="C38" i="14"/>
  <c r="I20" i="14"/>
  <c r="I21" i="14" s="1"/>
  <c r="I22" i="14" s="1"/>
  <c r="D20" i="14"/>
  <c r="H21" i="14"/>
  <c r="H22" i="14" s="1"/>
  <c r="E24" i="14"/>
  <c r="G20" i="14"/>
  <c r="G21" i="14" s="1"/>
  <c r="G22" i="14" s="1"/>
  <c r="C21" i="14"/>
  <c r="N23" i="14"/>
  <c r="N24" i="14" s="1"/>
  <c r="E27" i="14"/>
  <c r="E29" i="14"/>
  <c r="E26" i="14"/>
  <c r="K20" i="14"/>
  <c r="M23" i="14"/>
  <c r="M24" i="14" s="1"/>
  <c r="C20" i="14"/>
  <c r="D21" i="14"/>
  <c r="C30" i="14" l="1"/>
  <c r="G23" i="14"/>
  <c r="G30" i="14"/>
  <c r="I26" i="14"/>
  <c r="I30" i="14"/>
  <c r="H24" i="14"/>
  <c r="H30" i="14"/>
  <c r="D30" i="14"/>
  <c r="C23" i="14"/>
  <c r="D23" i="14"/>
  <c r="C39" i="14"/>
  <c r="C42" i="14"/>
  <c r="D26" i="14"/>
  <c r="H23" i="14"/>
  <c r="I23" i="14"/>
  <c r="D39" i="14"/>
  <c r="D42" i="14"/>
  <c r="D45" i="14"/>
  <c r="G39" i="14"/>
  <c r="C45" i="14"/>
  <c r="G42" i="14"/>
  <c r="E45" i="14"/>
  <c r="E42" i="14"/>
  <c r="E39" i="14"/>
  <c r="G45" i="14"/>
  <c r="I24" i="14"/>
  <c r="I29" i="14"/>
  <c r="I27" i="14"/>
  <c r="H26" i="14"/>
  <c r="H27" i="14"/>
  <c r="H29" i="14"/>
  <c r="D29" i="14"/>
  <c r="E25" i="14"/>
  <c r="D27" i="14"/>
  <c r="D24" i="14"/>
  <c r="E31" i="14"/>
  <c r="E28" i="14"/>
  <c r="G29" i="14"/>
  <c r="G27" i="14"/>
  <c r="G26" i="14"/>
  <c r="G24" i="14"/>
  <c r="C24" i="14"/>
  <c r="C29" i="14"/>
  <c r="C27" i="14"/>
  <c r="C26" i="14"/>
  <c r="H25" i="14" l="1"/>
  <c r="I31" i="14"/>
  <c r="I28" i="14"/>
  <c r="I25" i="14"/>
  <c r="H28" i="14"/>
  <c r="H31" i="14"/>
  <c r="D31" i="14"/>
  <c r="C28" i="14"/>
  <c r="C31" i="14"/>
  <c r="D28" i="14"/>
  <c r="C25" i="14"/>
  <c r="G28" i="14"/>
  <c r="G25" i="14"/>
  <c r="G31" i="14"/>
  <c r="D25" i="14"/>
  <c r="B59" i="10"/>
  <c r="J41" i="10" l="1"/>
  <c r="I41" i="10"/>
  <c r="H41" i="10"/>
  <c r="A35" i="10"/>
  <c r="A34" i="10"/>
  <c r="A33" i="10"/>
  <c r="A32" i="10"/>
  <c r="A31" i="10"/>
  <c r="A30" i="10"/>
  <c r="A29" i="10"/>
  <c r="A28" i="10"/>
  <c r="A27" i="10"/>
  <c r="A26" i="10"/>
  <c r="J23" i="10"/>
  <c r="I23" i="10"/>
  <c r="H23" i="10"/>
  <c r="G41" i="10" l="1"/>
  <c r="F41" i="10"/>
  <c r="E41" i="10"/>
  <c r="D41" i="10"/>
  <c r="C41" i="10"/>
  <c r="B41" i="10"/>
  <c r="G23" i="10"/>
  <c r="F23" i="10"/>
  <c r="E23" i="10"/>
  <c r="D23" i="10" l="1"/>
  <c r="C23" i="10"/>
  <c r="B23" i="10"/>
  <c r="O4" i="9" l="1"/>
  <c r="M6" i="9"/>
  <c r="D41" i="9" l="1"/>
  <c r="D40" i="9"/>
  <c r="D42" i="9" l="1"/>
  <c r="K25" i="9"/>
  <c r="D26" i="9"/>
  <c r="D44" i="9"/>
  <c r="D28" i="9"/>
  <c r="D46" i="9"/>
  <c r="D30" i="9"/>
  <c r="D43" i="9"/>
  <c r="D27" i="9"/>
  <c r="D45" i="9"/>
  <c r="D29" i="9"/>
  <c r="D47" i="9"/>
  <c r="D31" i="9"/>
  <c r="H35" i="9"/>
  <c r="O43" i="14"/>
  <c r="O40" i="14" s="1"/>
  <c r="P43" i="16"/>
  <c r="P40" i="16" s="1"/>
  <c r="M43" i="14"/>
  <c r="M40" i="14" s="1"/>
  <c r="N43" i="16"/>
  <c r="N40" i="16" s="1"/>
  <c r="N43" i="14"/>
  <c r="N40" i="14" s="1"/>
  <c r="O43" i="16"/>
  <c r="O40" i="16" s="1"/>
  <c r="P43" i="14"/>
  <c r="P40" i="14" s="1"/>
  <c r="Q43" i="16"/>
  <c r="Q40" i="16" s="1"/>
  <c r="V5" i="9"/>
  <c r="H19" i="9"/>
  <c r="N4" i="9"/>
  <c r="F2" i="9"/>
  <c r="C3" i="9"/>
  <c r="K46" i="9" l="1"/>
  <c r="S6" i="9"/>
  <c r="J46" i="9"/>
  <c r="R6" i="9"/>
  <c r="I46" i="9"/>
  <c r="U6" i="9"/>
  <c r="H46" i="9"/>
  <c r="T6" i="9"/>
  <c r="H2" i="9"/>
  <c r="F15" i="9"/>
  <c r="F14" i="9"/>
  <c r="F13" i="9"/>
  <c r="F12" i="9"/>
  <c r="F11" i="9"/>
  <c r="F10" i="9"/>
  <c r="F9" i="9"/>
  <c r="B25" i="9" s="1"/>
  <c r="F8" i="9"/>
  <c r="B24" i="9" s="1"/>
  <c r="F7" i="9"/>
  <c r="B23" i="9" s="1"/>
  <c r="F6" i="9"/>
  <c r="B22" i="9" s="1"/>
  <c r="F5" i="9"/>
  <c r="B21" i="9" s="1"/>
  <c r="F4" i="9"/>
  <c r="B20" i="9" s="1"/>
  <c r="B4" i="16"/>
  <c r="G36" i="9"/>
  <c r="C35" i="9"/>
  <c r="B4" i="14"/>
  <c r="P25" i="14"/>
  <c r="S43" i="14"/>
  <c r="S40" i="14" s="1"/>
  <c r="T43" i="16"/>
  <c r="T40" i="16" s="1"/>
  <c r="C19" i="9"/>
  <c r="G20" i="9"/>
  <c r="G2" i="9"/>
  <c r="I2" i="9" s="1"/>
  <c r="M5" i="9"/>
  <c r="R9" i="9"/>
  <c r="I39" i="9" s="1"/>
  <c r="I40" i="9" s="1"/>
  <c r="O29" i="16" s="1"/>
  <c r="J25" i="9" l="1"/>
  <c r="B31" i="9"/>
  <c r="B47" i="9"/>
  <c r="B30" i="9"/>
  <c r="B46" i="9"/>
  <c r="B29" i="9"/>
  <c r="B45" i="9"/>
  <c r="B28" i="9"/>
  <c r="B44" i="9"/>
  <c r="I25" i="9"/>
  <c r="B27" i="9"/>
  <c r="B43" i="9"/>
  <c r="H25" i="9"/>
  <c r="B26" i="9"/>
  <c r="B42" i="9"/>
  <c r="H15" i="9"/>
  <c r="C31" i="9" s="1"/>
  <c r="H14" i="9"/>
  <c r="C46" i="9" s="1"/>
  <c r="H13" i="9"/>
  <c r="C45" i="9" s="1"/>
  <c r="H11" i="9"/>
  <c r="C43" i="9" s="1"/>
  <c r="H9" i="9"/>
  <c r="C41" i="9" s="1"/>
  <c r="H6" i="9"/>
  <c r="C38" i="9" s="1"/>
  <c r="H5" i="9"/>
  <c r="C37" i="9" s="1"/>
  <c r="H4" i="9"/>
  <c r="C36" i="9" s="1"/>
  <c r="H12" i="9"/>
  <c r="C44" i="9" s="1"/>
  <c r="H10" i="9"/>
  <c r="C42" i="9" s="1"/>
  <c r="H8" i="9"/>
  <c r="H7" i="9"/>
  <c r="C39" i="9" s="1"/>
  <c r="B39" i="9"/>
  <c r="B41" i="9"/>
  <c r="B40" i="9"/>
  <c r="B37" i="9"/>
  <c r="B38" i="9"/>
  <c r="J39" i="9"/>
  <c r="J40" i="9" s="1"/>
  <c r="P29" i="16" s="1"/>
  <c r="H39" i="9"/>
  <c r="I41" i="9"/>
  <c r="M44" i="14"/>
  <c r="M41" i="14" s="1"/>
  <c r="N44" i="16"/>
  <c r="N41" i="16" s="1"/>
  <c r="V6" i="9"/>
  <c r="N44" i="14"/>
  <c r="N41" i="14" s="1"/>
  <c r="O44" i="16"/>
  <c r="O41" i="16" s="1"/>
  <c r="P44" i="14"/>
  <c r="P41" i="14" s="1"/>
  <c r="Q44" i="16"/>
  <c r="Q41" i="16" s="1"/>
  <c r="O44" i="14"/>
  <c r="O41" i="14" s="1"/>
  <c r="P44" i="16"/>
  <c r="P41" i="16" s="1"/>
  <c r="B36" i="9"/>
  <c r="F15" i="10"/>
  <c r="F60" i="10"/>
  <c r="E60" i="10"/>
  <c r="R11" i="9"/>
  <c r="R12" i="9"/>
  <c r="R10" i="9"/>
  <c r="R13" i="9"/>
  <c r="E19" i="10" l="1"/>
  <c r="E13" i="10"/>
  <c r="E9" i="10"/>
  <c r="E16" i="10"/>
  <c r="E12" i="10"/>
  <c r="E8" i="10"/>
  <c r="E15" i="10"/>
  <c r="E11" i="10"/>
  <c r="E7" i="10"/>
  <c r="E14" i="10"/>
  <c r="E10" i="10"/>
  <c r="H41" i="9"/>
  <c r="N25" i="16" s="1"/>
  <c r="H40" i="9"/>
  <c r="J32" i="9"/>
  <c r="K31" i="9" s="1"/>
  <c r="W12" i="14" s="1"/>
  <c r="H21" i="9"/>
  <c r="I42" i="9"/>
  <c r="O30" i="16" s="1"/>
  <c r="C47" i="9"/>
  <c r="J42" i="9"/>
  <c r="C26" i="9"/>
  <c r="C25" i="9"/>
  <c r="C27" i="9"/>
  <c r="C23" i="9"/>
  <c r="C28" i="9"/>
  <c r="C24" i="9"/>
  <c r="C21" i="9"/>
  <c r="C29" i="9"/>
  <c r="C40" i="9"/>
  <c r="H36" i="9"/>
  <c r="C20" i="9"/>
  <c r="C22" i="9"/>
  <c r="C30" i="9"/>
  <c r="J30" i="9"/>
  <c r="H30" i="9"/>
  <c r="I30" i="9" s="1"/>
  <c r="P11" i="14" s="1"/>
  <c r="H37" i="9"/>
  <c r="J41" i="9"/>
  <c r="Q25" i="16" s="1"/>
  <c r="H42" i="9"/>
  <c r="O25" i="16"/>
  <c r="O26" i="16" s="1"/>
  <c r="S44" i="14"/>
  <c r="S41" i="14" s="1"/>
  <c r="T44" i="16"/>
  <c r="T41" i="16" s="1"/>
  <c r="M25" i="14"/>
  <c r="F10" i="10"/>
  <c r="J24" i="9"/>
  <c r="I24" i="9"/>
  <c r="H24" i="9"/>
  <c r="F12" i="10"/>
  <c r="F8" i="10"/>
  <c r="F13" i="10"/>
  <c r="F9" i="10"/>
  <c r="F16" i="10"/>
  <c r="F11" i="10"/>
  <c r="F14" i="10"/>
  <c r="F7" i="10"/>
  <c r="E74" i="10"/>
  <c r="E71" i="10"/>
  <c r="E70" i="10"/>
  <c r="E69" i="10"/>
  <c r="E68" i="10"/>
  <c r="E67" i="10"/>
  <c r="E66" i="10"/>
  <c r="E65" i="10"/>
  <c r="E64" i="10"/>
  <c r="E63" i="10"/>
  <c r="E62" i="10"/>
  <c r="D60" i="10"/>
  <c r="C59" i="10"/>
  <c r="B60" i="10"/>
  <c r="C60" i="10"/>
  <c r="F19" i="10"/>
  <c r="F74" i="10"/>
  <c r="F71" i="10"/>
  <c r="F70" i="10"/>
  <c r="F69" i="10"/>
  <c r="F68" i="10"/>
  <c r="F67" i="10"/>
  <c r="F66" i="10"/>
  <c r="F65" i="10"/>
  <c r="F64" i="10"/>
  <c r="F63" i="10"/>
  <c r="F62" i="10"/>
  <c r="I42" i="10"/>
  <c r="I43" i="10" s="1"/>
  <c r="J42" i="10"/>
  <c r="J43" i="10" s="1"/>
  <c r="H24" i="10"/>
  <c r="H42" i="10"/>
  <c r="H43" i="10" s="1"/>
  <c r="J24" i="10"/>
  <c r="I24" i="10"/>
  <c r="B42" i="10"/>
  <c r="B43" i="10" s="1"/>
  <c r="E43" i="10" s="1"/>
  <c r="G42" i="10"/>
  <c r="F42" i="10"/>
  <c r="C42" i="10"/>
  <c r="C43" i="10" s="1"/>
  <c r="F43" i="10" s="1"/>
  <c r="E42" i="10"/>
  <c r="D42" i="10"/>
  <c r="D43" i="10" s="1"/>
  <c r="G43" i="10" s="1"/>
  <c r="G24" i="10"/>
  <c r="E24" i="10"/>
  <c r="F24" i="10"/>
  <c r="D24" i="10"/>
  <c r="B24" i="10"/>
  <c r="B25" i="10" s="1"/>
  <c r="C24" i="10"/>
  <c r="C25" i="10" s="1"/>
  <c r="T13" i="9"/>
  <c r="S10" i="9"/>
  <c r="S11" i="9" s="1"/>
  <c r="S12" i="9" s="1"/>
  <c r="D25" i="10" l="1"/>
  <c r="D38" i="10" s="1"/>
  <c r="G35" i="10"/>
  <c r="G31" i="10"/>
  <c r="G27" i="10"/>
  <c r="G38" i="10"/>
  <c r="G32" i="10"/>
  <c r="G28" i="10"/>
  <c r="G33" i="10"/>
  <c r="G29" i="10"/>
  <c r="G34" i="10"/>
  <c r="G52" i="10" s="1"/>
  <c r="G30" i="10"/>
  <c r="G26" i="10"/>
  <c r="F34" i="10"/>
  <c r="F52" i="10" s="1"/>
  <c r="F30" i="10"/>
  <c r="F35" i="10"/>
  <c r="F31" i="10"/>
  <c r="F27" i="10"/>
  <c r="F38" i="10"/>
  <c r="F32" i="10"/>
  <c r="F28" i="10"/>
  <c r="F33" i="10"/>
  <c r="F29" i="10"/>
  <c r="F26" i="10"/>
  <c r="E33" i="10"/>
  <c r="E29" i="10"/>
  <c r="E34" i="10"/>
  <c r="E52" i="10" s="1"/>
  <c r="E30" i="10"/>
  <c r="E26" i="10"/>
  <c r="E35" i="10"/>
  <c r="E31" i="10"/>
  <c r="E27" i="10"/>
  <c r="E38" i="10"/>
  <c r="E32" i="10"/>
  <c r="E28" i="10"/>
  <c r="K30" i="9"/>
  <c r="W11" i="14" s="1"/>
  <c r="K29" i="9"/>
  <c r="W10" i="14" s="1"/>
  <c r="P30" i="16"/>
  <c r="N29" i="16"/>
  <c r="Q29" i="16" s="1"/>
  <c r="Q26" i="16" s="1"/>
  <c r="H20" i="9"/>
  <c r="I37" i="9"/>
  <c r="N30" i="16"/>
  <c r="N27" i="16" s="1"/>
  <c r="P25" i="16"/>
  <c r="P26" i="16" s="1"/>
  <c r="O27" i="16"/>
  <c r="N25" i="14"/>
  <c r="N29" i="14"/>
  <c r="O25" i="14"/>
  <c r="M29" i="14"/>
  <c r="O29" i="14"/>
  <c r="F17" i="10"/>
  <c r="H19" i="10"/>
  <c r="D67" i="10"/>
  <c r="D63" i="10"/>
  <c r="D70" i="10"/>
  <c r="D66" i="10"/>
  <c r="D74" i="10"/>
  <c r="D69" i="10"/>
  <c r="D65" i="10"/>
  <c r="D71" i="10"/>
  <c r="D68" i="10"/>
  <c r="D64" i="10"/>
  <c r="D62" i="10"/>
  <c r="H64" i="10"/>
  <c r="H68" i="10"/>
  <c r="H71" i="10"/>
  <c r="F72" i="10"/>
  <c r="H65" i="10"/>
  <c r="H69" i="10"/>
  <c r="H74" i="10"/>
  <c r="H63" i="10"/>
  <c r="H67" i="10"/>
  <c r="E72" i="10"/>
  <c r="H66" i="10"/>
  <c r="H70" i="10"/>
  <c r="I33" i="10"/>
  <c r="I31" i="10"/>
  <c r="I29" i="10"/>
  <c r="I27" i="10"/>
  <c r="I38" i="10"/>
  <c r="I30" i="10"/>
  <c r="I35" i="10"/>
  <c r="I34" i="10"/>
  <c r="I32" i="10"/>
  <c r="I28" i="10"/>
  <c r="I26" i="10"/>
  <c r="H31" i="10"/>
  <c r="H27" i="10"/>
  <c r="H33" i="10"/>
  <c r="H35" i="10"/>
  <c r="H34" i="10"/>
  <c r="H30" i="10"/>
  <c r="H38" i="10"/>
  <c r="H29" i="10"/>
  <c r="H32" i="10"/>
  <c r="H28" i="10"/>
  <c r="H26" i="10"/>
  <c r="J31" i="10"/>
  <c r="J27" i="10"/>
  <c r="J38" i="10"/>
  <c r="J35" i="10"/>
  <c r="J34" i="10"/>
  <c r="J32" i="10"/>
  <c r="J30" i="10"/>
  <c r="J28" i="10"/>
  <c r="J26" i="10"/>
  <c r="J33" i="10"/>
  <c r="J29" i="10"/>
  <c r="N26" i="16" l="1"/>
  <c r="P27" i="16"/>
  <c r="N26" i="14"/>
  <c r="P29" i="14"/>
  <c r="M26" i="14"/>
  <c r="O26" i="14"/>
  <c r="H72" i="10"/>
  <c r="K68" i="10"/>
  <c r="K69" i="10"/>
  <c r="K70" i="10"/>
  <c r="K71" i="10"/>
  <c r="H62" i="10"/>
  <c r="K62" i="10"/>
  <c r="D72" i="10"/>
  <c r="K67" i="10"/>
  <c r="K74" i="10"/>
  <c r="K63" i="10"/>
  <c r="K64" i="10"/>
  <c r="K65" i="10"/>
  <c r="K66" i="10"/>
  <c r="H36" i="10"/>
  <c r="J36" i="10"/>
  <c r="I36" i="10"/>
  <c r="G36" i="10"/>
  <c r="F36" i="10"/>
  <c r="E36" i="10"/>
  <c r="D5" i="11"/>
  <c r="D4" i="11"/>
  <c r="A17" i="11" s="1"/>
  <c r="B4" i="11"/>
  <c r="D14" i="11" l="1"/>
  <c r="D7" i="11"/>
  <c r="D11" i="11"/>
  <c r="D13" i="11"/>
  <c r="D8" i="11"/>
  <c r="D10" i="11"/>
  <c r="P26" i="14"/>
  <c r="B5" i="11"/>
  <c r="C5" i="11"/>
  <c r="C4" i="11"/>
  <c r="B14" i="11" l="1"/>
  <c r="C14" i="11"/>
  <c r="E14" i="11"/>
  <c r="H16" i="10"/>
  <c r="H15" i="10"/>
  <c r="H14" i="10"/>
  <c r="H13" i="10"/>
  <c r="H12" i="10"/>
  <c r="H11" i="10"/>
  <c r="H10" i="10"/>
  <c r="H9" i="10"/>
  <c r="H8" i="10"/>
  <c r="D5" i="10"/>
  <c r="C5" i="10"/>
  <c r="B5" i="10"/>
  <c r="C4" i="10"/>
  <c r="B4" i="10"/>
  <c r="D14" i="10" l="1"/>
  <c r="G14" i="10" s="1"/>
  <c r="D10" i="10"/>
  <c r="G10" i="10" s="1"/>
  <c r="D19" i="10"/>
  <c r="G19" i="10" s="1"/>
  <c r="D13" i="10"/>
  <c r="G13" i="10" s="1"/>
  <c r="D9" i="10"/>
  <c r="G9" i="10" s="1"/>
  <c r="D16" i="10"/>
  <c r="G16" i="10" s="1"/>
  <c r="D12" i="10"/>
  <c r="G12" i="10" s="1"/>
  <c r="D8" i="10"/>
  <c r="G8" i="10" s="1"/>
  <c r="D15" i="10"/>
  <c r="G15" i="10" s="1"/>
  <c r="D11" i="10"/>
  <c r="G11" i="10" s="1"/>
  <c r="D7" i="10"/>
  <c r="C74" i="10"/>
  <c r="I74" i="10" s="1"/>
  <c r="C71" i="10"/>
  <c r="I71" i="10" s="1"/>
  <c r="C70" i="10"/>
  <c r="I70" i="10" s="1"/>
  <c r="C69" i="10"/>
  <c r="I69" i="10" s="1"/>
  <c r="C68" i="10"/>
  <c r="I68" i="10" s="1"/>
  <c r="C67" i="10"/>
  <c r="I67" i="10" s="1"/>
  <c r="C66" i="10"/>
  <c r="I66" i="10" s="1"/>
  <c r="C65" i="10"/>
  <c r="I65" i="10" s="1"/>
  <c r="C64" i="10"/>
  <c r="I64" i="10" s="1"/>
  <c r="C63" i="10"/>
  <c r="I63" i="10" s="1"/>
  <c r="C62" i="10"/>
  <c r="B19" i="10"/>
  <c r="J19" i="10" s="1"/>
  <c r="B74" i="10"/>
  <c r="B71" i="10"/>
  <c r="B70" i="10"/>
  <c r="B69" i="10"/>
  <c r="B68" i="10"/>
  <c r="B67" i="10"/>
  <c r="B66" i="10"/>
  <c r="B65" i="10"/>
  <c r="B64" i="10"/>
  <c r="B63" i="10"/>
  <c r="B62" i="10"/>
  <c r="C19" i="10"/>
  <c r="K19" i="10" s="1"/>
  <c r="E17" i="10"/>
  <c r="H17" i="10" s="1"/>
  <c r="H7" i="10"/>
  <c r="B14" i="10"/>
  <c r="J14" i="10" s="1"/>
  <c r="B12" i="10"/>
  <c r="J12" i="10" s="1"/>
  <c r="F14" i="11"/>
  <c r="G14" i="11"/>
  <c r="H14" i="11"/>
  <c r="C16" i="10"/>
  <c r="K16" i="10" s="1"/>
  <c r="B7" i="10"/>
  <c r="B8" i="10"/>
  <c r="I8" i="10" s="1"/>
  <c r="C15" i="10"/>
  <c r="K15" i="10" s="1"/>
  <c r="B11" i="10"/>
  <c r="J11" i="10" s="1"/>
  <c r="B15" i="10"/>
  <c r="J15" i="10" s="1"/>
  <c r="C14" i="10"/>
  <c r="K14" i="10" s="1"/>
  <c r="B9" i="10"/>
  <c r="J9" i="10" s="1"/>
  <c r="B13" i="10"/>
  <c r="J13" i="10" s="1"/>
  <c r="B16" i="10"/>
  <c r="J16" i="10" s="1"/>
  <c r="C8" i="10"/>
  <c r="K8" i="10" s="1"/>
  <c r="C12" i="10"/>
  <c r="K12" i="10" s="1"/>
  <c r="C10" i="10"/>
  <c r="K10" i="10" s="1"/>
  <c r="C11" i="10"/>
  <c r="K11" i="10" s="1"/>
  <c r="B10" i="10"/>
  <c r="I10" i="10" s="1"/>
  <c r="C7" i="10"/>
  <c r="C9" i="10"/>
  <c r="K9" i="10" s="1"/>
  <c r="C13" i="10"/>
  <c r="K13" i="10" s="1"/>
  <c r="J69" i="10" l="1"/>
  <c r="G69" i="10"/>
  <c r="J74" i="10"/>
  <c r="G74" i="10"/>
  <c r="J66" i="10"/>
  <c r="G66" i="10"/>
  <c r="J70" i="10"/>
  <c r="G70" i="10"/>
  <c r="I19" i="10"/>
  <c r="J63" i="10"/>
  <c r="G63" i="10"/>
  <c r="J67" i="10"/>
  <c r="G67" i="10"/>
  <c r="C72" i="10"/>
  <c r="K72" i="10" s="1"/>
  <c r="I62" i="10"/>
  <c r="J65" i="10"/>
  <c r="G65" i="10"/>
  <c r="B72" i="10"/>
  <c r="J62" i="10"/>
  <c r="G62" i="10"/>
  <c r="J64" i="10"/>
  <c r="G64" i="10"/>
  <c r="J68" i="10"/>
  <c r="G68" i="10"/>
  <c r="J71" i="10"/>
  <c r="G71" i="10"/>
  <c r="I14" i="10"/>
  <c r="I12" i="10"/>
  <c r="D12" i="11"/>
  <c r="D15" i="11"/>
  <c r="D9" i="11"/>
  <c r="K7" i="10"/>
  <c r="C17" i="10"/>
  <c r="K17" i="10" s="1"/>
  <c r="G7" i="10"/>
  <c r="D17" i="10"/>
  <c r="G17" i="10" s="1"/>
  <c r="J7" i="10"/>
  <c r="B17" i="10"/>
  <c r="I17" i="10" s="1"/>
  <c r="I7" i="10"/>
  <c r="J8" i="10"/>
  <c r="I15" i="10"/>
  <c r="I11" i="10"/>
  <c r="J10" i="10"/>
  <c r="I13" i="10"/>
  <c r="I9" i="10"/>
  <c r="I16" i="10"/>
  <c r="D30" i="10" l="1"/>
  <c r="J48" i="10" s="1"/>
  <c r="D29" i="10"/>
  <c r="J47" i="10" s="1"/>
  <c r="D31" i="10"/>
  <c r="J49" i="10" s="1"/>
  <c r="D26" i="10"/>
  <c r="J44" i="10" s="1"/>
  <c r="D35" i="10"/>
  <c r="J53" i="10" s="1"/>
  <c r="D27" i="10"/>
  <c r="J45" i="10" s="1"/>
  <c r="D56" i="10"/>
  <c r="D32" i="10"/>
  <c r="J50" i="10" s="1"/>
  <c r="D34" i="10"/>
  <c r="D33" i="10"/>
  <c r="J51" i="10" s="1"/>
  <c r="D28" i="10"/>
  <c r="J46" i="10" s="1"/>
  <c r="C31" i="10"/>
  <c r="I49" i="10" s="1"/>
  <c r="C26" i="10"/>
  <c r="I44" i="10" s="1"/>
  <c r="C35" i="10"/>
  <c r="I53" i="10" s="1"/>
  <c r="C27" i="10"/>
  <c r="I45" i="10" s="1"/>
  <c r="C38" i="10"/>
  <c r="C56" i="10" s="1"/>
  <c r="C32" i="10"/>
  <c r="I50" i="10" s="1"/>
  <c r="C34" i="10"/>
  <c r="C33" i="10"/>
  <c r="I51" i="10" s="1"/>
  <c r="C28" i="10"/>
  <c r="I46" i="10" s="1"/>
  <c r="C30" i="10"/>
  <c r="F48" i="10" s="1"/>
  <c r="C29" i="10"/>
  <c r="F47" i="10" s="1"/>
  <c r="B31" i="10"/>
  <c r="H49" i="10" s="1"/>
  <c r="B26" i="10"/>
  <c r="H44" i="10" s="1"/>
  <c r="B35" i="10"/>
  <c r="H53" i="10" s="1"/>
  <c r="B27" i="10"/>
  <c r="H45" i="10" s="1"/>
  <c r="B38" i="10"/>
  <c r="B32" i="10"/>
  <c r="H50" i="10" s="1"/>
  <c r="B34" i="10"/>
  <c r="B33" i="10"/>
  <c r="H51" i="10" s="1"/>
  <c r="B28" i="10"/>
  <c r="H46" i="10" s="1"/>
  <c r="B30" i="10"/>
  <c r="E48" i="10" s="1"/>
  <c r="B29" i="10"/>
  <c r="E47" i="10" s="1"/>
  <c r="G72" i="10"/>
  <c r="I72" i="10"/>
  <c r="J72" i="10"/>
  <c r="J17" i="10"/>
  <c r="D11" i="9"/>
  <c r="D10" i="9"/>
  <c r="D9" i="9"/>
  <c r="D8" i="9"/>
  <c r="D7" i="9"/>
  <c r="D6" i="9"/>
  <c r="D5" i="9"/>
  <c r="D4" i="9"/>
  <c r="B15" i="9"/>
  <c r="B14" i="9"/>
  <c r="H56" i="10" l="1"/>
  <c r="E56" i="10"/>
  <c r="I56" i="10"/>
  <c r="B56" i="10"/>
  <c r="G56" i="10"/>
  <c r="J56" i="10"/>
  <c r="F56" i="10"/>
  <c r="D52" i="10"/>
  <c r="J52" i="10"/>
  <c r="B52" i="10"/>
  <c r="H52" i="10"/>
  <c r="C52" i="10"/>
  <c r="I52" i="10"/>
  <c r="C48" i="10"/>
  <c r="I48" i="10"/>
  <c r="C47" i="10"/>
  <c r="I47" i="10"/>
  <c r="B48" i="10"/>
  <c r="H48" i="10"/>
  <c r="B47" i="10"/>
  <c r="H47" i="10"/>
  <c r="B49" i="10"/>
  <c r="E49" i="10"/>
  <c r="B53" i="10"/>
  <c r="E53" i="10"/>
  <c r="C53" i="10"/>
  <c r="F53" i="10"/>
  <c r="D46" i="10"/>
  <c r="G46" i="10"/>
  <c r="D47" i="10"/>
  <c r="G47" i="10"/>
  <c r="B50" i="10"/>
  <c r="E50" i="10"/>
  <c r="B45" i="10"/>
  <c r="E45" i="10"/>
  <c r="B51" i="10"/>
  <c r="E51" i="10"/>
  <c r="C45" i="10"/>
  <c r="F45" i="10"/>
  <c r="C51" i="10"/>
  <c r="F51" i="10"/>
  <c r="D50" i="10"/>
  <c r="G50" i="10"/>
  <c r="D45" i="10"/>
  <c r="G45" i="10"/>
  <c r="B44" i="10"/>
  <c r="E44" i="10"/>
  <c r="C49" i="10"/>
  <c r="F49" i="10"/>
  <c r="C44" i="10"/>
  <c r="F44" i="10"/>
  <c r="D51" i="10"/>
  <c r="G51" i="10"/>
  <c r="D53" i="10"/>
  <c r="G53" i="10"/>
  <c r="D49" i="10"/>
  <c r="G49" i="10"/>
  <c r="B46" i="10"/>
  <c r="E46" i="10"/>
  <c r="C46" i="10"/>
  <c r="F46" i="10"/>
  <c r="C50" i="10"/>
  <c r="F50" i="10"/>
  <c r="D44" i="10"/>
  <c r="G44" i="10"/>
  <c r="D48" i="10"/>
  <c r="G48" i="10"/>
  <c r="B36" i="10"/>
  <c r="C36" i="10"/>
  <c r="D36" i="10"/>
  <c r="C8" i="11"/>
  <c r="G54" i="10" l="1"/>
  <c r="J54" i="10"/>
  <c r="F54" i="10"/>
  <c r="I54" i="10"/>
  <c r="E54" i="10"/>
  <c r="H54" i="10"/>
  <c r="B54" i="10"/>
  <c r="C54" i="10"/>
  <c r="D54" i="10"/>
  <c r="C10" i="11"/>
  <c r="B6" i="9"/>
  <c r="C13" i="11"/>
  <c r="B13" i="11"/>
  <c r="E13" i="11"/>
  <c r="F13" i="11" s="1"/>
  <c r="C11" i="11"/>
  <c r="B10" i="11"/>
  <c r="E10" i="11"/>
  <c r="F10" i="11" s="1"/>
  <c r="B11" i="11"/>
  <c r="E11" i="11"/>
  <c r="F11" i="11" s="1"/>
  <c r="B8" i="11"/>
  <c r="E8" i="11"/>
  <c r="F8" i="11" s="1"/>
  <c r="C6" i="9"/>
  <c r="C10" i="9"/>
  <c r="B13" i="9"/>
  <c r="B4" i="9"/>
  <c r="B7" i="9"/>
  <c r="B11" i="9"/>
  <c r="C7" i="9"/>
  <c r="C11" i="9"/>
  <c r="B5" i="9"/>
  <c r="B9" i="9"/>
  <c r="C5" i="9"/>
  <c r="C9" i="9"/>
  <c r="B8" i="9"/>
  <c r="C4" i="9"/>
  <c r="C8" i="9"/>
  <c r="C12" i="9"/>
  <c r="C15" i="9" l="1"/>
  <c r="J26" i="9"/>
  <c r="C14" i="9"/>
  <c r="I26" i="9"/>
  <c r="H13" i="11"/>
  <c r="H10" i="11"/>
  <c r="G13" i="11"/>
  <c r="G10" i="11"/>
  <c r="G11" i="11"/>
  <c r="H11" i="11"/>
  <c r="G8" i="11"/>
  <c r="H8" i="11"/>
  <c r="B10" i="9"/>
  <c r="C7" i="11"/>
  <c r="B7" i="11"/>
  <c r="E7" i="11"/>
  <c r="D14" i="9"/>
  <c r="D15" i="9"/>
  <c r="B12" i="9"/>
  <c r="D12" i="9"/>
  <c r="D13" i="9"/>
  <c r="I21" i="9" l="1"/>
  <c r="O30" i="14"/>
  <c r="N30" i="14"/>
  <c r="N27" i="14" s="1"/>
  <c r="N6" i="9"/>
  <c r="C13" i="9"/>
  <c r="N5" i="9" s="1"/>
  <c r="H26" i="9"/>
  <c r="H7" i="11"/>
  <c r="C12" i="11"/>
  <c r="C9" i="11"/>
  <c r="C15" i="11"/>
  <c r="G7" i="11"/>
  <c r="B9" i="11"/>
  <c r="B12" i="11"/>
  <c r="B15" i="11"/>
  <c r="E9" i="11"/>
  <c r="E15" i="11"/>
  <c r="E12" i="11"/>
  <c r="F7" i="11"/>
  <c r="Q30" i="16" l="1"/>
  <c r="Q27" i="16" s="1"/>
  <c r="M30" i="14"/>
  <c r="M27" i="14" s="1"/>
  <c r="O27" i="14"/>
  <c r="O6" i="9"/>
  <c r="G9" i="11"/>
  <c r="G15" i="11"/>
  <c r="G12" i="11"/>
  <c r="H9" i="11"/>
  <c r="H15" i="11"/>
  <c r="H12" i="11"/>
  <c r="F15" i="11"/>
  <c r="F9" i="11"/>
  <c r="F12" i="11"/>
  <c r="P30" i="14" l="1"/>
  <c r="P27" i="14" s="1"/>
</calcChain>
</file>

<file path=xl/comments1.xml><?xml version="1.0" encoding="utf-8"?>
<comments xmlns="http://schemas.openxmlformats.org/spreadsheetml/2006/main">
  <authors>
    <author>Celso Leite</author>
  </authors>
  <commentList>
    <comment ref="R28" authorId="0">
      <text>
        <r>
          <rPr>
            <b/>
            <sz val="9"/>
            <color indexed="81"/>
            <rFont val="Tahoma"/>
            <family val="2"/>
          </rPr>
          <t>Celso Leite:</t>
        </r>
        <r>
          <rPr>
            <sz val="9"/>
            <color indexed="81"/>
            <rFont val="Tahoma"/>
            <family val="2"/>
          </rPr>
          <t xml:space="preserve">
Colocar números da planilha Sales Dashboard</t>
        </r>
      </text>
    </comment>
  </commentList>
</comments>
</file>

<file path=xl/sharedStrings.xml><?xml version="1.0" encoding="utf-8"?>
<sst xmlns="http://schemas.openxmlformats.org/spreadsheetml/2006/main" count="2423" uniqueCount="136">
  <si>
    <t>Total Sales</t>
  </si>
  <si>
    <t>Gross Profit 2</t>
  </si>
  <si>
    <t>Total OPEX</t>
  </si>
  <si>
    <t>Gross Profit 1</t>
  </si>
  <si>
    <t>GP1 %</t>
  </si>
  <si>
    <t>EBIT</t>
  </si>
  <si>
    <t>CY15</t>
  </si>
  <si>
    <t>Budget</t>
  </si>
  <si>
    <t>Actual</t>
  </si>
  <si>
    <t>Forecast</t>
  </si>
  <si>
    <t>Euro</t>
  </si>
  <si>
    <t>SC_Total</t>
  </si>
  <si>
    <t>Current Input</t>
  </si>
  <si>
    <t>SOUTH AMERICA</t>
  </si>
  <si>
    <t>Var+OCOS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</si>
  <si>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</si>
  <si>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</si>
  <si>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</si>
  <si>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</si>
  <si>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</si>
  <si>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</si>
  <si>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</si>
  <si>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</si>
  <si>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</si>
  <si>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</si>
  <si>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</si>
  <si>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</si>
  <si>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Geospatial Solutions Division</t>
  </si>
  <si>
    <t>Regional Dealer Division</t>
  </si>
  <si>
    <t>BU Privat Label/OEM MT</t>
  </si>
  <si>
    <t>Leica Shared Services</t>
  </si>
  <si>
    <t>Interdivisional Sales Elimination SURV</t>
  </si>
  <si>
    <t>Interdivisional Sales Elimination TLS</t>
  </si>
  <si>
    <t>Interdivisional Sales Elimination SOL</t>
  </si>
  <si>
    <t>Interdivisional Sales Elimination HMC</t>
  </si>
  <si>
    <t>Interdivisional Sales Elimination MT</t>
  </si>
  <si>
    <t>Interdivisional Sales Elimination CT</t>
  </si>
  <si>
    <t>Interdivisional Sales Elimination CONE</t>
  </si>
  <si>
    <t>BA Surveying &amp; Engineering w IDS</t>
  </si>
  <si>
    <t>BA Terrestrial Laser Scanning w IDS</t>
  </si>
  <si>
    <t>BU GMAT Solutions w IDS</t>
  </si>
  <si>
    <t>BU Construction &amp; Engineering w IDS</t>
  </si>
  <si>
    <t>BU Value Brand Surveying w IDS</t>
  </si>
  <si>
    <t>BU Machine Control Construction w IDS</t>
  </si>
  <si>
    <t>BU Value Brand Construction w IDS</t>
  </si>
  <si>
    <t>BU Construction Tools w IDS</t>
  </si>
  <si>
    <t>BU Measuring Tools w IDS</t>
  </si>
  <si>
    <t>Interdivisional Sales Elimination VBS</t>
  </si>
  <si>
    <t>Act</t>
  </si>
  <si>
    <t>EBIT%</t>
  </si>
  <si>
    <t>GP2%</t>
  </si>
  <si>
    <t>Values in k EUR</t>
  </si>
  <si>
    <t>GSR IDS</t>
  </si>
  <si>
    <t>Bas for GSR w/o GSD</t>
  </si>
  <si>
    <t>FOR</t>
  </si>
  <si>
    <t>FOR/LFOR</t>
  </si>
  <si>
    <t>FOR/LY</t>
  </si>
  <si>
    <t>Deviation</t>
  </si>
  <si>
    <t>FOR/LQ</t>
  </si>
  <si>
    <t>Likely plus Potential</t>
  </si>
  <si>
    <t>PLANNING UNITS BY REGION</t>
  </si>
  <si>
    <t>Last FOR*</t>
  </si>
  <si>
    <t>FOR / LFOR</t>
  </si>
  <si>
    <t>FOR / LY</t>
  </si>
  <si>
    <t>FOR / LQ</t>
  </si>
  <si>
    <t>Firm</t>
  </si>
  <si>
    <t>Committed</t>
  </si>
  <si>
    <t>Upside</t>
  </si>
  <si>
    <t>This Year</t>
  </si>
  <si>
    <t>Last Year</t>
  </si>
  <si>
    <t>Current</t>
  </si>
  <si>
    <t>Δ% TY/B</t>
  </si>
  <si>
    <t>Δ% TY/LY</t>
  </si>
  <si>
    <t>Figures in 1.000 Euros</t>
  </si>
  <si>
    <t>Bud</t>
  </si>
  <si>
    <t>P&amp;L</t>
  </si>
  <si>
    <t>BAs for VB</t>
  </si>
  <si>
    <t>CY16</t>
  </si>
  <si>
    <t>BUD</t>
  </si>
  <si>
    <t>FOR/BUD</t>
  </si>
  <si>
    <t>CQ/LY</t>
  </si>
  <si>
    <t>CQ/LQ</t>
  </si>
  <si>
    <t>CQ/BUD</t>
  </si>
  <si>
    <t>CY16/CY15</t>
  </si>
  <si>
    <t>Sales Dashboard Data</t>
  </si>
  <si>
    <t>MTD Dashboard Data</t>
  </si>
  <si>
    <t>For</t>
  </si>
  <si>
    <t>l</t>
  </si>
  <si>
    <t>CY</t>
  </si>
  <si>
    <t>2016 Quarterly Sales</t>
  </si>
  <si>
    <t>OPEX</t>
  </si>
  <si>
    <t>GP2 %</t>
  </si>
  <si>
    <t>OPEX %</t>
  </si>
  <si>
    <t>EBIT %</t>
  </si>
  <si>
    <t>Values in kEUR</t>
  </si>
  <si>
    <t>GP2</t>
  </si>
  <si>
    <t>Montlhy Dashboard Data</t>
  </si>
  <si>
    <t>BAs for GSR w/o GSD</t>
  </si>
  <si>
    <t>Jan-Jun</t>
  </si>
  <si>
    <t>CY16 / CY15</t>
  </si>
  <si>
    <t>Brazil</t>
  </si>
  <si>
    <t>RoSA</t>
  </si>
  <si>
    <t>South America</t>
  </si>
  <si>
    <t>Actual / Budget</t>
  </si>
  <si>
    <t>BAs for GSR</t>
  </si>
  <si>
    <t>BAs for GSR &amp; VB</t>
  </si>
  <si>
    <t>Check Geomatics Division</t>
  </si>
  <si>
    <t>Check GSR IDS</t>
  </si>
  <si>
    <t>Check BAs for VB</t>
  </si>
  <si>
    <t>Check Bas for GSR</t>
  </si>
  <si>
    <t>Check BAs for GSR &amp; VB</t>
  </si>
  <si>
    <t>Check BAs for GSR w/o GSD</t>
  </si>
  <si>
    <t>MTD/Bud</t>
  </si>
  <si>
    <t>MTD/LY</t>
  </si>
  <si>
    <t>MTD/FCT</t>
  </si>
  <si>
    <t>MTD</t>
  </si>
  <si>
    <t>QTD</t>
  </si>
  <si>
    <t>CY18</t>
  </si>
  <si>
    <t>Interdivisional Sales Elimination LD</t>
  </si>
  <si>
    <t>Ytd</t>
  </si>
  <si>
    <t>Interdivisional Sales Elimination AGT</t>
  </si>
  <si>
    <t>BAs for GSR w/o ABS</t>
  </si>
  <si>
    <t>Check BAs for GSR w/o ABS</t>
  </si>
  <si>
    <t>CY19</t>
  </si>
  <si>
    <t>BU Surveying &amp; Engineering w IDS</t>
  </si>
  <si>
    <t>BU Terrestrial Laser Scanning w IDS</t>
  </si>
  <si>
    <t>Div Disto GSR</t>
  </si>
  <si>
    <t>Div Construction Tools GSR</t>
  </si>
  <si>
    <t>Div Agtek GSR</t>
  </si>
  <si>
    <t>Div IDS GeoRadar GSR</t>
  </si>
  <si>
    <t>Div Regional Dealer</t>
  </si>
  <si>
    <t>Interdivisional Sales Elimination 78 GSR</t>
  </si>
  <si>
    <t>BU M3D/UAV</t>
  </si>
  <si>
    <t>BU ABS</t>
  </si>
  <si>
    <t>Div Geomatics GSR</t>
  </si>
  <si>
    <t>July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</si>
</sst>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_(* #,##0.000_);_(* \(#,##0.000\);_(* &quot;-&quot;???_);_(@_)"/>
    <numFmt numFmtId="168" formatCode="\Q0"/>
    <numFmt numFmtId="169" formatCode="[$-409]mmm;@"/>
    <numFmt numFmtId="170" formatCode="[$-409]mmmmm;@"/>
    <numFmt numFmtId="171" formatCode="0.0%;@"/>
    <numFmt numFmtId="172" formatCode="&quot;Q&quot;0"/>
    <numFmt numFmtId="173" formatCode="[$-416]mmm\-yy;@"/>
    <numFmt numFmtId="174" formatCode="&quot;MTD/Bud&quot;* \ 0.0%"/>
    <numFmt numFmtId="175" formatCode="&quot;MTD/LY &quot;* 0.0%"/>
    <numFmt numFmtId="176" formatCode="&quot;MTD/FCT&quot;* 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Verdan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Webdings"/>
      <family val="1"/>
      <charset val="2"/>
    </font>
    <font>
      <sz val="18"/>
      <color theme="4"/>
      <name val="Webdings"/>
      <family val="1"/>
      <charset val="2"/>
    </font>
    <font>
      <sz val="18"/>
      <color theme="8" tint="0.59999389629810485"/>
      <name val="Webdings"/>
      <family val="1"/>
      <charset val="2"/>
    </font>
    <font>
      <sz val="18"/>
      <color theme="6"/>
      <name val="Webding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/>
      <bottom/>
      <diagonal/>
    </border>
    <border>
      <left/>
      <right/>
      <top style="thin">
        <color theme="6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0" fillId="0" borderId="0" xfId="0" quotePrefix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quotePrefix="1" applyAlignment="1">
      <alignment horizontal="center"/>
    </xf>
    <xf numFmtId="166" fontId="0" fillId="0" borderId="0" xfId="1" quotePrefix="1" applyNumberFormat="1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Border="1"/>
    <xf numFmtId="164" fontId="4" fillId="0" borderId="1" xfId="2" applyNumberFormat="1" applyFont="1" applyBorder="1"/>
    <xf numFmtId="0" fontId="0" fillId="4" borderId="4" xfId="0" applyFill="1" applyBorder="1" applyAlignment="1">
      <alignment horizontal="center"/>
    </xf>
    <xf numFmtId="0" fontId="0" fillId="0" borderId="4" xfId="0" applyBorder="1"/>
    <xf numFmtId="0" fontId="0" fillId="4" borderId="5" xfId="0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169" fontId="0" fillId="4" borderId="0" xfId="0" applyNumberFormat="1" applyFill="1" applyBorder="1" applyAlignment="1">
      <alignment horizontal="center"/>
    </xf>
    <xf numFmtId="169" fontId="0" fillId="4" borderId="6" xfId="0" applyNumberFormat="1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4" fontId="4" fillId="0" borderId="7" xfId="2" applyNumberFormat="1" applyFont="1" applyBorder="1"/>
    <xf numFmtId="164" fontId="4" fillId="0" borderId="9" xfId="2" applyNumberFormat="1" applyFont="1" applyBorder="1"/>
    <xf numFmtId="0" fontId="0" fillId="0" borderId="9" xfId="0" applyBorder="1"/>
    <xf numFmtId="164" fontId="4" fillId="0" borderId="10" xfId="2" applyNumberFormat="1" applyFont="1" applyBorder="1"/>
    <xf numFmtId="0" fontId="0" fillId="3" borderId="4" xfId="0" applyFill="1" applyBorder="1" applyAlignment="1">
      <alignment horizontal="center"/>
    </xf>
    <xf numFmtId="168" fontId="0" fillId="3" borderId="0" xfId="0" applyNumberFormat="1" applyFill="1" applyBorder="1" applyAlignment="1">
      <alignment horizontal="center"/>
    </xf>
    <xf numFmtId="164" fontId="4" fillId="3" borderId="0" xfId="2" applyNumberFormat="1" applyFont="1" applyFill="1" applyBorder="1"/>
    <xf numFmtId="164" fontId="4" fillId="3" borderId="9" xfId="2" applyNumberFormat="1" applyFont="1" applyFill="1" applyBorder="1"/>
    <xf numFmtId="0" fontId="0" fillId="0" borderId="11" xfId="0" applyBorder="1"/>
    <xf numFmtId="0" fontId="3" fillId="0" borderId="12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0" fillId="0" borderId="13" xfId="0" applyBorder="1"/>
    <xf numFmtId="0" fontId="4" fillId="0" borderId="15" xfId="0" applyFont="1" applyBorder="1"/>
    <xf numFmtId="0" fontId="3" fillId="5" borderId="16" xfId="0" applyFont="1" applyFill="1" applyBorder="1"/>
    <xf numFmtId="0" fontId="2" fillId="6" borderId="16" xfId="0" applyFont="1" applyFill="1" applyBorder="1"/>
    <xf numFmtId="170" fontId="0" fillId="0" borderId="0" xfId="0" applyNumberFormat="1"/>
    <xf numFmtId="0" fontId="0" fillId="0" borderId="19" xfId="0" applyBorder="1"/>
    <xf numFmtId="166" fontId="0" fillId="0" borderId="0" xfId="0" applyNumberFormat="1" applyBorder="1"/>
    <xf numFmtId="171" fontId="0" fillId="0" borderId="0" xfId="2" applyNumberFormat="1" applyFont="1" applyBorder="1" applyAlignment="1">
      <alignment horizontal="right"/>
    </xf>
    <xf numFmtId="171" fontId="0" fillId="0" borderId="6" xfId="2" applyNumberFormat="1" applyFont="1" applyBorder="1" applyAlignment="1">
      <alignment horizontal="right"/>
    </xf>
    <xf numFmtId="0" fontId="2" fillId="6" borderId="21" xfId="0" applyFont="1" applyFill="1" applyBorder="1"/>
    <xf numFmtId="166" fontId="2" fillId="6" borderId="22" xfId="0" applyNumberFormat="1" applyFont="1" applyFill="1" applyBorder="1"/>
    <xf numFmtId="171" fontId="2" fillId="6" borderId="22" xfId="2" applyNumberFormat="1" applyFont="1" applyFill="1" applyBorder="1" applyAlignment="1">
      <alignment horizontal="right"/>
    </xf>
    <xf numFmtId="171" fontId="2" fillId="6" borderId="23" xfId="2" applyNumberFormat="1" applyFont="1" applyFill="1" applyBorder="1" applyAlignment="1">
      <alignment horizontal="right"/>
    </xf>
    <xf numFmtId="166" fontId="0" fillId="0" borderId="12" xfId="1" applyNumberFormat="1" applyFont="1" applyBorder="1"/>
    <xf numFmtId="166" fontId="0" fillId="0" borderId="15" xfId="1" applyNumberFormat="1" applyFont="1" applyBorder="1"/>
    <xf numFmtId="0" fontId="3" fillId="3" borderId="4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6" fontId="3" fillId="3" borderId="11" xfId="1" applyNumberFormat="1" applyFont="1" applyFill="1" applyBorder="1"/>
    <xf numFmtId="166" fontId="3" fillId="3" borderId="12" xfId="1" applyNumberFormat="1" applyFont="1" applyFill="1" applyBorder="1"/>
    <xf numFmtId="0" fontId="7" fillId="2" borderId="24" xfId="0" applyFont="1" applyFill="1" applyBorder="1" applyAlignment="1">
      <alignment horizontal="center"/>
    </xf>
    <xf numFmtId="168" fontId="7" fillId="2" borderId="25" xfId="0" applyNumberFormat="1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68" fontId="0" fillId="4" borderId="25" xfId="0" applyNumberFormat="1" applyFill="1" applyBorder="1" applyAlignment="1">
      <alignment horizontal="center"/>
    </xf>
    <xf numFmtId="168" fontId="0" fillId="4" borderId="20" xfId="0" applyNumberFormat="1" applyFill="1" applyBorder="1" applyAlignment="1">
      <alignment horizontal="center"/>
    </xf>
    <xf numFmtId="168" fontId="0" fillId="4" borderId="26" xfId="0" applyNumberFormat="1" applyFill="1" applyBorder="1" applyAlignment="1">
      <alignment horizontal="center"/>
    </xf>
    <xf numFmtId="168" fontId="7" fillId="2" borderId="26" xfId="0" applyNumberFormat="1" applyFont="1" applyFill="1" applyBorder="1" applyAlignment="1">
      <alignment horizontal="center"/>
    </xf>
    <xf numFmtId="0" fontId="0" fillId="0" borderId="15" xfId="0" applyBorder="1"/>
    <xf numFmtId="0" fontId="9" fillId="0" borderId="2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6" fontId="3" fillId="5" borderId="0" xfId="1" applyNumberFormat="1" applyFont="1" applyFill="1" applyBorder="1"/>
    <xf numFmtId="166" fontId="3" fillId="2" borderId="3" xfId="1" applyNumberFormat="1" applyFont="1" applyFill="1" applyBorder="1"/>
    <xf numFmtId="166" fontId="0" fillId="0" borderId="0" xfId="1" applyNumberFormat="1" applyFont="1" applyBorder="1"/>
    <xf numFmtId="166" fontId="0" fillId="3" borderId="0" xfId="1" applyNumberFormat="1" applyFont="1" applyFill="1" applyBorder="1"/>
    <xf numFmtId="166" fontId="0" fillId="3" borderId="3" xfId="1" applyNumberFormat="1" applyFont="1" applyFill="1" applyBorder="1"/>
    <xf numFmtId="166" fontId="0" fillId="0" borderId="2" xfId="1" applyNumberFormat="1" applyFont="1" applyBorder="1"/>
    <xf numFmtId="166" fontId="0" fillId="3" borderId="17" xfId="1" applyNumberFormat="1" applyFont="1" applyFill="1" applyBorder="1"/>
    <xf numFmtId="166" fontId="2" fillId="6" borderId="0" xfId="1" applyNumberFormat="1" applyFont="1" applyFill="1" applyBorder="1"/>
    <xf numFmtId="166" fontId="2" fillId="2" borderId="3" xfId="1" applyNumberFormat="1" applyFont="1" applyFill="1" applyBorder="1"/>
    <xf numFmtId="166" fontId="3" fillId="5" borderId="6" xfId="1" applyNumberFormat="1" applyFont="1" applyFill="1" applyBorder="1"/>
    <xf numFmtId="166" fontId="0" fillId="0" borderId="6" xfId="1" applyNumberFormat="1" applyFont="1" applyBorder="1"/>
    <xf numFmtId="166" fontId="0" fillId="0" borderId="8" xfId="1" applyNumberFormat="1" applyFont="1" applyBorder="1"/>
    <xf numFmtId="166" fontId="2" fillId="6" borderId="6" xfId="1" applyNumberFormat="1" applyFont="1" applyFill="1" applyBorder="1"/>
    <xf numFmtId="0" fontId="4" fillId="0" borderId="0" xfId="0" applyFont="1"/>
    <xf numFmtId="168" fontId="9" fillId="0" borderId="0" xfId="0" applyNumberFormat="1" applyFont="1" applyFill="1" applyBorder="1" applyAlignment="1">
      <alignment horizontal="center"/>
    </xf>
    <xf numFmtId="168" fontId="9" fillId="0" borderId="6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0" xfId="0" applyFill="1" applyBorder="1"/>
    <xf numFmtId="0" fontId="0" fillId="0" borderId="31" xfId="0" applyFill="1" applyBorder="1"/>
    <xf numFmtId="0" fontId="0" fillId="0" borderId="31" xfId="0" applyFont="1" applyFill="1" applyBorder="1"/>
    <xf numFmtId="0" fontId="0" fillId="0" borderId="34" xfId="0" applyFill="1" applyBorder="1"/>
    <xf numFmtId="0" fontId="0" fillId="0" borderId="28" xfId="0" applyBorder="1"/>
    <xf numFmtId="0" fontId="0" fillId="0" borderId="31" xfId="0" applyBorder="1"/>
    <xf numFmtId="0" fontId="0" fillId="0" borderId="33" xfId="0" applyBorder="1"/>
    <xf numFmtId="0" fontId="0" fillId="0" borderId="6" xfId="0" applyBorder="1"/>
    <xf numFmtId="0" fontId="0" fillId="0" borderId="20" xfId="0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12" xfId="0" applyFont="1" applyBorder="1" applyAlignment="1">
      <alignment horizontal="center"/>
    </xf>
    <xf numFmtId="169" fontId="12" fillId="11" borderId="4" xfId="0" applyNumberFormat="1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vertical="center"/>
    </xf>
    <xf numFmtId="0" fontId="4" fillId="13" borderId="19" xfId="0" applyFon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0" fillId="10" borderId="19" xfId="0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0" fillId="0" borderId="0" xfId="2" applyNumberFormat="1" applyFont="1"/>
    <xf numFmtId="168" fontId="0" fillId="4" borderId="9" xfId="0" applyNumberFormat="1" applyFill="1" applyBorder="1" applyAlignment="1">
      <alignment horizontal="center"/>
    </xf>
    <xf numFmtId="168" fontId="0" fillId="4" borderId="10" xfId="0" applyNumberFormat="1" applyFill="1" applyBorder="1" applyAlignment="1">
      <alignment horizontal="center"/>
    </xf>
    <xf numFmtId="166" fontId="8" fillId="3" borderId="37" xfId="0" applyNumberFormat="1" applyFont="1" applyFill="1" applyBorder="1"/>
    <xf numFmtId="0" fontId="0" fillId="5" borderId="4" xfId="0" applyFill="1" applyBorder="1" applyAlignment="1">
      <alignment horizontal="center"/>
    </xf>
    <xf numFmtId="169" fontId="0" fillId="5" borderId="0" xfId="0" applyNumberFormat="1" applyFill="1" applyBorder="1" applyAlignment="1">
      <alignment horizontal="center"/>
    </xf>
    <xf numFmtId="168" fontId="0" fillId="5" borderId="9" xfId="0" applyNumberFormat="1" applyFill="1" applyBorder="1" applyAlignment="1">
      <alignment horizontal="center"/>
    </xf>
    <xf numFmtId="166" fontId="8" fillId="5" borderId="22" xfId="0" applyNumberFormat="1" applyFont="1" applyFill="1" applyBorder="1"/>
    <xf numFmtId="166" fontId="8" fillId="5" borderId="36" xfId="0" applyNumberFormat="1" applyFont="1" applyFill="1" applyBorder="1"/>
    <xf numFmtId="0" fontId="3" fillId="5" borderId="11" xfId="0" applyFont="1" applyFill="1" applyBorder="1" applyAlignment="1">
      <alignment horizontal="center"/>
    </xf>
    <xf numFmtId="168" fontId="3" fillId="5" borderId="12" xfId="0" applyNumberFormat="1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166" fontId="2" fillId="6" borderId="38" xfId="0" applyNumberFormat="1" applyFont="1" applyFill="1" applyBorder="1"/>
    <xf numFmtId="9" fontId="0" fillId="0" borderId="12" xfId="2" applyFont="1" applyBorder="1"/>
    <xf numFmtId="9" fontId="2" fillId="6" borderId="38" xfId="2" applyFont="1" applyFill="1" applyBorder="1"/>
    <xf numFmtId="9" fontId="2" fillId="6" borderId="22" xfId="2" applyFont="1" applyFill="1" applyBorder="1"/>
    <xf numFmtId="9" fontId="8" fillId="5" borderId="22" xfId="2" applyFont="1" applyFill="1" applyBorder="1"/>
    <xf numFmtId="0" fontId="0" fillId="14" borderId="4" xfId="0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8" fontId="0" fillId="14" borderId="9" xfId="0" applyNumberFormat="1" applyFill="1" applyBorder="1" applyAlignment="1">
      <alignment horizontal="center"/>
    </xf>
    <xf numFmtId="173" fontId="0" fillId="0" borderId="0" xfId="0" applyNumberFormat="1"/>
    <xf numFmtId="0" fontId="6" fillId="0" borderId="0" xfId="0" applyFont="1" applyBorder="1" applyAlignment="1">
      <alignment horizontal="center" vertical="center"/>
    </xf>
    <xf numFmtId="0" fontId="0" fillId="0" borderId="4" xfId="0" applyFill="1" applyBorder="1"/>
    <xf numFmtId="0" fontId="14" fillId="0" borderId="4" xfId="0" applyFont="1" applyFill="1" applyBorder="1" applyAlignment="1">
      <alignment vertical="center"/>
    </xf>
    <xf numFmtId="0" fontId="0" fillId="0" borderId="30" xfId="0" applyBorder="1"/>
    <xf numFmtId="0" fontId="0" fillId="0" borderId="33" xfId="0" applyFill="1" applyBorder="1"/>
    <xf numFmtId="0" fontId="0" fillId="4" borderId="11" xfId="0" applyFill="1" applyBorder="1" applyAlignment="1">
      <alignment horizontal="center"/>
    </xf>
    <xf numFmtId="169" fontId="0" fillId="4" borderId="12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6" fontId="3" fillId="5" borderId="12" xfId="1" applyNumberFormat="1" applyFont="1" applyFill="1" applyBorder="1"/>
    <xf numFmtId="164" fontId="4" fillId="0" borderId="13" xfId="2" applyNumberFormat="1" applyFont="1" applyBorder="1"/>
    <xf numFmtId="166" fontId="0" fillId="0" borderId="14" xfId="1" applyNumberFormat="1" applyFont="1" applyBorder="1"/>
    <xf numFmtId="166" fontId="2" fillId="6" borderId="12" xfId="1" applyNumberFormat="1" applyFont="1" applyFill="1" applyBorder="1"/>
    <xf numFmtId="164" fontId="4" fillId="0" borderId="15" xfId="2" applyNumberFormat="1" applyFont="1" applyBorder="1"/>
    <xf numFmtId="0" fontId="0" fillId="0" borderId="39" xfId="0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0" borderId="41" xfId="0" applyBorder="1"/>
    <xf numFmtId="168" fontId="0" fillId="4" borderId="42" xfId="0" applyNumberFormat="1" applyFill="1" applyBorder="1" applyAlignment="1">
      <alignment horizontal="center"/>
    </xf>
    <xf numFmtId="0" fontId="3" fillId="5" borderId="43" xfId="0" applyFont="1" applyFill="1" applyBorder="1"/>
    <xf numFmtId="166" fontId="3" fillId="5" borderId="42" xfId="1" applyNumberFormat="1" applyFont="1" applyFill="1" applyBorder="1"/>
    <xf numFmtId="0" fontId="0" fillId="0" borderId="44" xfId="0" applyBorder="1"/>
    <xf numFmtId="166" fontId="0" fillId="0" borderId="42" xfId="1" applyNumberFormat="1" applyFont="1" applyBorder="1"/>
    <xf numFmtId="0" fontId="4" fillId="0" borderId="45" xfId="0" applyFont="1" applyBorder="1"/>
    <xf numFmtId="164" fontId="4" fillId="0" borderId="46" xfId="2" applyNumberFormat="1" applyFont="1" applyBorder="1"/>
    <xf numFmtId="0" fontId="2" fillId="6" borderId="43" xfId="0" applyFont="1" applyFill="1" applyBorder="1"/>
    <xf numFmtId="166" fontId="2" fillId="6" borderId="42" xfId="1" applyNumberFormat="1" applyFont="1" applyFill="1" applyBorder="1"/>
    <xf numFmtId="0" fontId="4" fillId="0" borderId="47" xfId="0" applyFont="1" applyBorder="1"/>
    <xf numFmtId="164" fontId="4" fillId="3" borderId="35" xfId="2" applyNumberFormat="1" applyFont="1" applyFill="1" applyBorder="1"/>
    <xf numFmtId="164" fontId="4" fillId="3" borderId="1" xfId="2" applyNumberFormat="1" applyFont="1" applyFill="1" applyBorder="1"/>
    <xf numFmtId="166" fontId="3" fillId="5" borderId="0" xfId="1" quotePrefix="1" applyNumberFormat="1" applyFont="1" applyFill="1" applyBorder="1"/>
    <xf numFmtId="166" fontId="0" fillId="8" borderId="9" xfId="0" applyNumberFormat="1" applyFill="1" applyBorder="1" applyAlignment="1">
      <alignment vertical="center"/>
    </xf>
    <xf numFmtId="166" fontId="0" fillId="10" borderId="0" xfId="0" applyNumberFormat="1" applyFill="1" applyBorder="1" applyAlignment="1">
      <alignment vertical="center"/>
    </xf>
    <xf numFmtId="0" fontId="13" fillId="11" borderId="0" xfId="0" applyFont="1" applyFill="1" applyBorder="1" applyAlignment="1">
      <alignment horizontal="center" vertical="center"/>
    </xf>
    <xf numFmtId="166" fontId="2" fillId="12" borderId="0" xfId="0" applyNumberFormat="1" applyFont="1" applyFill="1" applyBorder="1" applyAlignment="1">
      <alignment vertical="center"/>
    </xf>
    <xf numFmtId="164" fontId="4" fillId="13" borderId="0" xfId="2" applyNumberFormat="1" applyFont="1" applyFill="1" applyBorder="1" applyAlignment="1">
      <alignment vertical="center"/>
    </xf>
    <xf numFmtId="172" fontId="12" fillId="11" borderId="4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166" fontId="3" fillId="5" borderId="48" xfId="1" applyNumberFormat="1" applyFont="1" applyFill="1" applyBorder="1"/>
    <xf numFmtId="166" fontId="0" fillId="0" borderId="0" xfId="1" applyNumberFormat="1" applyFont="1" applyFill="1" applyBorder="1"/>
    <xf numFmtId="164" fontId="4" fillId="0" borderId="0" xfId="2" applyNumberFormat="1" applyFont="1" applyFill="1" applyBorder="1"/>
    <xf numFmtId="166" fontId="0" fillId="0" borderId="48" xfId="1" applyNumberFormat="1" applyFont="1" applyFill="1" applyBorder="1"/>
    <xf numFmtId="166" fontId="0" fillId="0" borderId="2" xfId="1" applyNumberFormat="1" applyFont="1" applyFill="1" applyBorder="1"/>
    <xf numFmtId="164" fontId="4" fillId="0" borderId="9" xfId="2" applyNumberFormat="1" applyFont="1" applyFill="1" applyBorder="1"/>
    <xf numFmtId="0" fontId="14" fillId="0" borderId="0" xfId="0" applyFont="1" applyFill="1" applyBorder="1" applyAlignment="1">
      <alignment vertical="center"/>
    </xf>
    <xf numFmtId="0" fontId="0" fillId="0" borderId="42" xfId="0" applyBorder="1"/>
    <xf numFmtId="166" fontId="0" fillId="0" borderId="41" xfId="0" applyNumberFormat="1" applyBorder="1"/>
    <xf numFmtId="0" fontId="0" fillId="0" borderId="47" xfId="0" applyBorder="1"/>
    <xf numFmtId="164" fontId="0" fillId="0" borderId="0" xfId="2" applyNumberFormat="1" applyFont="1" applyBorder="1"/>
    <xf numFmtId="0" fontId="0" fillId="0" borderId="1" xfId="0" applyBorder="1"/>
    <xf numFmtId="0" fontId="0" fillId="0" borderId="51" xfId="0" applyBorder="1"/>
    <xf numFmtId="0" fontId="0" fillId="0" borderId="52" xfId="0" applyBorder="1"/>
    <xf numFmtId="166" fontId="0" fillId="0" borderId="51" xfId="0" applyNumberFormat="1" applyBorder="1"/>
    <xf numFmtId="164" fontId="0" fillId="0" borderId="52" xfId="2" applyNumberFormat="1" applyFont="1" applyBorder="1"/>
    <xf numFmtId="0" fontId="0" fillId="0" borderId="53" xfId="0" applyBorder="1"/>
    <xf numFmtId="0" fontId="0" fillId="0" borderId="54" xfId="0" applyBorder="1"/>
    <xf numFmtId="166" fontId="0" fillId="10" borderId="0" xfId="0" applyNumberFormat="1" applyFill="1" applyBorder="1"/>
    <xf numFmtId="0" fontId="0" fillId="4" borderId="0" xfId="0" applyFill="1" applyBorder="1" applyAlignment="1">
      <alignment horizontal="center"/>
    </xf>
    <xf numFmtId="166" fontId="0" fillId="15" borderId="0" xfId="0" applyNumberFormat="1" applyFill="1" applyBorder="1"/>
    <xf numFmtId="0" fontId="0" fillId="4" borderId="49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168" fontId="0" fillId="4" borderId="51" xfId="0" applyNumberFormat="1" applyFill="1" applyBorder="1" applyAlignment="1">
      <alignment horizontal="center"/>
    </xf>
    <xf numFmtId="168" fontId="0" fillId="4" borderId="52" xfId="0" applyNumberFormat="1" applyFill="1" applyBorder="1" applyAlignment="1">
      <alignment horizontal="center"/>
    </xf>
    <xf numFmtId="166" fontId="3" fillId="5" borderId="51" xfId="1" applyNumberFormat="1" applyFont="1" applyFill="1" applyBorder="1"/>
    <xf numFmtId="166" fontId="3" fillId="5" borderId="52" xfId="1" applyNumberFormat="1" applyFont="1" applyFill="1" applyBorder="1"/>
    <xf numFmtId="166" fontId="0" fillId="0" borderId="51" xfId="1" applyNumberFormat="1" applyFont="1" applyBorder="1"/>
    <xf numFmtId="166" fontId="0" fillId="0" borderId="52" xfId="1" applyNumberFormat="1" applyFont="1" applyBorder="1"/>
    <xf numFmtId="164" fontId="4" fillId="0" borderId="56" xfId="2" applyNumberFormat="1" applyFont="1" applyBorder="1"/>
    <xf numFmtId="164" fontId="4" fillId="0" borderId="57" xfId="2" applyNumberFormat="1" applyFont="1" applyBorder="1"/>
    <xf numFmtId="166" fontId="2" fillId="6" borderId="51" xfId="1" applyNumberFormat="1" applyFont="1" applyFill="1" applyBorder="1"/>
    <xf numFmtId="166" fontId="2" fillId="6" borderId="52" xfId="1" applyNumberFormat="1" applyFont="1" applyFill="1" applyBorder="1"/>
    <xf numFmtId="164" fontId="4" fillId="0" borderId="53" xfId="2" applyNumberFormat="1" applyFont="1" applyBorder="1"/>
    <xf numFmtId="164" fontId="4" fillId="3" borderId="58" xfId="2" applyNumberFormat="1" applyFont="1" applyFill="1" applyBorder="1"/>
    <xf numFmtId="164" fontId="4" fillId="0" borderId="54" xfId="2" applyNumberFormat="1" applyFont="1" applyBorder="1"/>
    <xf numFmtId="0" fontId="0" fillId="4" borderId="42" xfId="0" applyFill="1" applyBorder="1" applyAlignment="1">
      <alignment horizontal="center"/>
    </xf>
    <xf numFmtId="166" fontId="0" fillId="15" borderId="42" xfId="0" applyNumberFormat="1" applyFill="1" applyBorder="1"/>
    <xf numFmtId="164" fontId="4" fillId="0" borderId="0" xfId="2" applyNumberFormat="1" applyFont="1" applyBorder="1"/>
    <xf numFmtId="164" fontId="4" fillId="0" borderId="42" xfId="2" applyNumberFormat="1" applyFont="1" applyBorder="1"/>
    <xf numFmtId="0" fontId="0" fillId="13" borderId="39" xfId="0" applyFill="1" applyBorder="1"/>
    <xf numFmtId="0" fontId="0" fillId="13" borderId="2" xfId="0" applyFill="1" applyBorder="1"/>
    <xf numFmtId="0" fontId="0" fillId="13" borderId="49" xfId="0" applyFill="1" applyBorder="1"/>
    <xf numFmtId="0" fontId="0" fillId="13" borderId="50" xfId="0" applyFill="1" applyBorder="1"/>
    <xf numFmtId="0" fontId="0" fillId="13" borderId="41" xfId="0" applyFill="1" applyBorder="1"/>
    <xf numFmtId="0" fontId="0" fillId="13" borderId="0" xfId="0" applyFill="1" applyBorder="1"/>
    <xf numFmtId="0" fontId="0" fillId="13" borderId="51" xfId="0" applyFill="1" applyBorder="1"/>
    <xf numFmtId="0" fontId="0" fillId="13" borderId="52" xfId="0" applyFill="1" applyBorder="1"/>
    <xf numFmtId="0" fontId="3" fillId="0" borderId="39" xfId="0" applyFont="1" applyBorder="1" applyAlignment="1">
      <alignment horizontal="center"/>
    </xf>
    <xf numFmtId="0" fontId="9" fillId="0" borderId="41" xfId="0" applyFont="1" applyBorder="1"/>
    <xf numFmtId="0" fontId="9" fillId="0" borderId="47" xfId="0" applyFont="1" applyBorder="1"/>
    <xf numFmtId="0" fontId="3" fillId="0" borderId="19" xfId="0" applyFont="1" applyBorder="1"/>
    <xf numFmtId="0" fontId="0" fillId="4" borderId="59" xfId="0" applyFill="1" applyBorder="1" applyAlignment="1">
      <alignment horizontal="center"/>
    </xf>
    <xf numFmtId="168" fontId="0" fillId="4" borderId="60" xfId="0" applyNumberFormat="1" applyFill="1" applyBorder="1" applyAlignment="1">
      <alignment horizontal="center"/>
    </xf>
    <xf numFmtId="166" fontId="0" fillId="15" borderId="60" xfId="0" applyNumberFormat="1" applyFill="1" applyBorder="1"/>
    <xf numFmtId="164" fontId="4" fillId="0" borderId="51" xfId="2" applyNumberFormat="1" applyFont="1" applyBorder="1"/>
    <xf numFmtId="0" fontId="0" fillId="4" borderId="61" xfId="0" applyFill="1" applyBorder="1" applyAlignment="1">
      <alignment horizontal="center"/>
    </xf>
    <xf numFmtId="168" fontId="0" fillId="4" borderId="62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166" fontId="0" fillId="15" borderId="62" xfId="0" applyNumberFormat="1" applyFill="1" applyBorder="1"/>
    <xf numFmtId="166" fontId="3" fillId="5" borderId="62" xfId="1" applyNumberFormat="1" applyFont="1" applyFill="1" applyBorder="1"/>
    <xf numFmtId="0" fontId="0" fillId="0" borderId="62" xfId="0" applyBorder="1"/>
    <xf numFmtId="164" fontId="4" fillId="0" borderId="62" xfId="2" applyNumberFormat="1" applyFont="1" applyBorder="1"/>
    <xf numFmtId="164" fontId="4" fillId="0" borderId="63" xfId="2" applyNumberFormat="1" applyFont="1" applyBorder="1"/>
    <xf numFmtId="166" fontId="9" fillId="0" borderId="41" xfId="0" applyNumberFormat="1" applyFont="1" applyBorder="1"/>
    <xf numFmtId="166" fontId="9" fillId="0" borderId="51" xfId="0" applyNumberFormat="1" applyFont="1" applyBorder="1"/>
    <xf numFmtId="164" fontId="4" fillId="0" borderId="52" xfId="2" applyNumberFormat="1" applyFont="1" applyBorder="1"/>
    <xf numFmtId="0" fontId="3" fillId="0" borderId="64" xfId="0" applyFont="1" applyBorder="1"/>
    <xf numFmtId="0" fontId="9" fillId="0" borderId="51" xfId="0" applyFont="1" applyBorder="1"/>
    <xf numFmtId="0" fontId="9" fillId="0" borderId="53" xfId="0" applyFont="1" applyBorder="1"/>
    <xf numFmtId="0" fontId="4" fillId="0" borderId="0" xfId="0" applyFont="1" applyBorder="1"/>
    <xf numFmtId="0" fontId="4" fillId="0" borderId="1" xfId="0" applyFont="1" applyBorder="1"/>
    <xf numFmtId="0" fontId="4" fillId="0" borderId="52" xfId="0" applyFont="1" applyBorder="1"/>
    <xf numFmtId="0" fontId="4" fillId="0" borderId="54" xfId="0" applyFont="1" applyBorder="1"/>
    <xf numFmtId="166" fontId="2" fillId="6" borderId="66" xfId="1" applyNumberFormat="1" applyFont="1" applyFill="1" applyBorder="1"/>
    <xf numFmtId="166" fontId="0" fillId="10" borderId="0" xfId="1" applyNumberFormat="1" applyFont="1" applyFill="1" applyBorder="1"/>
    <xf numFmtId="164" fontId="4" fillId="10" borderId="1" xfId="2" applyNumberFormat="1" applyFont="1" applyFill="1" applyBorder="1"/>
    <xf numFmtId="166" fontId="0" fillId="10" borderId="2" xfId="1" applyNumberFormat="1" applyFont="1" applyFill="1" applyBorder="1"/>
    <xf numFmtId="164" fontId="4" fillId="10" borderId="9" xfId="2" applyNumberFormat="1" applyFont="1" applyFill="1" applyBorder="1"/>
    <xf numFmtId="166" fontId="0" fillId="0" borderId="0" xfId="1" quotePrefix="1" applyNumberFormat="1" applyFont="1"/>
    <xf numFmtId="166" fontId="0" fillId="8" borderId="9" xfId="0" applyNumberFormat="1" applyFill="1" applyBorder="1" applyAlignment="1">
      <alignment vertical="center"/>
    </xf>
    <xf numFmtId="166" fontId="0" fillId="10" borderId="0" xfId="0" applyNumberFormat="1" applyFill="1" applyBorder="1" applyAlignment="1">
      <alignment vertical="center"/>
    </xf>
    <xf numFmtId="0" fontId="13" fillId="11" borderId="0" xfId="0" applyFont="1" applyFill="1" applyBorder="1" applyAlignment="1">
      <alignment horizontal="center" vertical="center"/>
    </xf>
    <xf numFmtId="166" fontId="2" fillId="12" borderId="0" xfId="0" applyNumberFormat="1" applyFont="1" applyFill="1" applyBorder="1" applyAlignment="1">
      <alignment vertical="center"/>
    </xf>
    <xf numFmtId="164" fontId="4" fillId="13" borderId="0" xfId="2" applyNumberFormat="1" applyFont="1" applyFill="1" applyBorder="1" applyAlignment="1">
      <alignment vertical="center"/>
    </xf>
    <xf numFmtId="172" fontId="12" fillId="11" borderId="4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174" fontId="9" fillId="13" borderId="0" xfId="2" applyNumberFormat="1" applyFont="1" applyFill="1" applyBorder="1" applyAlignment="1">
      <alignment horizontal="left"/>
    </xf>
    <xf numFmtId="175" fontId="9" fillId="13" borderId="0" xfId="2" applyNumberFormat="1" applyFont="1" applyFill="1" applyBorder="1" applyAlignment="1"/>
    <xf numFmtId="176" fontId="9" fillId="13" borderId="0" xfId="2" applyNumberFormat="1" applyFont="1" applyFill="1" applyBorder="1" applyAlignment="1"/>
    <xf numFmtId="0" fontId="9" fillId="13" borderId="0" xfId="0" applyFont="1" applyFill="1" applyBorder="1"/>
    <xf numFmtId="166" fontId="0" fillId="0" borderId="0" xfId="0" applyNumberFormat="1" applyAlignment="1">
      <alignment horizontal="center"/>
    </xf>
    <xf numFmtId="0" fontId="0" fillId="0" borderId="0" xfId="0" quotePrefix="1" applyFont="1"/>
    <xf numFmtId="0" fontId="23" fillId="0" borderId="0" xfId="0" quotePrefix="1" applyFont="1"/>
    <xf numFmtId="0" fontId="10" fillId="7" borderId="0" xfId="0" quotePrefix="1" applyFont="1" applyFill="1" applyBorder="1" applyAlignment="1" applyProtection="1">
      <alignment horizontal="center" vertical="center"/>
      <protection locked="0"/>
    </xf>
    <xf numFmtId="0" fontId="10" fillId="7" borderId="0" xfId="0" applyFont="1" applyFill="1" applyBorder="1" applyAlignment="1" applyProtection="1">
      <alignment horizontal="center" vertical="center"/>
      <protection locked="0"/>
    </xf>
    <xf numFmtId="0" fontId="11" fillId="9" borderId="18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9" fillId="13" borderId="0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166" fontId="2" fillId="12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66" fontId="0" fillId="10" borderId="0" xfId="0" applyNumberFormat="1" applyFill="1" applyBorder="1" applyAlignment="1">
      <alignment vertical="center"/>
    </xf>
    <xf numFmtId="166" fontId="0" fillId="10" borderId="6" xfId="0" applyNumberFormat="1" applyFill="1" applyBorder="1" applyAlignment="1">
      <alignment vertical="center"/>
    </xf>
    <xf numFmtId="166" fontId="0" fillId="8" borderId="9" xfId="0" applyNumberFormat="1" applyFill="1" applyBorder="1" applyAlignment="1">
      <alignment vertical="center"/>
    </xf>
    <xf numFmtId="166" fontId="0" fillId="8" borderId="10" xfId="0" applyNumberFormat="1" applyFill="1" applyBorder="1" applyAlignment="1">
      <alignment vertical="center"/>
    </xf>
    <xf numFmtId="0" fontId="12" fillId="11" borderId="18" xfId="0" applyFont="1" applyFill="1" applyBorder="1" applyAlignment="1">
      <alignment horizontal="left" vertical="center"/>
    </xf>
    <xf numFmtId="0" fontId="12" fillId="11" borderId="19" xfId="0" applyFont="1" applyFill="1" applyBorder="1" applyAlignment="1">
      <alignment horizontal="left" vertical="center"/>
    </xf>
    <xf numFmtId="168" fontId="12" fillId="11" borderId="4" xfId="0" applyNumberFormat="1" applyFont="1" applyFill="1" applyBorder="1" applyAlignment="1">
      <alignment horizontal="center" vertical="center"/>
    </xf>
    <xf numFmtId="168" fontId="12" fillId="11" borderId="5" xfId="0" applyNumberFormat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164" fontId="4" fillId="13" borderId="0" xfId="2" applyNumberFormat="1" applyFont="1" applyFill="1" applyBorder="1" applyAlignment="1">
      <alignment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6" fontId="0" fillId="10" borderId="0" xfId="0" applyNumberFormat="1" applyFill="1" applyBorder="1" applyAlignment="1">
      <alignment horizontal="center" vertical="center"/>
    </xf>
    <xf numFmtId="166" fontId="0" fillId="10" borderId="6" xfId="0" applyNumberForma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horizontal="center" vertical="center"/>
    </xf>
    <xf numFmtId="164" fontId="4" fillId="13" borderId="0" xfId="2" applyNumberFormat="1" applyFont="1" applyFill="1" applyBorder="1" applyAlignment="1">
      <alignment horizontal="center" vertical="center"/>
    </xf>
    <xf numFmtId="164" fontId="4" fillId="13" borderId="6" xfId="2" applyNumberFormat="1" applyFont="1" applyFill="1" applyBorder="1" applyAlignment="1">
      <alignment horizontal="center" vertical="center"/>
    </xf>
    <xf numFmtId="166" fontId="2" fillId="12" borderId="6" xfId="0" applyNumberFormat="1" applyFont="1" applyFill="1" applyBorder="1" applyAlignment="1">
      <alignment horizontal="center" vertical="center"/>
    </xf>
    <xf numFmtId="172" fontId="12" fillId="11" borderId="4" xfId="0" applyNumberFormat="1" applyFont="1" applyFill="1" applyBorder="1" applyAlignment="1">
      <alignment horizontal="center" vertical="center"/>
    </xf>
    <xf numFmtId="172" fontId="12" fillId="11" borderId="5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166" fontId="2" fillId="12" borderId="0" xfId="0" applyNumberFormat="1" applyFont="1" applyFill="1" applyBorder="1" applyAlignment="1">
      <alignment vertical="center"/>
    </xf>
    <xf numFmtId="166" fontId="2" fillId="12" borderId="6" xfId="0" applyNumberFormat="1" applyFont="1" applyFill="1" applyBorder="1" applyAlignment="1">
      <alignment vertical="center"/>
    </xf>
    <xf numFmtId="164" fontId="4" fillId="13" borderId="6" xfId="2" applyNumberFormat="1" applyFont="1" applyFill="1" applyBorder="1" applyAlignment="1">
      <alignment vertical="center"/>
    </xf>
    <xf numFmtId="166" fontId="15" fillId="0" borderId="0" xfId="1" applyNumberFormat="1" applyFont="1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5" borderId="19" xfId="0" applyFont="1" applyFill="1" applyBorder="1" applyAlignment="1"/>
    <xf numFmtId="0" fontId="3" fillId="5" borderId="65" xfId="0" applyFont="1" applyFill="1" applyBorder="1" applyAlignment="1"/>
    <xf numFmtId="0" fontId="0" fillId="0" borderId="19" xfId="0" applyBorder="1" applyAlignment="1"/>
    <xf numFmtId="0" fontId="0" fillId="0" borderId="6" xfId="0" applyBorder="1" applyAlignment="1"/>
    <xf numFmtId="0" fontId="2" fillId="6" borderId="19" xfId="0" applyFont="1" applyFill="1" applyBorder="1" applyAlignment="1"/>
    <xf numFmtId="0" fontId="2" fillId="6" borderId="0" xfId="0" applyFont="1" applyFill="1" applyBorder="1" applyAlignment="1"/>
    <xf numFmtId="0" fontId="4" fillId="0" borderId="20" xfId="0" applyFont="1" applyBorder="1" applyAlignment="1"/>
    <xf numFmtId="0" fontId="4" fillId="0" borderId="10" xfId="0" applyFont="1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18" xfId="0" applyBorder="1" applyAlignment="1"/>
    <xf numFmtId="0" fontId="0" fillId="0" borderId="5" xfId="0" applyBorder="1" applyAlignment="1"/>
    <xf numFmtId="0" fontId="0" fillId="0" borderId="20" xfId="0" applyBorder="1" applyAlignment="1"/>
    <xf numFmtId="0" fontId="0" fillId="0" borderId="10" xfId="0" applyBorder="1" applyAlignment="1"/>
    <xf numFmtId="0" fontId="5" fillId="7" borderId="0" xfId="0" quotePrefix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22" fillId="9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9"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ont>
        <color auto="1"/>
      </font>
      <fill>
        <patternFill>
          <bgColor theme="6" tint="0.39994506668294322"/>
        </patternFill>
      </fill>
      <border>
        <top style="thin">
          <color theme="0"/>
        </top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6" tint="0.39994506668294322"/>
        </patternFill>
      </fill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6" tint="0.39994506668294322"/>
        </patternFill>
      </fill>
    </dxf>
    <dxf>
      <border>
        <top style="thin">
          <color theme="6" tint="-0.24994659260841701"/>
        </top>
        <bottom style="thin">
          <color theme="6" tint="-0.24994659260841701"/>
        </bottom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A5CE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Preparação!$G$24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Preparação!$H$23:$J$23</c:f>
              <c:numCache>
                <c:formatCode>[$-409]mmm;@</c:formatCode>
                <c:ptCount val="3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</c:numCache>
            </c:numRef>
          </c:cat>
          <c:val>
            <c:numRef>
              <c:f>Preparação!$H$24:$J$24</c:f>
              <c:numCache>
                <c:formatCode>_(* #.##0_);_(* \(#.##0\);_(* "-"??_);_(@_)</c:formatCode>
                <c:ptCount val="3"/>
                <c:pt idx="0">
                  <c:v>1573.6211699999999</c:v>
                </c:pt>
                <c:pt idx="1">
                  <c:v>1716.2243699999999</c:v>
                </c:pt>
                <c:pt idx="2">
                  <c:v>2493.1538817935425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FF-44FF-9BB3-4E18F33132B3}"/>
            </c:ext>
          </c:extLst>
        </c:ser>
        <c:ser>
          <c:idx val="2"/>
          <c:order val="1"/>
          <c:tx>
            <c:strRef>
              <c:f>Preparação!$G$26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Preparação!$H$23:$J$23</c:f>
              <c:numCache>
                <c:formatCode>[$-409]mmm;@</c:formatCode>
                <c:ptCount val="3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</c:numCache>
            </c:numRef>
          </c:cat>
          <c:val>
            <c:numRef>
              <c:f>Preparação!$H$26:$J$26</c:f>
              <c:numCache>
                <c:formatCode>_(* #.##0_);_(* \(#.##0\);_(* "-"??_);_(@_)</c:formatCode>
                <c:ptCount val="3"/>
                <c:pt idx="0">
                  <c:v>742.83571200000006</c:v>
                </c:pt>
                <c:pt idx="1">
                  <c:v>741.48058200000003</c:v>
                </c:pt>
                <c:pt idx="2">
                  <c:v>3323.7772259999997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FF-44FF-9BB3-4E18F33132B3}"/>
            </c:ext>
          </c:extLst>
        </c:ser>
        <c:ser>
          <c:idx val="1"/>
          <c:order val="2"/>
          <c:tx>
            <c:strRef>
              <c:f>Preparação!$G$25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Preparação!$H$23:$J$23</c:f>
              <c:numCache>
                <c:formatCode>[$-409]mmm;@</c:formatCode>
                <c:ptCount val="3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</c:numCache>
            </c:numRef>
          </c:cat>
          <c:val>
            <c:numRef>
              <c:f>Preparação!$H$25:$J$25</c:f>
              <c:numCache>
                <c:formatCode>_(* #.##0_);_(* \(#.##0\);_(* "-"??_);_(@_)</c:formatCode>
                <c:ptCount val="3"/>
                <c:pt idx="0">
                  <c:v>903.94710400000008</c:v>
                </c:pt>
                <c:pt idx="1">
                  <c:v>264.40357608930088</c:v>
                </c:pt>
                <c:pt idx="2">
                  <c:v>2798.0090984964118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FF-44FF-9BB3-4E18F331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29696"/>
        <c:axId val="154676608"/>
      </c:barChart>
      <c:dateAx>
        <c:axId val="154429696"/>
        <c:scaling>
          <c:orientation val="minMax"/>
        </c:scaling>
        <c:delete val="0"/>
        <c:axPos val="b"/>
        <c:numFmt formatCode="[$-409]mmm;@" sourceLinked="1"/>
        <c:majorTickMark val="out"/>
        <c:minorTickMark val="none"/>
        <c:tickLblPos val="nextTo"/>
        <c:crossAx val="154676608"/>
        <c:crosses val="autoZero"/>
        <c:auto val="1"/>
        <c:lblOffset val="100"/>
        <c:baseTimeUnit val="months"/>
      </c:dateAx>
      <c:valAx>
        <c:axId val="154676608"/>
        <c:scaling>
          <c:orientation val="minMax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crossAx val="15442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647645818797856E-4"/>
          <c:y val="5.9615404441216192E-5"/>
          <c:w val="0.90556802444061191"/>
          <c:h val="0.783969311528366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Sales YTD</c:v>
          </c:tx>
          <c:spPr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F78-4DEC-9F9D-FFB5135AB0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F78-4DEC-9F9D-FFB5135AB0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F78-4DEC-9F9D-FFB5135AB065}"/>
              </c:ext>
            </c:extLst>
          </c:dPt>
          <c:dLbls>
            <c:dLbl>
              <c:idx val="0"/>
              <c:layout>
                <c:manualLayout>
                  <c:x val="-1.4337293859772905E-2"/>
                  <c:y val="0"/>
                </c:manualLayout>
              </c:layout>
              <c:numFmt formatCode="_(* #\,##0_);_(* \(#\,##0\);_(* &quot;-&quot;_);_(@_)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78-4DEC-9F9D-FFB5135AB065}"/>
                </c:ext>
              </c:extLst>
            </c:dLbl>
            <c:dLbl>
              <c:idx val="1"/>
              <c:numFmt formatCode="_(* #\,##0_);_(* \(#\,##0\);_(* &quot;-&quot;_);_(@_)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_(* #\,##0_);_(* \(#\,##0\);_(* &quot;-&quot;_);_(@_)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_(* #\,##0_);_(* \(#\,##0\);_(* &quot;-&quot;_);_(@_)" sourceLinked="0"/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Preparação!$M$4:$M$6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Preparação!$H$35:$H$37</c:f>
              <c:numCache>
                <c:formatCode>_(* #.##0_);_(* \(#.##0\);_(* "-"??_);_(@_)</c:formatCode>
                <c:ptCount val="3"/>
                <c:pt idx="0">
                  <c:v>12663.804563750688</c:v>
                </c:pt>
                <c:pt idx="1">
                  <c:v>8313.6365839999999</c:v>
                </c:pt>
                <c:pt idx="2">
                  <c:v>11226.112106000002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78-4DEC-9F9D-FFB5135AB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5645568"/>
        <c:axId val="295647104"/>
      </c:barChart>
      <c:lineChart>
        <c:grouping val="standard"/>
        <c:varyColors val="0"/>
        <c:ser>
          <c:idx val="1"/>
          <c:order val="1"/>
          <c:spPr>
            <a:ln w="76200"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78-4DEC-9F9D-FFB5135AB065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78-4DEC-9F9D-FFB5135AB065}"/>
                </c:ext>
              </c:extLst>
            </c:dLbl>
            <c:numFmt formatCode="0.0%" sourceLinked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xPr>
              <a:bodyPr/>
              <a:lstStyle/>
              <a:p>
                <a:pPr>
                  <a:defRPr sz="105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Preparação!$G$19:$G$21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Preparação!$I$35:$I$37</c:f>
              <c:numCache>
                <c:formatCode>General</c:formatCode>
                <c:ptCount val="3"/>
                <c:pt idx="0">
                  <c:v>#N/A</c:v>
                </c:pt>
                <c:pt idx="1">
                  <c:v>0</c:v>
                </c:pt>
                <c:pt idx="2" formatCode="#,#00%">
                  <c:v>0.35032509450860583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F78-4DEC-9F9D-FFB5135A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650432"/>
        <c:axId val="295648640"/>
      </c:lineChart>
      <c:catAx>
        <c:axId val="2956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95647104"/>
        <c:crosses val="autoZero"/>
        <c:auto val="1"/>
        <c:lblAlgn val="ctr"/>
        <c:lblOffset val="100"/>
        <c:noMultiLvlLbl val="0"/>
      </c:catAx>
      <c:valAx>
        <c:axId val="295647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295645568"/>
        <c:crosses val="autoZero"/>
        <c:crossBetween val="between"/>
      </c:valAx>
      <c:valAx>
        <c:axId val="295648640"/>
        <c:scaling>
          <c:orientation val="minMax"/>
          <c:max val="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95650432"/>
        <c:crosses val="max"/>
        <c:crossBetween val="between"/>
      </c:valAx>
      <c:catAx>
        <c:axId val="2956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486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Preparação!$G$45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dLbls>
            <c:numFmt formatCode="_(* #\,##0_);_(* \(#\,##0\);_(* &quot;-&quot;_);_(@_)" sourceLinked="0"/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Preparação!$H$44:$K$44</c:f>
              <c:numCache>
                <c:formatCode>"Q"0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Preparação!$H$45:$K$45</c:f>
              <c:numCache>
                <c:formatCode>_(* #.##0_);_(* \(#.##0\);_(* "-"??_);_(@_)</c:formatCode>
                <c:ptCount val="4"/>
                <c:pt idx="0">
                  <c:v>5249.0523568753442</c:v>
                </c:pt>
                <c:pt idx="1">
                  <c:v>5841.1310368753439</c:v>
                </c:pt>
                <c:pt idx="2">
                  <c:v>5782.9994217935418</c:v>
                </c:pt>
                <c:pt idx="3">
                  <c:v>5203.5117368753436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58-46E5-B619-538935AB00A1}"/>
            </c:ext>
          </c:extLst>
        </c:ser>
        <c:ser>
          <c:idx val="1"/>
          <c:order val="1"/>
          <c:tx>
            <c:strRef>
              <c:f>Preparação!$G$46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_(* #\,##0_);_(* \(#\,##0\);_(* &quot;-&quot;_);_(@_)" sourceLinked="0"/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Preparação!$H$44:$K$44</c:f>
              <c:numCache>
                <c:formatCode>"Q"0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Preparação!$H$46:$K$46</c:f>
              <c:numCache>
                <c:formatCode>_(* #.##0_);_(* \(#.##0\);_(* "-"??_);_(@_)</c:formatCode>
                <c:ptCount val="4"/>
                <c:pt idx="0">
                  <c:v>3314.8738139999996</c:v>
                </c:pt>
                <c:pt idx="1">
                  <c:v>4255.9270580000002</c:v>
                </c:pt>
                <c:pt idx="2">
                  <c:v>4808.0935200000004</c:v>
                </c:pt>
                <c:pt idx="3">
                  <c:v>5050.3341579999997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58-46E5-B619-538935AB00A1}"/>
            </c:ext>
          </c:extLst>
        </c:ser>
        <c:ser>
          <c:idx val="2"/>
          <c:order val="2"/>
          <c:tx>
            <c:strRef>
              <c:f>Preparação!$G$47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_(* #\,##0_);_(* \(#\,##0\);_(* &quot;-&quot;_);_(@_)" sourceLinked="0"/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Preparação!$H$44:$K$44</c:f>
              <c:numCache>
                <c:formatCode>"Q"0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Preparação!$H$47:$K$47</c:f>
              <c:numCache>
                <c:formatCode>_(* #.##0_);_(* \(#.##0\);_(* "-"??_);_(@_)</c:formatCode>
                <c:ptCount val="4"/>
                <c:pt idx="0">
                  <c:v>4305.0667869999997</c:v>
                </c:pt>
                <c:pt idx="1">
                  <c:v>6017.0982150000009</c:v>
                </c:pt>
                <c:pt idx="2">
                  <c:v>5788.1941924964121</c:v>
                </c:pt>
                <c:pt idx="3">
                  <c:v>5407.3973310719157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558-46E5-B619-538935AB00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5846272"/>
        <c:axId val="295847808"/>
      </c:barChart>
      <c:catAx>
        <c:axId val="295846272"/>
        <c:scaling>
          <c:orientation val="minMax"/>
        </c:scaling>
        <c:delete val="0"/>
        <c:axPos val="b"/>
        <c:numFmt formatCode="&quot;Q&quot;0" sourceLinked="1"/>
        <c:majorTickMark val="out"/>
        <c:minorTickMark val="none"/>
        <c:tickLblPos val="nextTo"/>
        <c:crossAx val="295847808"/>
        <c:crosses val="autoZero"/>
        <c:auto val="1"/>
        <c:lblAlgn val="ctr"/>
        <c:lblOffset val="100"/>
        <c:noMultiLvlLbl val="0"/>
      </c:catAx>
      <c:valAx>
        <c:axId val="295847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29584627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11766232005868"/>
          <c:y val="0.88107118174268684"/>
          <c:w val="0.56653798220519669"/>
          <c:h val="8.420047260174778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66753771955084E-2"/>
          <c:y val="0.13083476702139715"/>
          <c:w val="0.8720664924560898"/>
          <c:h val="0.71308774465291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479-4211-BA4A-D9A18C891B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479-4211-BA4A-D9A18C891BBD}"/>
              </c:ext>
            </c:extLst>
          </c:dPt>
          <c:dLbls>
            <c:numFmt formatCode="_(* #\,##0_);_(* \(#\,##0\);_(* &quot;-&quot;_);_(@_)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Preparação!$M$4:$M$6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Preparação!$V$5:$V$7</c:f>
              <c:numCache>
                <c:formatCode>_(* #.##0_);_(* \(#.##0\);_(* "-"??_);_(@_)</c:formatCode>
                <c:ptCount val="3"/>
                <c:pt idx="0">
                  <c:v>22076.694552419576</c:v>
                </c:pt>
                <c:pt idx="1">
                  <c:v>17429.22855</c:v>
                </c:pt>
                <c:pt idx="2">
                  <c:v>21517.756525568329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79-4211-BA4A-D9A18C891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42"/>
        <c:axId val="295864192"/>
        <c:axId val="295876096"/>
      </c:barChart>
      <c:catAx>
        <c:axId val="295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876096"/>
        <c:crosses val="autoZero"/>
        <c:auto val="1"/>
        <c:lblAlgn val="ctr"/>
        <c:lblOffset val="100"/>
        <c:noMultiLvlLbl val="0"/>
      </c:catAx>
      <c:valAx>
        <c:axId val="29587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2958641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4218769809344"/>
          <c:y val="5.3441711080773155E-2"/>
          <c:w val="0.79647664704146881"/>
          <c:h val="0.7389310899756143"/>
        </c:manualLayout>
      </c:layout>
      <c:areaChart>
        <c:grouping val="standard"/>
        <c:varyColors val="0"/>
        <c:ser>
          <c:idx val="1"/>
          <c:order val="1"/>
          <c:tx>
            <c:strRef>
              <c:f>Preparação!$C$19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Preparação!$A$20:$A$31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Preparação!$C$20:$C$31</c:f>
              <c:numCache>
                <c:formatCode>_(* #.##0_);_(* \(#.##0\);_(* "-"??_);_(@_)</c:formatCode>
                <c:ptCount val="12"/>
                <c:pt idx="0">
                  <c:v>418.50155299999994</c:v>
                </c:pt>
                <c:pt idx="1">
                  <c:v>1304.7029029999999</c:v>
                </c:pt>
                <c:pt idx="2">
                  <c:v>1591.6693579999996</c:v>
                </c:pt>
                <c:pt idx="3">
                  <c:v>728.1378390000001</c:v>
                </c:pt>
                <c:pt idx="4">
                  <c:v>1245.402159</c:v>
                </c:pt>
                <c:pt idx="5">
                  <c:v>2282.38706</c:v>
                </c:pt>
                <c:pt idx="6">
                  <c:v>742.83571200000006</c:v>
                </c:pt>
                <c:pt idx="7">
                  <c:v>741.48058200000003</c:v>
                </c:pt>
                <c:pt idx="8">
                  <c:v>3323.7772259999997</c:v>
                </c:pt>
                <c:pt idx="9">
                  <c:v>941.60319600000025</c:v>
                </c:pt>
                <c:pt idx="10">
                  <c:v>842.14992899999982</c:v>
                </c:pt>
                <c:pt idx="11">
                  <c:v>3266.5810329999999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B-4DFE-9C11-DA7985D2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5120"/>
        <c:axId val="146563456"/>
      </c:areaChart>
      <c:lineChart>
        <c:grouping val="standard"/>
        <c:varyColors val="0"/>
        <c:ser>
          <c:idx val="0"/>
          <c:order val="0"/>
          <c:tx>
            <c:strRef>
              <c:f>Preparação!$B$19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Preparação!$A$20:$A$31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Preparação!$B$20:$B$31</c:f>
              <c:numCache>
                <c:formatCode>_(* #.##0_);_(* \(#.##0\);_(* "-"??_);_(@_)</c:formatCode>
                <c:ptCount val="12"/>
                <c:pt idx="0">
                  <c:v>824.68546600000002</c:v>
                </c:pt>
                <c:pt idx="1">
                  <c:v>860.37697700000001</c:v>
                </c:pt>
                <c:pt idx="2">
                  <c:v>2620.0043439999999</c:v>
                </c:pt>
                <c:pt idx="3">
                  <c:v>791.50460600000008</c:v>
                </c:pt>
                <c:pt idx="4">
                  <c:v>1627.5473919999999</c:v>
                </c:pt>
                <c:pt idx="5">
                  <c:v>3598.0462170000005</c:v>
                </c:pt>
                <c:pt idx="6">
                  <c:v>903.94710400000008</c:v>
                </c:pt>
                <c:pt idx="7">
                  <c:v>264.40357608930088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3B-4DFE-9C11-DA7985D28D0F}"/>
            </c:ext>
          </c:extLst>
        </c:ser>
        <c:ser>
          <c:idx val="2"/>
          <c:order val="2"/>
          <c:tx>
            <c:strRef>
              <c:f>Preparação!$D$19</c:f>
              <c:strCache>
                <c:ptCount val="1"/>
                <c:pt idx="0">
                  <c:v>FOR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Preparação!$A$20:$A$31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Preparação!$D$20:$D$31</c:f>
              <c:numCache>
                <c:formatCode>_(* #.##0_);_(* \(#.##0\);_(*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2086.2379900000001</c:v>
                </c:pt>
                <c:pt idx="8">
                  <c:v>2798.0090984964118</c:v>
                </c:pt>
                <c:pt idx="9">
                  <c:v>1655.8203799999999</c:v>
                </c:pt>
                <c:pt idx="10">
                  <c:v>2039.1526200000001</c:v>
                </c:pt>
                <c:pt idx="11">
                  <c:v>1712.4243310719155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3B-4DFE-9C11-DA7985D2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05120"/>
        <c:axId val="146563456"/>
      </c:lineChart>
      <c:dateAx>
        <c:axId val="318805120"/>
        <c:scaling>
          <c:orientation val="minMax"/>
        </c:scaling>
        <c:delete val="0"/>
        <c:axPos val="b"/>
        <c:numFmt formatCode="[$-409]mmmmm;@" sourceLinked="1"/>
        <c:majorTickMark val="out"/>
        <c:minorTickMark val="none"/>
        <c:tickLblPos val="nextTo"/>
        <c:crossAx val="146563456"/>
        <c:crosses val="autoZero"/>
        <c:auto val="1"/>
        <c:lblOffset val="100"/>
        <c:baseTimeUnit val="months"/>
      </c:dateAx>
      <c:valAx>
        <c:axId val="146563456"/>
        <c:scaling>
          <c:orientation val="minMax"/>
          <c:min val="0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crossAx val="318805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757841093955685"/>
          <c:y val="0.89851790423532818"/>
          <c:w val="0.68484317812088635"/>
          <c:h val="8.704166802479963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92424887939465E-2"/>
          <c:y val="6.2678062678062682E-2"/>
          <c:w val="0.90556802444061191"/>
          <c:h val="0.783969311528366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Sales YTD</c:v>
          </c:tx>
          <c:spPr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052-4249-B101-E8938FBD66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052-4249-B101-E8938FBD66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52-4249-B101-E8938FBD6655}"/>
              </c:ext>
            </c:extLst>
          </c:dPt>
          <c:dLbls>
            <c:dLbl>
              <c:idx val="0"/>
              <c:layout>
                <c:manualLayout>
                  <c:x val="-1.4337293859772905E-2"/>
                  <c:y val="0"/>
                </c:manualLayout>
              </c:layout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52-4249-B101-E8938FBD6655}"/>
                </c:ext>
              </c:extLst>
            </c:dLbl>
            <c:dLbl>
              <c:idx val="1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Preparação!$M$4:$M$6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Preparação!$H$19:$H$21</c:f>
              <c:numCache>
                <c:formatCode>_(* #.##0_);_(* \(#.##0\);_(* "-"??_);_(@_)</c:formatCode>
                <c:ptCount val="3"/>
                <c:pt idx="0">
                  <c:v>12663.804563750688</c:v>
                </c:pt>
                <c:pt idx="1">
                  <c:v>9055.117166</c:v>
                </c:pt>
                <c:pt idx="2">
                  <c:v>11490.515682089303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052-4249-B101-E8938FBD6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588032"/>
        <c:axId val="146589568"/>
      </c:barChart>
      <c:lineChart>
        <c:grouping val="standard"/>
        <c:varyColors val="0"/>
        <c:ser>
          <c:idx val="1"/>
          <c:order val="1"/>
          <c:spPr>
            <a:ln w="76200">
              <a:tailEnd type="triangle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52-4249-B101-E8938FBD6655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52-4249-B101-E8938FBD6655}"/>
                </c:ext>
              </c:extLst>
            </c:dLbl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xPr>
              <a:bodyPr/>
              <a:lstStyle/>
              <a:p>
                <a:pPr>
                  <a:defRPr sz="1050" b="1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Preparação!$M$4:$M$6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Preparação!$I$19:$I$21</c:f>
              <c:numCache>
                <c:formatCode>General</c:formatCode>
                <c:ptCount val="3"/>
                <c:pt idx="0">
                  <c:v>#N/A</c:v>
                </c:pt>
                <c:pt idx="1">
                  <c:v>0</c:v>
                </c:pt>
                <c:pt idx="2" formatCode="#,#00%">
                  <c:v>0.2689527337353177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052-4249-B101-E8938FBD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92896"/>
        <c:axId val="146591104"/>
      </c:lineChart>
      <c:catAx>
        <c:axId val="146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46589568"/>
        <c:crosses val="autoZero"/>
        <c:auto val="1"/>
        <c:lblAlgn val="ctr"/>
        <c:lblOffset val="100"/>
        <c:noMultiLvlLbl val="0"/>
      </c:catAx>
      <c:valAx>
        <c:axId val="146589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146588032"/>
        <c:crosses val="autoZero"/>
        <c:crossBetween val="between"/>
      </c:valAx>
      <c:valAx>
        <c:axId val="146591104"/>
        <c:scaling>
          <c:orientation val="minMax"/>
          <c:max val="0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46592896"/>
        <c:crosses val="max"/>
        <c:crossBetween val="between"/>
      </c:valAx>
      <c:catAx>
        <c:axId val="14659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9110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Preparação!$Q$5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Preparação!$R$5:$U$5</c:f>
              <c:numCache>
                <c:formatCode>_(* #.##0_);_(* \(#.##0\);_(* "-"??_);_(@_)</c:formatCode>
                <c:ptCount val="4"/>
                <c:pt idx="0">
                  <c:v>5249.0523568753442</c:v>
                </c:pt>
                <c:pt idx="1">
                  <c:v>5841.1310368753439</c:v>
                </c:pt>
                <c:pt idx="2">
                  <c:v>5782.9994217935418</c:v>
                </c:pt>
                <c:pt idx="3">
                  <c:v>5203.5117368753436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02-4B00-AA31-B4E875492719}"/>
            </c:ext>
          </c:extLst>
        </c:ser>
        <c:ser>
          <c:idx val="1"/>
          <c:order val="1"/>
          <c:tx>
            <c:strRef>
              <c:f>Preparação!$Q$6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Preparação!$R$6:$U$6</c:f>
              <c:numCache>
                <c:formatCode>_(* #.##0_);_(* \(#.##0\);_(* "-"??_);_(@_)</c:formatCode>
                <c:ptCount val="4"/>
                <c:pt idx="0">
                  <c:v>3314.8738139999996</c:v>
                </c:pt>
                <c:pt idx="1">
                  <c:v>4255.9270580000002</c:v>
                </c:pt>
                <c:pt idx="2">
                  <c:v>4808.0935200000004</c:v>
                </c:pt>
                <c:pt idx="3">
                  <c:v>5050.3341579999997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02-4B00-AA31-B4E875492719}"/>
            </c:ext>
          </c:extLst>
        </c:ser>
        <c:ser>
          <c:idx val="2"/>
          <c:order val="2"/>
          <c:tx>
            <c:strRef>
              <c:f>Preparação!$Q$7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Preparação!$R$7:$U$7</c:f>
              <c:numCache>
                <c:formatCode>_(* #.##0_);_(* \(#.##0\);_(* "-"??_);_(@_)</c:formatCode>
                <c:ptCount val="4"/>
                <c:pt idx="0">
                  <c:v>4305.0667869999997</c:v>
                </c:pt>
                <c:pt idx="1">
                  <c:v>6017.0982150000009</c:v>
                </c:pt>
                <c:pt idx="2">
                  <c:v>5788.1941924964121</c:v>
                </c:pt>
                <c:pt idx="3">
                  <c:v>5407.3973310719157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F02-4B00-AA31-B4E8754927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310912"/>
        <c:axId val="154320896"/>
      </c:barChart>
      <c:catAx>
        <c:axId val="154310912"/>
        <c:scaling>
          <c:orientation val="minMax"/>
        </c:scaling>
        <c:delete val="0"/>
        <c:axPos val="b"/>
        <c:numFmt formatCode="&quot;Q&quot;0" sourceLinked="1"/>
        <c:majorTickMark val="out"/>
        <c:minorTickMark val="none"/>
        <c:tickLblPos val="nextTo"/>
        <c:crossAx val="154320896"/>
        <c:crosses val="autoZero"/>
        <c:auto val="1"/>
        <c:lblAlgn val="ctr"/>
        <c:lblOffset val="100"/>
        <c:noMultiLvlLbl val="0"/>
      </c:catAx>
      <c:valAx>
        <c:axId val="154320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15431091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11766232005868"/>
          <c:y val="0.88107118174268684"/>
          <c:w val="0.56653798220519669"/>
          <c:h val="8.420047260174778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66753771955084E-2"/>
          <c:y val="0.13083476702139715"/>
          <c:w val="0.8720664924560898"/>
          <c:h val="0.713087744652919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0A8-482C-A40C-FDB26473F4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0A8-482C-A40C-FDB26473F41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Preparação!$M$4:$M$6</c:f>
              <c:strCache>
                <c:ptCount val="3"/>
                <c:pt idx="0">
                  <c:v>Budget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Preparação!$V$5:$V$7</c:f>
              <c:numCache>
                <c:formatCode>_(* #.##0_);_(* \(#.##0\);_(* "-"??_);_(@_)</c:formatCode>
                <c:ptCount val="3"/>
                <c:pt idx="0">
                  <c:v>22076.694552419576</c:v>
                </c:pt>
                <c:pt idx="1">
                  <c:v>17429.22855</c:v>
                </c:pt>
                <c:pt idx="2">
                  <c:v>21517.756525568329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A8-482C-A40C-FDB26473F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42"/>
        <c:axId val="154456448"/>
        <c:axId val="154460160"/>
      </c:barChart>
      <c:catAx>
        <c:axId val="15445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460160"/>
        <c:crosses val="autoZero"/>
        <c:auto val="1"/>
        <c:lblAlgn val="ctr"/>
        <c:lblOffset val="100"/>
        <c:noMultiLvlLbl val="0"/>
      </c:catAx>
      <c:valAx>
        <c:axId val="154460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.##0_);_(* \(#.##0\);_(* &quot;-&quot;??_);_(@_)" sourceLinked="1"/>
        <c:majorTickMark val="none"/>
        <c:minorTickMark val="none"/>
        <c:tickLblPos val="none"/>
        <c:spPr>
          <a:ln>
            <a:noFill/>
          </a:ln>
        </c:spPr>
        <c:crossAx val="154456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Preparação!$G$29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Preparação!$H$28</c:f>
              <c:numCache>
                <c:formatCode>[$-409]mmm;@</c:formatCode>
                <c:ptCount val="1"/>
                <c:pt idx="0">
                  <c:v>42583</c:v>
                </c:pt>
              </c:numCache>
            </c:numRef>
          </c:cat>
          <c:val>
            <c:numRef>
              <c:f>Preparação!$H$29</c:f>
              <c:numCache>
                <c:formatCode>_(* #.##0_);_(* \(#.##0\);_(* "-"??_);_(@_)</c:formatCode>
                <c:ptCount val="1"/>
                <c:pt idx="0">
                  <c:v>1716.2243699999999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2-431B-AF26-C43256FE7CE7}"/>
            </c:ext>
          </c:extLst>
        </c:ser>
        <c:ser>
          <c:idx val="1"/>
          <c:order val="1"/>
          <c:tx>
            <c:strRef>
              <c:f>Preparação!$G$30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Preparação!$H$28</c:f>
              <c:numCache>
                <c:formatCode>[$-409]mmm;@</c:formatCode>
                <c:ptCount val="1"/>
                <c:pt idx="0">
                  <c:v>42583</c:v>
                </c:pt>
              </c:numCache>
            </c:numRef>
          </c:cat>
          <c:val>
            <c:numRef>
              <c:f>Preparação!$H$30</c:f>
              <c:numCache>
                <c:formatCode>_(* #.##0_);_(* \(#.##0\);_(* "-"??_);_(@_)</c:formatCode>
                <c:ptCount val="1"/>
                <c:pt idx="0">
                  <c:v>741.48058200000003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12-431B-AF26-C43256FE7CE7}"/>
            </c:ext>
          </c:extLst>
        </c:ser>
        <c:ser>
          <c:idx val="2"/>
          <c:order val="2"/>
          <c:tx>
            <c:strRef>
              <c:f>Preparação!$G$31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Preparação!$H$28</c:f>
              <c:numCache>
                <c:formatCode>[$-409]mmm;@</c:formatCode>
                <c:ptCount val="1"/>
                <c:pt idx="0">
                  <c:v>42583</c:v>
                </c:pt>
              </c:numCache>
            </c:numRef>
          </c:cat>
          <c:val>
            <c:numRef>
              <c:f>Preparação!$H$31</c:f>
              <c:numCache>
                <c:formatCode>_(* #.##0_);_(* \(#.##0\);_(* "-"??_);_(@_)</c:formatCode>
                <c:ptCount val="1"/>
                <c:pt idx="0">
                  <c:v>2086.2379900000001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812-431B-AF26-C43256FE7CE7}"/>
            </c:ext>
          </c:extLst>
        </c:ser>
        <c:ser>
          <c:idx val="3"/>
          <c:order val="3"/>
          <c:tx>
            <c:strRef>
              <c:f>Preparação!$G$32</c:f>
              <c:strCache>
                <c:ptCount val="1"/>
                <c:pt idx="0">
                  <c:v>MTD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Preparação!$H$28</c:f>
              <c:numCache>
                <c:formatCode>[$-409]mmm;@</c:formatCode>
                <c:ptCount val="1"/>
                <c:pt idx="0">
                  <c:v>42583</c:v>
                </c:pt>
              </c:numCache>
            </c:numRef>
          </c:cat>
          <c:val>
            <c:numRef>
              <c:f>Preparação!$H$32</c:f>
              <c:numCache>
                <c:formatCode>_(* #.##0_);_(* \(#.##0\);_(* "-"??_);_(@_)</c:formatCode>
                <c:ptCount val="1"/>
                <c:pt idx="0">
                  <c:v>264.40357608930088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812-431B-AF26-C43256FE7C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497792"/>
        <c:axId val="154499328"/>
      </c:barChart>
      <c:dateAx>
        <c:axId val="154497792"/>
        <c:scaling>
          <c:orientation val="minMax"/>
        </c:scaling>
        <c:delete val="0"/>
        <c:axPos val="b"/>
        <c:numFmt formatCode="[$-409]mmm;@" sourceLinked="1"/>
        <c:majorTickMark val="out"/>
        <c:minorTickMark val="none"/>
        <c:tickLblPos val="nextTo"/>
        <c:crossAx val="154499328"/>
        <c:crosses val="autoZero"/>
        <c:auto val="1"/>
        <c:lblOffset val="100"/>
        <c:baseTimeUnit val="days"/>
      </c:dateAx>
      <c:valAx>
        <c:axId val="154499328"/>
        <c:scaling>
          <c:orientation val="minMax"/>
        </c:scaling>
        <c:delete val="1"/>
        <c:axPos val="l"/>
        <c:numFmt formatCode="_(* #.##0_);_(* \(#.##0\);_(* &quot;-&quot;??_);_(@_)" sourceLinked="1"/>
        <c:majorTickMark val="out"/>
        <c:minorTickMark val="none"/>
        <c:tickLblPos val="nextTo"/>
        <c:crossAx val="15449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Preparação!$G$29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Preparação!$J$28</c:f>
              <c:numCache>
                <c:formatCode>"Q"0</c:formatCode>
                <c:ptCount val="1"/>
                <c:pt idx="0">
                  <c:v>3</c:v>
                </c:pt>
              </c:numCache>
            </c:numRef>
          </c:cat>
          <c:val>
            <c:numRef>
              <c:f>Preparação!$J$29</c:f>
              <c:numCache>
                <c:formatCode>_(* #.##0_);_(* \(#.##0\);_(* "-"??_);_(@_)</c:formatCode>
                <c:ptCount val="1"/>
                <c:pt idx="0">
                  <c:v>5782.9994217935418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0-4282-96DB-F03978CD1A72}"/>
            </c:ext>
          </c:extLst>
        </c:ser>
        <c:ser>
          <c:idx val="1"/>
          <c:order val="1"/>
          <c:tx>
            <c:strRef>
              <c:f>Preparação!$G$30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2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Preparação!$J$28</c:f>
              <c:numCache>
                <c:formatCode>"Q"0</c:formatCode>
                <c:ptCount val="1"/>
                <c:pt idx="0">
                  <c:v>3</c:v>
                </c:pt>
              </c:numCache>
            </c:numRef>
          </c:cat>
          <c:val>
            <c:numRef>
              <c:f>Preparação!$J$30</c:f>
              <c:numCache>
                <c:formatCode>_(* #.##0_);_(* \(#.##0\);_(* "-"??_);_(@_)</c:formatCode>
                <c:ptCount val="1"/>
                <c:pt idx="0">
                  <c:v>4808.0935200000004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630-4282-96DB-F03978CD1A72}"/>
            </c:ext>
          </c:extLst>
        </c:ser>
        <c:ser>
          <c:idx val="2"/>
          <c:order val="2"/>
          <c:tx>
            <c:strRef>
              <c:f>Preparação!$G$31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Preparação!$J$28</c:f>
              <c:numCache>
                <c:formatCode>"Q"0</c:formatCode>
                <c:ptCount val="1"/>
                <c:pt idx="0">
                  <c:v>3</c:v>
                </c:pt>
              </c:numCache>
            </c:numRef>
          </c:cat>
          <c:val>
            <c:numRef>
              <c:f>Preparação!$J$31</c:f>
              <c:numCache>
                <c:formatCode>_(* #.##0_);_(* \(#.##0\);_(* "-"??_);_(@_)</c:formatCode>
                <c:ptCount val="1"/>
                <c:pt idx="0">
                  <c:v>5788.1941924964121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30-4282-96DB-F03978CD1A72}"/>
            </c:ext>
          </c:extLst>
        </c:ser>
        <c:ser>
          <c:idx val="3"/>
          <c:order val="3"/>
          <c:tx>
            <c:strRef>
              <c:f>Preparação!$K$32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Preparação!$J$28</c:f>
              <c:numCache>
                <c:formatCode>"Q"0</c:formatCode>
                <c:ptCount val="1"/>
                <c:pt idx="0">
                  <c:v>3</c:v>
                </c:pt>
              </c:numCache>
            </c:numRef>
          </c:cat>
          <c:val>
            <c:numRef>
              <c:f>Preparação!$J$32</c:f>
              <c:numCache>
                <c:formatCode>_(* #.##0_);_(* \(#.##0\);_(* "-"??_);_(@_)</c:formatCode>
                <c:ptCount val="1"/>
                <c:pt idx="0">
                  <c:v>1168.350680089301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630-4282-96DB-F03978CD1A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4516864"/>
        <c:axId val="154686592"/>
      </c:barChart>
      <c:catAx>
        <c:axId val="154516864"/>
        <c:scaling>
          <c:orientation val="minMax"/>
        </c:scaling>
        <c:delete val="0"/>
        <c:axPos val="b"/>
        <c:numFmt formatCode="&quot;Q&quot;0" sourceLinked="1"/>
        <c:majorTickMark val="out"/>
        <c:minorTickMark val="none"/>
        <c:tickLblPos val="nextTo"/>
        <c:crossAx val="154686592"/>
        <c:crosses val="autoZero"/>
        <c:auto val="1"/>
        <c:lblAlgn val="ctr"/>
        <c:lblOffset val="100"/>
        <c:noMultiLvlLbl val="0"/>
      </c:catAx>
      <c:valAx>
        <c:axId val="154686592"/>
        <c:scaling>
          <c:orientation val="minMax"/>
        </c:scaling>
        <c:delete val="1"/>
        <c:axPos val="l"/>
        <c:numFmt formatCode="_(* #.##0_);_(* \(#.##0\);_(* &quot;-&quot;??_);_(@_)" sourceLinked="1"/>
        <c:majorTickMark val="out"/>
        <c:minorTickMark val="none"/>
        <c:tickLblPos val="nextTo"/>
        <c:crossAx val="15451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Preparação!$G$40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Preparação!$H$39:$J$39</c:f>
              <c:numCache>
                <c:formatCode>[$-409]mmm;@</c:formatCode>
                <c:ptCount val="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</c:numCache>
            </c:numRef>
          </c:cat>
          <c:val>
            <c:numRef>
              <c:f>Preparação!$H$40:$J$40</c:f>
              <c:numCache>
                <c:formatCode>_(* #.##0_);_(* \(#.##0\);_(* "-"??_);_(@_)</c:formatCode>
                <c:ptCount val="3"/>
                <c:pt idx="0">
                  <c:v>1573.6211699999999</c:v>
                </c:pt>
                <c:pt idx="1">
                  <c:v>1716.2243699999999</c:v>
                </c:pt>
                <c:pt idx="2">
                  <c:v>2493.1538817935425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B-4181-9370-4EF161031D92}"/>
            </c:ext>
          </c:extLst>
        </c:ser>
        <c:ser>
          <c:idx val="2"/>
          <c:order val="1"/>
          <c:tx>
            <c:strRef>
              <c:f>Preparação!$G$42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Preparação!$H$39:$J$39</c:f>
              <c:numCache>
                <c:formatCode>[$-409]mmm;@</c:formatCode>
                <c:ptCount val="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</c:numCache>
            </c:numRef>
          </c:cat>
          <c:val>
            <c:numRef>
              <c:f>Preparação!$H$42:$J$42</c:f>
              <c:numCache>
                <c:formatCode>_(* #.##0_);_(* \(#.##0\);_(* "-"??_);_(@_)</c:formatCode>
                <c:ptCount val="3"/>
                <c:pt idx="0">
                  <c:v>742.83571200000006</c:v>
                </c:pt>
                <c:pt idx="1">
                  <c:v>741.48058200000003</c:v>
                </c:pt>
                <c:pt idx="2">
                  <c:v>3323.7772259999997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3B-4181-9370-4EF161031D92}"/>
            </c:ext>
          </c:extLst>
        </c:ser>
        <c:ser>
          <c:idx val="1"/>
          <c:order val="2"/>
          <c:tx>
            <c:strRef>
              <c:f>Preparação!$G$41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Preparação!$H$39:$J$39</c:f>
              <c:numCache>
                <c:formatCode>[$-409]mmm;@</c:formatCode>
                <c:ptCount val="3"/>
                <c:pt idx="0">
                  <c:v>43282</c:v>
                </c:pt>
                <c:pt idx="1">
                  <c:v>43313</c:v>
                </c:pt>
                <c:pt idx="2">
                  <c:v>43344</c:v>
                </c:pt>
              </c:numCache>
            </c:numRef>
          </c:cat>
          <c:val>
            <c:numRef>
              <c:f>Preparação!$H$41:$J$41</c:f>
              <c:numCache>
                <c:formatCode>_(* #.##0_);_(* \(#.##0\);_(* "-"??_);_(@_)</c:formatCode>
                <c:ptCount val="3"/>
                <c:pt idx="0">
                  <c:v>903.94710400000008</c:v>
                </c:pt>
                <c:pt idx="1">
                  <c:v>2086.2379900000001</c:v>
                </c:pt>
                <c:pt idx="2">
                  <c:v>2798.0090984964118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3B-4181-9370-4EF16103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03904"/>
        <c:axId val="295405440"/>
      </c:barChart>
      <c:dateAx>
        <c:axId val="295403904"/>
        <c:scaling>
          <c:orientation val="minMax"/>
        </c:scaling>
        <c:delete val="0"/>
        <c:axPos val="b"/>
        <c:numFmt formatCode="[$-409]mmm;@" sourceLinked="1"/>
        <c:majorTickMark val="out"/>
        <c:minorTickMark val="none"/>
        <c:tickLblPos val="nextTo"/>
        <c:crossAx val="295405440"/>
        <c:crosses val="autoZero"/>
        <c:auto val="1"/>
        <c:lblOffset val="100"/>
        <c:baseTimeUnit val="months"/>
      </c:dateAx>
      <c:valAx>
        <c:axId val="295405440"/>
        <c:scaling>
          <c:orientation val="minMax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crossAx val="2954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14218769809344"/>
          <c:y val="5.3441711080773155E-2"/>
          <c:w val="0.79647664704146881"/>
          <c:h val="0.7389310899756143"/>
        </c:manualLayout>
      </c:layout>
      <c:areaChart>
        <c:grouping val="standard"/>
        <c:varyColors val="0"/>
        <c:ser>
          <c:idx val="1"/>
          <c:order val="1"/>
          <c:tx>
            <c:strRef>
              <c:f>Preparação!$C$35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Preparação!$A$36:$A$47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Preparação!$C$36:$C$47</c:f>
              <c:numCache>
                <c:formatCode>_(* #.##0_);_(* \(#.##0\);_(* "-"??_);_(@_)</c:formatCode>
                <c:ptCount val="12"/>
                <c:pt idx="0">
                  <c:v>418.50155299999994</c:v>
                </c:pt>
                <c:pt idx="1">
                  <c:v>1304.7029029999999</c:v>
                </c:pt>
                <c:pt idx="2">
                  <c:v>1591.6693579999996</c:v>
                </c:pt>
                <c:pt idx="3">
                  <c:v>728.1378390000001</c:v>
                </c:pt>
                <c:pt idx="4">
                  <c:v>1245.402159</c:v>
                </c:pt>
                <c:pt idx="5">
                  <c:v>2282.38706</c:v>
                </c:pt>
                <c:pt idx="6">
                  <c:v>742.83571200000006</c:v>
                </c:pt>
                <c:pt idx="7">
                  <c:v>741.48058200000003</c:v>
                </c:pt>
                <c:pt idx="8">
                  <c:v>3323.7772259999997</c:v>
                </c:pt>
                <c:pt idx="9">
                  <c:v>941.60319600000025</c:v>
                </c:pt>
                <c:pt idx="10">
                  <c:v>842.14992899999982</c:v>
                </c:pt>
                <c:pt idx="11">
                  <c:v>3266.5810329999999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64-4D4E-B9AD-EDC31BA3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2192"/>
        <c:axId val="295434112"/>
      </c:areaChart>
      <c:lineChart>
        <c:grouping val="standard"/>
        <c:varyColors val="0"/>
        <c:ser>
          <c:idx val="0"/>
          <c:order val="0"/>
          <c:tx>
            <c:strRef>
              <c:f>Preparação!$B$35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Preparação!$A$36:$A$47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Preparação!$B$36:$B$47</c:f>
              <c:numCache>
                <c:formatCode>_(* #.##0_);_(* \(#.##0\);_(* "-"??_);_(@_)</c:formatCode>
                <c:ptCount val="12"/>
                <c:pt idx="0">
                  <c:v>824.68546600000002</c:v>
                </c:pt>
                <c:pt idx="1">
                  <c:v>860.37697700000001</c:v>
                </c:pt>
                <c:pt idx="2">
                  <c:v>2620.0043439999999</c:v>
                </c:pt>
                <c:pt idx="3">
                  <c:v>791.50460600000008</c:v>
                </c:pt>
                <c:pt idx="4">
                  <c:v>1627.5473919999999</c:v>
                </c:pt>
                <c:pt idx="5">
                  <c:v>3598.0462170000005</c:v>
                </c:pt>
                <c:pt idx="6">
                  <c:v>903.94710400000008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64-4D4E-B9AD-EDC31BA300AA}"/>
            </c:ext>
          </c:extLst>
        </c:ser>
        <c:ser>
          <c:idx val="2"/>
          <c:order val="2"/>
          <c:tx>
            <c:strRef>
              <c:f>Preparação!$D$35</c:f>
              <c:strCache>
                <c:ptCount val="1"/>
                <c:pt idx="0">
                  <c:v>FOR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Preparação!$A$36:$A$47</c:f>
              <c:numCache>
                <c:formatCode>[$-409]mmmmm;@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Preparação!$D$36:$D$47</c:f>
              <c:numCache>
                <c:formatCode>_(* #.##0_);_(* \(#.##0\);_(* "-"??_);_(@_)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903.94710399999997</c:v>
                </c:pt>
                <c:pt idx="7">
                  <c:v>2086.2379900000001</c:v>
                </c:pt>
                <c:pt idx="8">
                  <c:v>2798.0090984964118</c:v>
                </c:pt>
                <c:pt idx="9">
                  <c:v>1655.8203799999999</c:v>
                </c:pt>
                <c:pt idx="10">
                  <c:v>2039.1526200000001</c:v>
                </c:pt>
                <c:pt idx="11">
                  <c:v>1712.4243310719155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64-4D4E-B9AD-EDC31BA3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432192"/>
        <c:axId val="295434112"/>
      </c:lineChart>
      <c:dateAx>
        <c:axId val="295432192"/>
        <c:scaling>
          <c:orientation val="minMax"/>
        </c:scaling>
        <c:delete val="0"/>
        <c:axPos val="b"/>
        <c:numFmt formatCode="[$-409]mmmmm;@" sourceLinked="1"/>
        <c:majorTickMark val="out"/>
        <c:minorTickMark val="none"/>
        <c:tickLblPos val="nextTo"/>
        <c:crossAx val="295434112"/>
        <c:crosses val="autoZero"/>
        <c:auto val="1"/>
        <c:lblOffset val="100"/>
        <c:baseTimeUnit val="months"/>
      </c:dateAx>
      <c:valAx>
        <c:axId val="295434112"/>
        <c:scaling>
          <c:orientation val="minMax"/>
          <c:min val="0"/>
        </c:scaling>
        <c:delete val="0"/>
        <c:axPos val="l"/>
        <c:majorGridlines/>
        <c:numFmt formatCode="_(* #.##0_);_(* \(#.##0\);_(* &quot;-&quot;??_);_(@_)" sourceLinked="1"/>
        <c:majorTickMark val="out"/>
        <c:minorTickMark val="none"/>
        <c:tickLblPos val="nextTo"/>
        <c:crossAx val="295432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757841093955685"/>
          <c:y val="0.89851790423532818"/>
          <c:w val="0.68484317812088635"/>
          <c:h val="8.704166802479963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1.jpeg"/><Relationship Id="rId4" Type="http://schemas.openxmlformats.org/officeDocument/2006/relationships/hyperlink" Target="../Web/index.html" TargetMode="Externa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2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1.xml"/><Relationship Id="rId5" Type="http://schemas.openxmlformats.org/officeDocument/2006/relationships/image" Target="../media/image1.jpeg"/><Relationship Id="rId4" Type="http://schemas.openxmlformats.org/officeDocument/2006/relationships/hyperlink" Target="../Web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109829</xdr:colOff>
      <xdr:row>22</xdr:row>
      <xdr:rowOff>28575</xdr:rowOff>
    </xdr:from>
    <xdr:to>
      <xdr:col>23</xdr:col>
      <xdr:colOff>141816</xdr:colOff>
      <xdr:row>29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19050</xdr:colOff>
      <xdr:row>4</xdr:row>
      <xdr:rowOff>171449</xdr:rowOff>
    </xdr:from>
    <xdr:to>
      <xdr:col>3</xdr:col>
      <xdr:colOff>623207</xdr:colOff>
      <xdr:row>17</xdr:row>
      <xdr:rowOff>314325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594632</xdr:colOff>
      <xdr:row>5</xdr:row>
      <xdr:rowOff>171451</xdr:rowOff>
    </xdr:from>
    <xdr:to>
      <xdr:col>8</xdr:col>
      <xdr:colOff>413073</xdr:colOff>
      <xdr:row>17</xdr:row>
      <xdr:rowOff>95251</xdr:rowOff>
    </xdr:to>
    <xdr:graphicFrame macro="">
      <xdr:nvGraphicFramePr>
        <xdr:cNvPr id="5" name="Gráfico 1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57150</xdr:colOff>
      <xdr:row>1</xdr:row>
      <xdr:rowOff>27777</xdr:rowOff>
    </xdr:from>
    <xdr:to>
      <xdr:col>1</xdr:col>
      <xdr:colOff>1260948</xdr:colOff>
      <xdr:row>1</xdr:row>
      <xdr:rowOff>351777</xdr:rowOff>
    </xdr:to>
    <xdr:grpSp>
      <xdr:nvGrpSpPr>
        <xdr:cNvPr id="7" name="Grupo 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pSpPr>
          <a:grpSpLocks noChangeAspect="1"/>
        </xdr:cNvGrpSpPr>
      </xdr:nvGrpSpPr>
      <xdr:grpSpPr>
        <a:xfrm>
          <a:off x="247650" y="207694"/>
          <a:ext cx="1203798" cy="324000"/>
          <a:chOff x="438150" y="189702"/>
          <a:chExt cx="1257300" cy="338400"/>
        </a:xfrm>
      </xdr:grpSpPr>
      <xdr:sp macro="" textlink="">
        <xdr:nvSpPr>
          <xdr:cNvPr id="8" name="Retângulo 7">
            <a:extLst>
              <a:ext uri="{FF2B5EF4-FFF2-40B4-BE49-F238E27FC236}">
                <a16:creationId xmlns=""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38150" y="189702"/>
            <a:ext cx="1257300" cy="33840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9" name="Imagem 8">
            <a:extLst>
              <a:ext uri="{FF2B5EF4-FFF2-40B4-BE49-F238E27FC236}">
                <a16:creationId xmlns=""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41" y="190500"/>
            <a:ext cx="1087184" cy="336804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428624</xdr:colOff>
      <xdr:row>4</xdr:row>
      <xdr:rowOff>85725</xdr:rowOff>
    </xdr:from>
    <xdr:to>
      <xdr:col>36</xdr:col>
      <xdr:colOff>317823</xdr:colOff>
      <xdr:row>17</xdr:row>
      <xdr:rowOff>266700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148100</xdr:colOff>
      <xdr:row>35</xdr:row>
      <xdr:rowOff>187507</xdr:rowOff>
    </xdr:from>
    <xdr:to>
      <xdr:col>24</xdr:col>
      <xdr:colOff>47991</xdr:colOff>
      <xdr:row>45</xdr:row>
      <xdr:rowOff>55621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85727</xdr:colOff>
      <xdr:row>5</xdr:row>
      <xdr:rowOff>1</xdr:rowOff>
    </xdr:from>
    <xdr:to>
      <xdr:col>14</xdr:col>
      <xdr:colOff>264585</xdr:colOff>
      <xdr:row>17</xdr:row>
      <xdr:rowOff>176215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296333</xdr:colOff>
      <xdr:row>5</xdr:row>
      <xdr:rowOff>1</xdr:rowOff>
    </xdr:from>
    <xdr:to>
      <xdr:col>22</xdr:col>
      <xdr:colOff>317498</xdr:colOff>
      <xdr:row>17</xdr:row>
      <xdr:rowOff>176215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109829</xdr:colOff>
      <xdr:row>22</xdr:row>
      <xdr:rowOff>28575</xdr:rowOff>
    </xdr:from>
    <xdr:to>
      <xdr:col>24</xdr:col>
      <xdr:colOff>152400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19050</xdr:colOff>
      <xdr:row>4</xdr:row>
      <xdr:rowOff>171449</xdr:rowOff>
    </xdr:from>
    <xdr:to>
      <xdr:col>4</xdr:col>
      <xdr:colOff>623207</xdr:colOff>
      <xdr:row>17</xdr:row>
      <xdr:rowOff>314325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594632</xdr:colOff>
      <xdr:row>5</xdr:row>
      <xdr:rowOff>171451</xdr:rowOff>
    </xdr:from>
    <xdr:to>
      <xdr:col>9</xdr:col>
      <xdr:colOff>413073</xdr:colOff>
      <xdr:row>17</xdr:row>
      <xdr:rowOff>95251</xdr:rowOff>
    </xdr:to>
    <xdr:graphicFrame macro="">
      <xdr:nvGraphicFramePr>
        <xdr:cNvPr id="4" name="Gráfico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57150</xdr:colOff>
      <xdr:row>1</xdr:row>
      <xdr:rowOff>27777</xdr:rowOff>
    </xdr:from>
    <xdr:to>
      <xdr:col>1</xdr:col>
      <xdr:colOff>1260948</xdr:colOff>
      <xdr:row>1</xdr:row>
      <xdr:rowOff>351777</xdr:rowOff>
    </xdr:to>
    <xdr:grpSp>
      <xdr:nvGrpSpPr>
        <xdr:cNvPr id="5" name="Grupo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pSpPr>
          <a:grpSpLocks noChangeAspect="1"/>
        </xdr:cNvGrpSpPr>
      </xdr:nvGrpSpPr>
      <xdr:grpSpPr>
        <a:xfrm>
          <a:off x="247650" y="207694"/>
          <a:ext cx="1203798" cy="324000"/>
          <a:chOff x="438150" y="189702"/>
          <a:chExt cx="1257300" cy="338400"/>
        </a:xfrm>
      </xdr:grpSpPr>
      <xdr:sp macro="" textlink="">
        <xdr:nvSpPr>
          <xdr:cNvPr id="6" name="Retângulo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438150" y="189702"/>
            <a:ext cx="1257300" cy="338400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41" y="190500"/>
            <a:ext cx="1087184" cy="33680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85724</xdr:colOff>
      <xdr:row>4</xdr:row>
      <xdr:rowOff>104775</xdr:rowOff>
    </xdr:from>
    <xdr:to>
      <xdr:col>24</xdr:col>
      <xdr:colOff>174948</xdr:colOff>
      <xdr:row>17</xdr:row>
      <xdr:rowOff>285750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148100</xdr:colOff>
      <xdr:row>35</xdr:row>
      <xdr:rowOff>187507</xdr:rowOff>
    </xdr:from>
    <xdr:to>
      <xdr:col>25</xdr:col>
      <xdr:colOff>47991</xdr:colOff>
      <xdr:row>45</xdr:row>
      <xdr:rowOff>55621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Hexagon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97BA"/>
      </a:accent1>
      <a:accent2>
        <a:srgbClr val="C0504D"/>
      </a:accent2>
      <a:accent3>
        <a:srgbClr val="A5CE67"/>
      </a:accent3>
      <a:accent4>
        <a:srgbClr val="8064A2"/>
      </a:accent4>
      <a:accent5>
        <a:srgbClr val="85CDDB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Y48"/>
  <sheetViews>
    <sheetView showGridLines="0" topLeftCell="F1" zoomScale="90" zoomScaleNormal="90" workbookViewId="0">
      <selection activeCell="B2" sqref="B2:X2"/>
    </sheetView>
  </sheetViews>
  <sheetFormatPr defaultRowHeight="15" x14ac:dyDescent="0.25"/>
  <cols>
    <col min="1" max="1" width="2.85546875" customWidth="1"/>
    <col min="2" max="2" width="31.42578125" customWidth="1"/>
    <col min="3" max="5" width="10.140625" customWidth="1"/>
    <col min="6" max="6" width="2.140625" customWidth="1"/>
    <col min="7" max="9" width="10.140625" customWidth="1"/>
    <col min="10" max="11" width="2.85546875" customWidth="1"/>
    <col min="12" max="12" width="15.7109375" customWidth="1"/>
    <col min="16" max="16" width="4.5703125" customWidth="1"/>
    <col min="17" max="17" width="3.140625" customWidth="1"/>
    <col min="18" max="19" width="2.85546875" customWidth="1"/>
    <col min="20" max="20" width="3.5703125" customWidth="1"/>
    <col min="21" max="21" width="3.85546875" customWidth="1"/>
    <col min="22" max="22" width="16.140625" customWidth="1"/>
    <col min="23" max="23" width="14.7109375" customWidth="1"/>
    <col min="24" max="24" width="3.7109375" customWidth="1"/>
    <col min="25" max="25" width="2.85546875" customWidth="1"/>
  </cols>
  <sheetData>
    <row r="1" spans="1:25" ht="14.45" x14ac:dyDescent="0.35">
      <c r="A1" s="81"/>
      <c r="B1" s="90"/>
      <c r="C1" s="90"/>
      <c r="D1" s="90"/>
      <c r="E1" s="90"/>
      <c r="F1" s="90"/>
      <c r="G1" s="90"/>
      <c r="H1" s="90"/>
      <c r="I1" s="90"/>
      <c r="J1" s="90"/>
      <c r="K1" s="90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</row>
    <row r="2" spans="1:25" ht="29.25" customHeight="1" x14ac:dyDescent="0.35">
      <c r="A2" s="84"/>
      <c r="B2" s="259" t="s">
        <v>104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91"/>
    </row>
    <row r="3" spans="1:25" ht="14.45" x14ac:dyDescent="0.35">
      <c r="A3" s="84"/>
      <c r="B3" s="10"/>
      <c r="C3" s="10"/>
      <c r="D3" s="10"/>
      <c r="E3" s="10"/>
      <c r="F3" s="10"/>
      <c r="G3" s="10"/>
      <c r="H3" s="10"/>
      <c r="I3" s="10"/>
      <c r="J3" s="10"/>
      <c r="K3" s="10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7"/>
    </row>
    <row r="4" spans="1:25" ht="26.25" customHeight="1" x14ac:dyDescent="0.35">
      <c r="A4" s="84"/>
      <c r="B4" s="261" t="str">
        <f>"Total Sales "&amp;Preparação!$C$3&amp;" x "&amp;Preparação!$B$3</f>
        <v>Total Sales 2018 x 2019</v>
      </c>
      <c r="C4" s="262"/>
      <c r="D4" s="262"/>
      <c r="E4" s="262"/>
      <c r="F4" s="262"/>
      <c r="G4" s="262"/>
      <c r="H4" s="262"/>
      <c r="I4" s="263"/>
      <c r="J4" s="10"/>
      <c r="K4" s="261" t="str">
        <f>Preparação!$B$3&amp;" Total Sales Forecast"</f>
        <v>2019 Total Sales Forecast</v>
      </c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3"/>
      <c r="Y4" s="88"/>
    </row>
    <row r="5" spans="1:25" ht="14.45" x14ac:dyDescent="0.35">
      <c r="A5" s="84"/>
      <c r="B5" s="37"/>
      <c r="C5" s="10"/>
      <c r="D5" s="10"/>
      <c r="E5" s="10"/>
      <c r="F5" s="10"/>
      <c r="G5" s="10"/>
      <c r="H5" s="10"/>
      <c r="I5" s="93"/>
      <c r="J5" s="10"/>
      <c r="K5" s="37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95"/>
      <c r="Y5" s="87"/>
    </row>
    <row r="6" spans="1:25" ht="14.45" x14ac:dyDescent="0.35">
      <c r="A6" s="84"/>
      <c r="B6" s="37"/>
      <c r="C6" s="10"/>
      <c r="D6" s="10"/>
      <c r="E6" s="10"/>
      <c r="F6" s="10"/>
      <c r="G6" s="10"/>
      <c r="H6" s="10"/>
      <c r="I6" s="93"/>
      <c r="J6" s="10"/>
      <c r="K6" s="37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95"/>
      <c r="Y6" s="87"/>
    </row>
    <row r="7" spans="1:25" ht="15" customHeight="1" x14ac:dyDescent="0.25">
      <c r="A7" s="84"/>
      <c r="B7" s="37"/>
      <c r="C7" s="10"/>
      <c r="D7" s="10"/>
      <c r="E7" s="10"/>
      <c r="F7" s="10"/>
      <c r="G7" s="10"/>
      <c r="H7" s="10"/>
      <c r="I7" s="93" t="s">
        <v>87</v>
      </c>
      <c r="J7" s="10"/>
      <c r="K7" s="37"/>
      <c r="L7" s="86"/>
      <c r="M7" s="86"/>
      <c r="N7" s="86"/>
      <c r="O7" s="10"/>
      <c r="P7" s="10"/>
      <c r="Q7" s="10"/>
      <c r="R7" s="86"/>
      <c r="S7" s="86"/>
      <c r="T7" s="10"/>
      <c r="U7" s="264"/>
      <c r="V7" s="10"/>
      <c r="W7" s="10"/>
      <c r="X7" s="95"/>
      <c r="Y7" s="87"/>
    </row>
    <row r="8" spans="1:25" ht="15" customHeight="1" x14ac:dyDescent="0.25">
      <c r="A8" s="84"/>
      <c r="B8" s="37"/>
      <c r="C8" s="10"/>
      <c r="D8" s="10"/>
      <c r="E8" s="10"/>
      <c r="F8" s="10"/>
      <c r="G8" s="10"/>
      <c r="H8" s="10"/>
      <c r="I8" s="93"/>
      <c r="J8" s="10"/>
      <c r="K8" s="37"/>
      <c r="L8" s="86"/>
      <c r="M8" s="86"/>
      <c r="N8" s="86"/>
      <c r="O8" s="10"/>
      <c r="P8" s="10"/>
      <c r="Q8" s="10"/>
      <c r="R8" s="86"/>
      <c r="S8" s="86"/>
      <c r="T8" s="10"/>
      <c r="U8" s="264"/>
      <c r="V8" s="10"/>
      <c r="W8" s="10"/>
      <c r="X8" s="95"/>
      <c r="Y8" s="87"/>
    </row>
    <row r="9" spans="1:25" ht="15" customHeight="1" x14ac:dyDescent="0.25">
      <c r="A9" s="84"/>
      <c r="B9" s="37"/>
      <c r="C9" s="10"/>
      <c r="D9" s="10"/>
      <c r="E9" s="10"/>
      <c r="F9" s="10"/>
      <c r="G9" s="10"/>
      <c r="H9" s="10"/>
      <c r="I9" s="93"/>
      <c r="J9" s="10"/>
      <c r="K9" s="37"/>
      <c r="L9" s="86"/>
      <c r="M9" s="86"/>
      <c r="N9" s="86"/>
      <c r="O9" s="10"/>
      <c r="P9" s="10"/>
      <c r="Q9" s="10"/>
      <c r="R9" s="86"/>
      <c r="S9" s="86"/>
      <c r="T9" s="10"/>
      <c r="U9" s="266"/>
      <c r="V9" s="267"/>
      <c r="W9" s="10"/>
      <c r="X9" s="95"/>
      <c r="Y9" s="87"/>
    </row>
    <row r="10" spans="1:25" ht="15" customHeight="1" x14ac:dyDescent="0.25">
      <c r="A10" s="84"/>
      <c r="B10" s="37"/>
      <c r="C10" s="10"/>
      <c r="D10" s="10"/>
      <c r="E10" s="10"/>
      <c r="F10" s="10"/>
      <c r="G10" s="10"/>
      <c r="H10" s="10"/>
      <c r="I10" s="93"/>
      <c r="J10" s="10"/>
      <c r="K10" s="37"/>
      <c r="L10" s="86"/>
      <c r="M10" s="86"/>
      <c r="N10" s="86"/>
      <c r="O10" s="255" t="s">
        <v>112</v>
      </c>
      <c r="P10" s="265">
        <f>Preparação!I29</f>
        <v>0.15406119427688869</v>
      </c>
      <c r="Q10" s="265"/>
      <c r="R10" s="86"/>
      <c r="S10" s="86"/>
      <c r="T10" s="10"/>
      <c r="U10" s="266"/>
      <c r="V10" s="267"/>
      <c r="W10" s="252">
        <f ca="1">Preparação!K29</f>
        <v>0.20203195519721293</v>
      </c>
      <c r="X10" s="95"/>
      <c r="Y10" s="87"/>
    </row>
    <row r="11" spans="1:25" ht="15.75" customHeight="1" x14ac:dyDescent="0.25">
      <c r="A11" s="84"/>
      <c r="B11" s="37"/>
      <c r="C11" s="10"/>
      <c r="D11" s="10"/>
      <c r="E11" s="10"/>
      <c r="F11" s="10"/>
      <c r="G11" s="10"/>
      <c r="H11" s="10"/>
      <c r="I11" s="93"/>
      <c r="J11" s="10"/>
      <c r="K11" s="37"/>
      <c r="L11" s="86"/>
      <c r="M11" s="86"/>
      <c r="N11" s="86"/>
      <c r="O11" s="255" t="s">
        <v>113</v>
      </c>
      <c r="P11" s="265">
        <f>Preparação!I30</f>
        <v>0.35658867205412653</v>
      </c>
      <c r="Q11" s="265"/>
      <c r="R11" s="86"/>
      <c r="S11" s="86"/>
      <c r="T11" s="10"/>
      <c r="U11" s="294"/>
      <c r="V11" s="267"/>
      <c r="W11" s="253">
        <f ca="1">Preparação!K30</f>
        <v>0.24299666286218596</v>
      </c>
      <c r="X11" s="95"/>
      <c r="Y11" s="87"/>
    </row>
    <row r="12" spans="1:25" ht="15" customHeight="1" x14ac:dyDescent="0.25">
      <c r="A12" s="84"/>
      <c r="B12" s="37"/>
      <c r="C12" s="10"/>
      <c r="D12" s="10"/>
      <c r="E12" s="10"/>
      <c r="F12" s="10"/>
      <c r="G12" s="10"/>
      <c r="H12" s="10"/>
      <c r="I12" s="93"/>
      <c r="J12" s="10"/>
      <c r="K12" s="37"/>
      <c r="L12" s="86"/>
      <c r="M12" s="86"/>
      <c r="N12" s="86"/>
      <c r="O12" s="255" t="s">
        <v>114</v>
      </c>
      <c r="P12" s="265">
        <f>Preparação!I31</f>
        <v>0.12673701531496934</v>
      </c>
      <c r="Q12" s="265"/>
      <c r="R12" s="86"/>
      <c r="S12" s="86"/>
      <c r="T12" s="10"/>
      <c r="U12" s="294"/>
      <c r="V12" s="267"/>
      <c r="W12" s="254">
        <f ca="1">Preparação!K31</f>
        <v>0.20185063618008964</v>
      </c>
      <c r="X12" s="95"/>
      <c r="Y12" s="87"/>
    </row>
    <row r="13" spans="1:25" ht="15" customHeight="1" x14ac:dyDescent="0.25">
      <c r="A13" s="84"/>
      <c r="B13" s="37"/>
      <c r="C13" s="10"/>
      <c r="D13" s="10"/>
      <c r="E13" s="10"/>
      <c r="F13" s="10"/>
      <c r="G13" s="10"/>
      <c r="H13" s="10"/>
      <c r="I13" s="93"/>
      <c r="J13" s="10"/>
      <c r="K13" s="37"/>
      <c r="L13" s="86"/>
      <c r="M13" s="86"/>
      <c r="N13" s="86"/>
      <c r="O13" s="10"/>
      <c r="P13" s="10"/>
      <c r="Q13" s="10"/>
      <c r="R13" s="86"/>
      <c r="S13" s="86"/>
      <c r="T13" s="86"/>
      <c r="U13" s="293"/>
      <c r="V13" s="267"/>
      <c r="W13" s="10"/>
      <c r="X13" s="95"/>
      <c r="Y13" s="87"/>
    </row>
    <row r="14" spans="1:25" ht="15.75" customHeight="1" x14ac:dyDescent="0.25">
      <c r="A14" s="84"/>
      <c r="B14" s="37"/>
      <c r="C14" s="10"/>
      <c r="D14" s="10"/>
      <c r="E14" s="10"/>
      <c r="F14" s="10"/>
      <c r="G14" s="10"/>
      <c r="H14" s="10"/>
      <c r="I14" s="93"/>
      <c r="J14" s="10"/>
      <c r="K14" s="37"/>
      <c r="L14" s="86"/>
      <c r="M14" s="86"/>
      <c r="N14" s="86"/>
      <c r="O14" s="10"/>
      <c r="P14" s="10"/>
      <c r="Q14" s="10"/>
      <c r="R14" s="86"/>
      <c r="S14" s="86"/>
      <c r="T14" s="86"/>
      <c r="U14" s="293"/>
      <c r="V14" s="267"/>
      <c r="W14" s="10"/>
      <c r="X14" s="95"/>
      <c r="Y14" s="87"/>
    </row>
    <row r="15" spans="1:25" ht="14.45" x14ac:dyDescent="0.35">
      <c r="A15" s="84"/>
      <c r="B15" s="37"/>
      <c r="C15" s="10"/>
      <c r="D15" s="10"/>
      <c r="E15" s="10"/>
      <c r="F15" s="10"/>
      <c r="G15" s="10"/>
      <c r="H15" s="10"/>
      <c r="I15" s="93"/>
      <c r="J15" s="10"/>
      <c r="K15" s="37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95"/>
      <c r="Y15" s="87"/>
    </row>
    <row r="16" spans="1:25" ht="14.45" x14ac:dyDescent="0.35">
      <c r="A16" s="84"/>
      <c r="B16" s="37"/>
      <c r="C16" s="10"/>
      <c r="D16" s="10"/>
      <c r="E16" s="10"/>
      <c r="F16" s="10"/>
      <c r="G16" s="10"/>
      <c r="H16" s="10"/>
      <c r="I16" s="93"/>
      <c r="J16" s="10"/>
      <c r="K16" s="37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95"/>
      <c r="Y16" s="87"/>
    </row>
    <row r="17" spans="1:25" ht="14.45" x14ac:dyDescent="0.35">
      <c r="A17" s="84"/>
      <c r="B17" s="37"/>
      <c r="C17" s="10"/>
      <c r="D17" s="10"/>
      <c r="E17" s="10"/>
      <c r="F17" s="10"/>
      <c r="G17" s="10"/>
      <c r="H17" s="10"/>
      <c r="I17" s="93"/>
      <c r="J17" s="10"/>
      <c r="K17" s="37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95"/>
      <c r="Y17" s="87"/>
    </row>
    <row r="18" spans="1:25" ht="27.75" customHeight="1" x14ac:dyDescent="0.35">
      <c r="A18" s="84"/>
      <c r="B18" s="94"/>
      <c r="C18" s="21"/>
      <c r="D18" s="21"/>
      <c r="E18" s="295" t="str">
        <f>IF(Preparação!$A$18&lt;=1,"JANUARY",UPPER("YTD January to "&amp;TEXT(DATE(2015,Preparação!$A$18,1),"[$-409]mmmm")))</f>
        <v>YTD JANUARY TO AUGUST</v>
      </c>
      <c r="F18" s="295"/>
      <c r="G18" s="295"/>
      <c r="H18" s="295"/>
      <c r="I18" s="296"/>
      <c r="J18" s="10"/>
      <c r="K18" s="94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7"/>
      <c r="Y18" s="87"/>
    </row>
    <row r="19" spans="1:25" ht="27.75" customHeight="1" x14ac:dyDescent="0.35">
      <c r="A19" s="84"/>
      <c r="B19" s="10"/>
      <c r="C19" s="10"/>
      <c r="D19" s="10"/>
      <c r="E19" s="126"/>
      <c r="F19" s="126"/>
      <c r="G19" s="126"/>
      <c r="H19" s="126"/>
      <c r="I19" s="126"/>
      <c r="J19" s="10"/>
      <c r="K19" s="10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7"/>
    </row>
    <row r="20" spans="1:25" ht="15" customHeight="1" x14ac:dyDescent="0.25">
      <c r="A20" s="84"/>
      <c r="B20" s="27"/>
      <c r="C20" s="12">
        <f>E20-1</f>
        <v>2018</v>
      </c>
      <c r="D20" s="12">
        <f>IF(E21=1,E20-1,E20)</f>
        <v>2019</v>
      </c>
      <c r="E20" s="23">
        <f>Preparação!$B$3</f>
        <v>2019</v>
      </c>
      <c r="F20" s="13"/>
      <c r="G20" s="12">
        <f>$E$20</f>
        <v>2019</v>
      </c>
      <c r="H20" s="12">
        <f>$E$20</f>
        <v>2019</v>
      </c>
      <c r="I20" s="14">
        <f>$E$20</f>
        <v>2019</v>
      </c>
      <c r="J20" s="10"/>
      <c r="K20" s="261" t="str">
        <f>"Q"&amp;TEXT(P23,0)&amp; " Monthly Sales"</f>
        <v>Q3 Monthly Sales</v>
      </c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3"/>
      <c r="Y20" s="87"/>
    </row>
    <row r="21" spans="1:25" ht="15.75" customHeight="1" x14ac:dyDescent="0.25">
      <c r="A21" s="84"/>
      <c r="B21" s="98" t="s">
        <v>75</v>
      </c>
      <c r="C21" s="15">
        <f>E21</f>
        <v>3</v>
      </c>
      <c r="D21" s="15">
        <f>IF(E21=1,4,E21-1)</f>
        <v>2</v>
      </c>
      <c r="E21" s="24">
        <f>MIN(INT(Preparação!$A$2/3)+1,4)</f>
        <v>3</v>
      </c>
      <c r="F21" s="10"/>
      <c r="G21" s="16">
        <f>DATE(G20,3*($E$21-1)+1,1)</f>
        <v>43647</v>
      </c>
      <c r="H21" s="16">
        <f>DATE(H20,3*($E$21-1)+2,1)</f>
        <v>43678</v>
      </c>
      <c r="I21" s="17">
        <f>DATE(I20,3*($E$21-1)+3,1)</f>
        <v>43709</v>
      </c>
      <c r="J21" s="10"/>
      <c r="K21" s="297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9"/>
      <c r="Y21" s="87"/>
    </row>
    <row r="22" spans="1:25" ht="15" customHeight="1" x14ac:dyDescent="0.35">
      <c r="A22" s="84"/>
      <c r="B22" s="29"/>
      <c r="C22" s="15" t="s">
        <v>48</v>
      </c>
      <c r="D22" s="15" t="s">
        <v>48</v>
      </c>
      <c r="E22" s="24" t="s">
        <v>54</v>
      </c>
      <c r="F22" s="10"/>
      <c r="G22" s="15" t="str">
        <f>IF(MONTH(G21)&lt;=Preparação!$A$2,"Act","FOR")</f>
        <v>Act</v>
      </c>
      <c r="H22" s="15" t="str">
        <f>IF(MONTH(H21)&lt;=Preparação!$A$2,"Act","FOR")</f>
        <v>FOR</v>
      </c>
      <c r="I22" s="18" t="str">
        <f>IF(MONTH(I21)&lt;=Preparação!$A$2,"Act","FOR")</f>
        <v>FOR</v>
      </c>
      <c r="J22" s="10"/>
      <c r="K22" s="37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95"/>
      <c r="Y22" s="87"/>
    </row>
    <row r="23" spans="1:25" ht="15.75" x14ac:dyDescent="0.25">
      <c r="A23" s="84"/>
      <c r="B23" s="34" t="s">
        <v>0</v>
      </c>
      <c r="C23" s="62">
        <f ca="1">SUM(OFFSET('Total Sales'!$A$1,MATCH($B$2,'Total Sales'!$A:$A,0)-1, MATCH("CY"&amp;RIGHT(C$20,2),'Total Sales'!$B$9:$AK$9,0)+3*(C$21-1),1,3))</f>
        <v>4808.0935200000004</v>
      </c>
      <c r="D23" s="62">
        <f ca="1">SUM(OFFSET('Total Sales'!$A$1,MATCH($B$2,'Total Sales'!$A:$A,0)-1, MATCH("CY"&amp;RIGHT(D$20,2),'Total Sales'!$B$9:$AK$9,0)+3*(D$21-1),1,3))</f>
        <v>6017.098215</v>
      </c>
      <c r="E23" s="63">
        <f ca="1">SUM(OFFSET('Total Sales'!$A$1,MATCH($B$2,'Total Sales'!$A:$A,0)-1, MATCH("Forecast",'Total Sales'!$B$11:$AK$11,0)+3*(E$21-1),1,3))</f>
        <v>5788.1941924964121</v>
      </c>
      <c r="F23" s="10"/>
      <c r="G23" s="62">
        <f>INDEX('Total Sales'!$A:$AK,MATCH($B$2,'Total Sales'!$A:$A,0),IF(G$22="FOR",MATCH("Forecast",'Total Sales'!$11:$11,0)-1,1)+MONTH(G$21))</f>
        <v>903.94710400000008</v>
      </c>
      <c r="H23" s="62">
        <f>INDEX('Total Sales'!$A:$AK,MATCH($B$2,'Total Sales'!$A:$A,0),IF(H$22="FOR",MATCH("Forecast",'Total Sales'!$11:$11,0)-1,1)+MONTH(H$21))</f>
        <v>2086.2379900000001</v>
      </c>
      <c r="I23" s="71">
        <f>INDEX('Total Sales'!$A:$AK,MATCH($B$2,'Total Sales'!$A:$A,0),IF(I$22="FOR",MATCH("Forecast",'Total Sales'!$11:$11,0)-1,1)+MONTH(I$21))</f>
        <v>2798.0090984964118</v>
      </c>
      <c r="J23" s="10"/>
      <c r="K23" s="37"/>
      <c r="L23" s="275" t="s">
        <v>0</v>
      </c>
      <c r="M23" s="99">
        <f>DATE(Preparação!$B$3,($P$23*3-2),1)</f>
        <v>43647</v>
      </c>
      <c r="N23" s="99">
        <f>DATE(Preparação!$B$3,($P$23*3-1),1)</f>
        <v>43678</v>
      </c>
      <c r="O23" s="99">
        <f>DATE(Preparação!$B$3,($P$23*3),1)</f>
        <v>43709</v>
      </c>
      <c r="P23" s="277">
        <f>MIN(INT((Preparação!A18-1)/3)+1,4)</f>
        <v>3</v>
      </c>
      <c r="Q23" s="278"/>
      <c r="R23" s="86"/>
      <c r="S23" s="86"/>
      <c r="T23" s="86"/>
      <c r="U23" s="86"/>
      <c r="V23" s="86"/>
      <c r="W23" s="86"/>
      <c r="X23" s="95"/>
      <c r="Y23" s="87"/>
    </row>
    <row r="24" spans="1:25" ht="15" customHeight="1" x14ac:dyDescent="0.25">
      <c r="A24" s="84"/>
      <c r="B24" s="29" t="s">
        <v>3</v>
      </c>
      <c r="C24" s="64">
        <f ca="1">SUM(OFFSET('Gross Profit 1'!$A$1,MATCH($B$2,'Gross Profit 1'!$A:$A,0)-1, MATCH("CY"&amp;RIGHT(C$20,2),'Gross Profit 1'!$B$9:$AK$9,0)+3*(C$21-1),1,3))</f>
        <v>2870.4820590000004</v>
      </c>
      <c r="D24" s="64">
        <f ca="1">SUM(OFFSET('Gross Profit 1'!$A$1,MATCH($B$2,'Gross Profit 1'!$A:$A,0)-1, MATCH("CY"&amp;RIGHT(D$20,2),'Gross Profit 1'!$B$9:$AK$9,0)+3*(D$21-1),1,3))</f>
        <v>3156.0328579999996</v>
      </c>
      <c r="E24" s="65">
        <f ca="1">SUM(OFFSET('Gross Profit 1'!$A$1,MATCH($B$2,'Gross Profit 1'!$A:$A,0)-1, MATCH("Forecast",'Gross Profit 1'!$B$11:$AK$11,0)+3*(E$21-1),1,3))</f>
        <v>3286.8977565234991</v>
      </c>
      <c r="F24" s="10"/>
      <c r="G24" s="64">
        <f>INDEX('Gross Profit 1'!$A:$AK,MATCH($B$2,'Gross Profit 1'!$A:$A,0),IF(G$22="FOR",MATCH("Forecast",'Gross Profit 1'!$11:$11,0)-1,1)+MONTH(G$21))</f>
        <v>255.70740800000002</v>
      </c>
      <c r="H24" s="64">
        <f>INDEX('Gross Profit 1'!$A:$AK,MATCH($B$2,'Gross Profit 1'!$A:$A,0),IF(H$22="FOR",MATCH("Forecast",'Gross Profit 1'!$11:$11,0)-1,1)+MONTH(H$21))</f>
        <v>1307.88759</v>
      </c>
      <c r="I24" s="72">
        <f>INDEX('Gross Profit 1'!$A:$AK,MATCH($B$2,'Gross Profit 1'!$A:$A,0),IF(I$22="FOR",MATCH("Forecast",'Gross Profit 1'!$11:$11,0)-1,1)+MONTH(I$21))</f>
        <v>1723.3027585234993</v>
      </c>
      <c r="J24" s="10"/>
      <c r="K24" s="37"/>
      <c r="L24" s="276"/>
      <c r="M24" s="247" t="str">
        <f>IF(MONTH(M23)=Preparação!$A$18,"Mtd",IF(MONTH(M23)&lt;Preparação!$A$18,"Act","For"))</f>
        <v>Act</v>
      </c>
      <c r="N24" s="247" t="str">
        <f>IF(MONTH(N23)=Preparação!$A$18,"Mtd",IF(MONTH(N23)&lt;Preparação!$A$18,"Act","For"))</f>
        <v>Mtd</v>
      </c>
      <c r="O24" s="247" t="str">
        <f>IF(MONTH(O23)=Preparação!$A$18,"Mtd",IF(MONTH(O23)&lt;Preparação!$A$18,"Act","For"))</f>
        <v>For</v>
      </c>
      <c r="P24" s="279" t="str">
        <f>IF(MONTH(O23)&lt;=Preparação!$A$18,"Act","For")</f>
        <v>For</v>
      </c>
      <c r="Q24" s="280"/>
      <c r="R24" s="86"/>
      <c r="S24" s="86"/>
      <c r="T24" s="86"/>
      <c r="U24" s="86"/>
      <c r="V24" s="86"/>
      <c r="W24" s="86"/>
      <c r="X24" s="95"/>
      <c r="Y24" s="87"/>
    </row>
    <row r="25" spans="1:25" ht="15" customHeight="1" x14ac:dyDescent="0.25">
      <c r="A25" s="84"/>
      <c r="B25" s="30" t="s">
        <v>4</v>
      </c>
      <c r="C25" s="11">
        <f ca="1">IFERROR(C24/C$23,0)</f>
        <v>0.59701044646070034</v>
      </c>
      <c r="D25" s="11">
        <f ca="1">IFERROR(D24/D$23,0)</f>
        <v>0.52451077666180324</v>
      </c>
      <c r="E25" s="25">
        <f ca="1">IFERROR(E24/E$23,0)</f>
        <v>0.56786238457315485</v>
      </c>
      <c r="F25" s="10"/>
      <c r="G25" s="11">
        <f>IFERROR(G24/G$23,0)</f>
        <v>0.28287872915183321</v>
      </c>
      <c r="H25" s="11">
        <f>IFERROR(H24/H$23,0)</f>
        <v>0.62691198044955554</v>
      </c>
      <c r="I25" s="19">
        <f>IFERROR(I24/I$23,0)</f>
        <v>0.61590320040401736</v>
      </c>
      <c r="J25" s="10"/>
      <c r="K25" s="37"/>
      <c r="L25" s="100" t="str">
        <f>Preparação!G25</f>
        <v>This Year</v>
      </c>
      <c r="M25" s="248">
        <f>Preparação!H25</f>
        <v>903.94710400000008</v>
      </c>
      <c r="N25" s="248">
        <f>Preparação!I25</f>
        <v>264.40357608930088</v>
      </c>
      <c r="O25" s="248">
        <f>Preparação!J25</f>
        <v>2798.0090984964118</v>
      </c>
      <c r="P25" s="300">
        <f ca="1">Preparação!$K$25</f>
        <v>5788.1941924964121</v>
      </c>
      <c r="Q25" s="301"/>
      <c r="R25" s="86"/>
      <c r="S25" s="86"/>
      <c r="T25" s="86"/>
      <c r="U25" s="86"/>
      <c r="V25" s="86"/>
      <c r="W25" s="86"/>
      <c r="X25" s="95"/>
      <c r="Y25" s="87"/>
    </row>
    <row r="26" spans="1:25" x14ac:dyDescent="0.25">
      <c r="A26" s="84"/>
      <c r="B26" s="29" t="s">
        <v>14</v>
      </c>
      <c r="C26" s="64">
        <f ca="1">SUM(OFFSET('Var+OCOS'!$A$1,MATCH($B$2,'Var+OCOS'!$A:$A,0)-1, MATCH("CY"&amp;RIGHT(C$20,2),'Var+OCOS'!$B$9:$AK$9,0)+3*(C$21-1),1,3))</f>
        <v>-56.425509000000005</v>
      </c>
      <c r="D26" s="64">
        <f ca="1">SUM(OFFSET('Var+OCOS'!$A$1,MATCH($B$2,'Var+OCOS'!$A:$A,0)-1, MATCH("CY"&amp;RIGHT(D$20,2),'Var+OCOS'!$B$9:$AK$9,0)+3*(D$21-1),1,3))</f>
        <v>164.690676</v>
      </c>
      <c r="E26" s="66">
        <f ca="1">SUM(OFFSET('Var+OCOS'!$A$1,MATCH($B$2,'Var+OCOS'!$A:$A,0)-1, MATCH("Forecast",'Var+OCOS'!$B$11:$AK$11,0)+3*(E$21-1),1,3))</f>
        <v>-93.760425518015865</v>
      </c>
      <c r="F26" s="10"/>
      <c r="G26" s="64">
        <f>INDEX('Var+OCOS'!$A:$AK,MATCH($B$2,'Var+OCOS'!$A:$A,0),IF(G$22="FOR",MATCH("Forecast",'Var+OCOS'!$11:$11,0)-1,1)+MONTH(G$21))</f>
        <v>-58.514072999999996</v>
      </c>
      <c r="H26" s="64">
        <f>INDEX('Var+OCOS'!$A:$AK,MATCH($B$2,'Var+OCOS'!$A:$A,0),IF(H$22="FOR",MATCH("Forecast",'Var+OCOS'!$11:$11,0)-1,1)+MONTH(H$21))</f>
        <v>-17.532553356273063</v>
      </c>
      <c r="I26" s="72">
        <f>INDEX('Var+OCOS'!$A:$AK,MATCH($B$2,'Var+OCOS'!$A:$A,0),IF(I$22="FOR",MATCH("Forecast",'Var+OCOS'!$11:$11,0)-1,1)+MONTH(I$21))</f>
        <v>-17.713799161742791</v>
      </c>
      <c r="J26" s="10"/>
      <c r="K26" s="37"/>
      <c r="L26" s="101" t="s">
        <v>71</v>
      </c>
      <c r="M26" s="249">
        <f>M25/M29-1</f>
        <v>-0.4255624408001577</v>
      </c>
      <c r="N26" s="249">
        <f>N25/N29-1</f>
        <v>-0.84593880572311131</v>
      </c>
      <c r="O26" s="249">
        <f>O25/O29-1</f>
        <v>0.12227693562322761</v>
      </c>
      <c r="P26" s="281">
        <f ca="1">P25/P29-1</f>
        <v>8.9828310950434975E-4</v>
      </c>
      <c r="Q26" s="302"/>
      <c r="R26" s="86"/>
      <c r="S26" s="86"/>
      <c r="T26" s="86"/>
      <c r="U26" s="86"/>
      <c r="V26" s="86"/>
      <c r="W26" s="86"/>
      <c r="X26" s="95"/>
      <c r="Y26" s="87"/>
    </row>
    <row r="27" spans="1:25" x14ac:dyDescent="0.25">
      <c r="A27" s="84"/>
      <c r="B27" s="31" t="s">
        <v>1</v>
      </c>
      <c r="C27" s="67">
        <f ca="1">SUM(OFFSET('Gross Profit 2'!$A$1,MATCH($B$2,'Gross Profit 2'!$A:$A,0)-1, MATCH("CY"&amp;RIGHT(C$20,2),'Gross Profit 2'!$B$9:$AK$9,0)+3*(C$21-1),1,3))</f>
        <v>2814.0565500000002</v>
      </c>
      <c r="D27" s="67">
        <f ca="1">SUM(OFFSET('Gross Profit 2'!$A$1,MATCH($B$2,'Gross Profit 2'!$A:$A,0)-1, MATCH("CY"&amp;RIGHT(D$20,2),'Gross Profit 2'!$B$9:$AK$9,0)+3*(D$21-1),1,3))</f>
        <v>3320.7235339999997</v>
      </c>
      <c r="E27" s="65">
        <f ca="1">SUM(OFFSET('Gross Profit 2'!$A$1,MATCH($B$2,'Gross Profit 2'!$A:$A,0)-1, MATCH("Forecast",'Gross Profit 2'!$B$11:$AK$11,0)+3*(E$21-1),1,3))</f>
        <v>3193.1373310054832</v>
      </c>
      <c r="F27" s="10"/>
      <c r="G27" s="67">
        <f>INDEX('Gross Profit 2'!$A:$AK,MATCH($B$2,'Gross Profit 2'!$A:$A,0),IF(G$22="FOR",MATCH("Forecast",'Gross Profit 2'!$11:$11,0)-1,1)+MONTH(G$21))</f>
        <v>197.19333500000002</v>
      </c>
      <c r="H27" s="67">
        <f>INDEX('Gross Profit 2'!$A:$AK,MATCH($B$2,'Gross Profit 2'!$A:$A,0),IF(H$22="FOR",MATCH("Forecast",'Gross Profit 2'!$11:$11,0)-1,1)+MONTH(H$21))</f>
        <v>1290.3550366437269</v>
      </c>
      <c r="I27" s="73">
        <f>INDEX('Gross Profit 2'!$A:$AK,MATCH($B$2,'Gross Profit 2'!$A:$A,0),IF(I$22="FOR",MATCH("Forecast",'Gross Profit 2'!$11:$11,0)-1,1)+MONTH(I$21))</f>
        <v>1705.5889593617565</v>
      </c>
      <c r="J27" s="10"/>
      <c r="K27" s="37"/>
      <c r="L27" s="101" t="s">
        <v>72</v>
      </c>
      <c r="M27" s="249">
        <f>M25/M30-1</f>
        <v>0.21688697702245108</v>
      </c>
      <c r="N27" s="249">
        <f>N25/N30-1</f>
        <v>-0.64341132794587352</v>
      </c>
      <c r="O27" s="249">
        <f>O25/O30-1</f>
        <v>-0.15818392502084855</v>
      </c>
      <c r="P27" s="281">
        <f ca="1">P25/P30-1</f>
        <v>0.20384392866310375</v>
      </c>
      <c r="Q27" s="302"/>
      <c r="R27" s="86"/>
      <c r="S27" s="86"/>
      <c r="T27" s="86"/>
      <c r="U27" s="86"/>
      <c r="V27" s="86"/>
      <c r="W27" s="86"/>
      <c r="X27" s="95"/>
      <c r="Y27" s="87"/>
    </row>
    <row r="28" spans="1:25" x14ac:dyDescent="0.25">
      <c r="A28" s="84"/>
      <c r="B28" s="32" t="s">
        <v>50</v>
      </c>
      <c r="C28" s="11">
        <f ca="1">IFERROR(C27/C$23,0)</f>
        <v>0.58527491994373693</v>
      </c>
      <c r="D28" s="11">
        <f ca="1">IFERROR(D27/D$23,0)</f>
        <v>0.5518812250266717</v>
      </c>
      <c r="E28" s="25">
        <f ca="1">IFERROR(E27/E$23,0)</f>
        <v>0.55166382205091546</v>
      </c>
      <c r="F28" s="10"/>
      <c r="G28" s="11">
        <f>IFERROR(G27/G$23,0)</f>
        <v>0.21814698462710047</v>
      </c>
      <c r="H28" s="11">
        <f>IFERROR(H27/H$23,0)</f>
        <v>0.61850807186371237</v>
      </c>
      <c r="I28" s="19">
        <f>IFERROR(I27/I$23,0)</f>
        <v>0.60957234209077527</v>
      </c>
      <c r="J28" s="10"/>
      <c r="K28" s="37"/>
      <c r="L28" s="102"/>
      <c r="M28" s="251"/>
      <c r="N28" s="251"/>
      <c r="O28" s="251"/>
      <c r="P28" s="269"/>
      <c r="Q28" s="270"/>
      <c r="R28" s="86"/>
      <c r="S28" s="86"/>
      <c r="T28" s="86"/>
      <c r="U28" s="86"/>
      <c r="V28" s="86"/>
      <c r="W28" s="86"/>
      <c r="X28" s="95"/>
      <c r="Y28" s="87"/>
    </row>
    <row r="29" spans="1:25" ht="15" customHeight="1" x14ac:dyDescent="0.25">
      <c r="A29" s="84"/>
      <c r="B29" s="29" t="s">
        <v>2</v>
      </c>
      <c r="C29" s="64">
        <f ca="1">SUM(OFFSET('Total OPEX'!$A$1,MATCH($B$2,'Total OPEX'!$A:$A,0)-1, MATCH("CY"&amp;RIGHT(C$20,2),'Total OPEX'!$B$9:$AK$9,0)+3*(C$21-1),1,3))</f>
        <v>-1139.6078149999998</v>
      </c>
      <c r="D29" s="64">
        <f ca="1">SUM(OFFSET('Total OPEX'!$A$1,MATCH($B$2,'Total OPEX'!$A:$A,0)-1, MATCH("CY"&amp;RIGHT(D$20,2),'Total OPEX'!$B$9:$AK$9,0)+3*(D$21-1),1,3))</f>
        <v>-1284.707836</v>
      </c>
      <c r="E29" s="68">
        <f ca="1">SUM(OFFSET('Total OPEX'!$A$1,MATCH($B$2,'Total OPEX'!$A:$A,0)-1, MATCH("Forecast",'Total OPEX'!$B$11:$AK$11,0)+3*(E$21-1),1,3))</f>
        <v>-1288.0401078219252</v>
      </c>
      <c r="F29" s="10"/>
      <c r="G29" s="64">
        <f>INDEX('Total OPEX'!$A:$AK,MATCH($B$2,'Total OPEX'!$A:$A,0),IF(G$22="FOR",MATCH("Forecast",'Total OPEX'!$11:$11,0)-1,1)+MONTH(G$21))</f>
        <v>-398.28530000000006</v>
      </c>
      <c r="H29" s="64">
        <f>INDEX('Total OPEX'!$A:$AK,MATCH($B$2,'Total OPEX'!$A:$A,0),IF(H$22="FOR",MATCH("Forecast",'Total OPEX'!$11:$11,0)-1,1)+MONTH(H$21))</f>
        <v>-444.87740391096258</v>
      </c>
      <c r="I29" s="72">
        <f>INDEX('Total OPEX'!$A:$AK,MATCH($B$2,'Total OPEX'!$A:$A,0),IF(I$22="FOR",MATCH("Forecast",'Total OPEX'!$11:$11,0)-1,1)+MONTH(I$21))</f>
        <v>-444.87740391096258</v>
      </c>
      <c r="J29" s="10"/>
      <c r="K29" s="37"/>
      <c r="L29" s="103" t="str">
        <f>Preparação!G24</f>
        <v>Budget</v>
      </c>
      <c r="M29" s="246">
        <f>Preparação!H24</f>
        <v>1573.6211699999999</v>
      </c>
      <c r="N29" s="246">
        <f>Preparação!I24</f>
        <v>1716.2243699999999</v>
      </c>
      <c r="O29" s="246">
        <f>Preparação!J24</f>
        <v>2493.1538817935425</v>
      </c>
      <c r="P29" s="271">
        <f t="shared" ref="P29:P30" si="0">SUM(M29:O29)</f>
        <v>5782.9994217935418</v>
      </c>
      <c r="Q29" s="272"/>
      <c r="R29" s="86"/>
      <c r="S29" s="86"/>
      <c r="T29" s="86"/>
      <c r="U29" s="86"/>
      <c r="V29" s="86"/>
      <c r="W29" s="86"/>
      <c r="X29" s="95"/>
      <c r="Y29" s="87"/>
    </row>
    <row r="30" spans="1:25" ht="15" customHeight="1" x14ac:dyDescent="0.25">
      <c r="A30" s="84"/>
      <c r="B30" s="35" t="s">
        <v>5</v>
      </c>
      <c r="C30" s="69">
        <f ca="1">SUM(OFFSET(EBIT!$A$1,MATCH($B$2,EBIT!$A:$A,0)-1, MATCH("CY"&amp;RIGHT(C$20,2),EBIT!$B$9:$AK$9,0)+3*(C$21-1),1,3))</f>
        <v>1674.4487350000004</v>
      </c>
      <c r="D30" s="69">
        <f ca="1">SUM(OFFSET(EBIT!$A$1,MATCH($B$2,EBIT!$A:$A,0)-1, MATCH("CY"&amp;RIGHT(D$20,2),EBIT!$B$9:$AK$9,0)+3*(D$21-1),1,3))</f>
        <v>2036.0156979999997</v>
      </c>
      <c r="E30" s="70">
        <f ca="1">SUM(OFFSET(EBIT!$A$1,MATCH($B$2,EBIT!$A:$A,0)-1, MATCH("Forecast",EBIT!$B$11:$AK$11,0)+3*(E$21-1),1,3))</f>
        <v>1905.0972231835581</v>
      </c>
      <c r="F30" s="10"/>
      <c r="G30" s="69">
        <f>INDEX(EBIT!$A:$AK,MATCH($B$2,EBIT!$A:$A,0),IF(G$22="FOR",MATCH("Forecast",EBIT!$11:$11,0)-1,1)+MONTH(G$21))</f>
        <v>-201.09196500000004</v>
      </c>
      <c r="H30" s="69">
        <f>INDEX(EBIT!$A:$AK,MATCH($B$2,EBIT!$A:$A,0),IF(H$22="FOR",MATCH("Forecast",EBIT!$11:$11,0)-1,1)+MONTH(H$21))</f>
        <v>845.47763273276428</v>
      </c>
      <c r="I30" s="74">
        <f>INDEX(EBIT!$A:$AK,MATCH($B$2,EBIT!$A:$A,0),IF(I$22="FOR",MATCH("Forecast",EBIT!$11:$11,0)-1,1)+MONTH(I$21))</f>
        <v>1260.7115554507939</v>
      </c>
      <c r="J30" s="10"/>
      <c r="K30" s="37"/>
      <c r="L30" s="104" t="str">
        <f>Preparação!G26</f>
        <v>Last Year</v>
      </c>
      <c r="M30" s="245">
        <f>Preparação!H26</f>
        <v>742.83571200000006</v>
      </c>
      <c r="N30" s="245">
        <f>Preparação!I26</f>
        <v>741.48058200000003</v>
      </c>
      <c r="O30" s="245">
        <f>Preparação!J26</f>
        <v>3323.7772259999997</v>
      </c>
      <c r="P30" s="273">
        <f t="shared" si="0"/>
        <v>4808.0935200000004</v>
      </c>
      <c r="Q30" s="274"/>
      <c r="R30" s="86"/>
      <c r="S30" s="86"/>
      <c r="T30" s="86"/>
      <c r="U30" s="86"/>
      <c r="V30" s="86"/>
      <c r="W30" s="86"/>
      <c r="X30" s="95"/>
      <c r="Y30" s="87"/>
    </row>
    <row r="31" spans="1:25" ht="16.5" customHeight="1" x14ac:dyDescent="0.25">
      <c r="A31" s="84"/>
      <c r="B31" s="33" t="s">
        <v>49</v>
      </c>
      <c r="C31" s="20">
        <f ca="1">IFERROR(C30/C$23,0)</f>
        <v>0.34825627414168936</v>
      </c>
      <c r="D31" s="20">
        <f ca="1">IFERROR(D30/D$23,0)</f>
        <v>0.33837169101285802</v>
      </c>
      <c r="E31" s="26">
        <f ca="1">IFERROR(E30/E$23,0)</f>
        <v>0.3291349874980441</v>
      </c>
      <c r="F31" s="21"/>
      <c r="G31" s="20">
        <f>IFERROR(G30/G$23,0)</f>
        <v>-0.22245988079408685</v>
      </c>
      <c r="H31" s="20">
        <f>IFERROR(H30/H$23,0)</f>
        <v>0.40526423005688061</v>
      </c>
      <c r="I31" s="22">
        <f>IFERROR(I30/I$23,0)</f>
        <v>0.45057450175136043</v>
      </c>
      <c r="J31" s="10"/>
      <c r="K31" s="94"/>
      <c r="L31" s="21"/>
      <c r="M31" s="21"/>
      <c r="N31" s="21"/>
      <c r="O31" s="21"/>
      <c r="P31" s="21"/>
      <c r="Q31" s="21"/>
      <c r="R31" s="96"/>
      <c r="S31" s="96"/>
      <c r="T31" s="96"/>
      <c r="U31" s="96"/>
      <c r="V31" s="96"/>
      <c r="W31" s="96"/>
      <c r="X31" s="97"/>
      <c r="Y31" s="87"/>
    </row>
    <row r="32" spans="1:25" x14ac:dyDescent="0.25">
      <c r="A32" s="84"/>
      <c r="B32" s="170" t="s">
        <v>73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86"/>
      <c r="S32" s="86"/>
      <c r="T32" s="86"/>
      <c r="U32" s="86"/>
      <c r="V32" s="86"/>
      <c r="W32" s="86"/>
      <c r="X32" s="86"/>
      <c r="Y32" s="87"/>
    </row>
    <row r="33" spans="1:25" ht="27.75" customHeight="1" x14ac:dyDescent="0.25">
      <c r="A33" s="84"/>
      <c r="B33" s="10"/>
      <c r="C33" s="10"/>
      <c r="D33" s="10"/>
      <c r="E33" s="10"/>
      <c r="F33" s="126"/>
      <c r="G33" s="126"/>
      <c r="H33" s="126"/>
      <c r="I33" s="126"/>
      <c r="J33" s="126"/>
      <c r="K33" s="10"/>
      <c r="L33" s="10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7"/>
    </row>
    <row r="34" spans="1:25" ht="15" customHeight="1" x14ac:dyDescent="0.25">
      <c r="A34" s="84"/>
      <c r="B34" s="27"/>
      <c r="C34" s="12">
        <f>D34-1</f>
        <v>2018</v>
      </c>
      <c r="D34" s="23">
        <f>Preparação!$B$3</f>
        <v>2019</v>
      </c>
      <c r="E34" s="23">
        <f>Preparação!$B$3</f>
        <v>2019</v>
      </c>
      <c r="F34" s="13"/>
      <c r="G34" s="131">
        <f>Preparação!$B$3</f>
        <v>2019</v>
      </c>
      <c r="H34" s="10"/>
      <c r="I34" s="10"/>
      <c r="J34" s="10"/>
      <c r="K34" s="261" t="s">
        <v>89</v>
      </c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3"/>
      <c r="Y34" s="87"/>
    </row>
    <row r="35" spans="1:25" ht="15.75" customHeight="1" x14ac:dyDescent="0.25">
      <c r="A35" s="84"/>
      <c r="B35" s="98" t="s">
        <v>75</v>
      </c>
      <c r="C35" s="15" t="s">
        <v>88</v>
      </c>
      <c r="D35" s="24" t="s">
        <v>88</v>
      </c>
      <c r="E35" s="24" t="s">
        <v>88</v>
      </c>
      <c r="F35" s="10"/>
      <c r="G35" s="132" t="s">
        <v>88</v>
      </c>
      <c r="H35" s="10"/>
      <c r="I35" s="10"/>
      <c r="J35" s="10"/>
      <c r="K35" s="297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9"/>
      <c r="Y35" s="87"/>
    </row>
    <row r="36" spans="1:25" ht="15" customHeight="1" x14ac:dyDescent="0.25">
      <c r="A36" s="84"/>
      <c r="B36" s="29"/>
      <c r="C36" s="15" t="s">
        <v>48</v>
      </c>
      <c r="D36" s="24" t="s">
        <v>74</v>
      </c>
      <c r="E36" s="24" t="s">
        <v>86</v>
      </c>
      <c r="F36" s="10"/>
      <c r="G36" s="133" t="s">
        <v>48</v>
      </c>
      <c r="H36" s="10"/>
      <c r="I36" s="10"/>
      <c r="J36" s="10"/>
      <c r="K36" s="3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95"/>
      <c r="Y36" s="87"/>
    </row>
    <row r="37" spans="1:25" ht="15.75" x14ac:dyDescent="0.25">
      <c r="A37" s="84"/>
      <c r="B37" s="34" t="s">
        <v>0</v>
      </c>
      <c r="C37" s="62">
        <f ca="1">SUM(OFFSET('Total Sales'!$A$1,MATCH($B$2,'Total Sales'!$A:$A,0)-1, MATCH("CY"&amp;RIGHT(C$34,2),'Total Sales'!$B$9:$AK$9,0),1,12))</f>
        <v>17429.22855</v>
      </c>
      <c r="D37" s="63">
        <f ca="1">SUM(OFFSET('Total Sales'!$A$1,MATCH($B$2,'Total Sales'!$A:$A,0)-1, MATCH("Budget",'Total Sales'!$B$11:$BI$11,0),1,12))</f>
        <v>22076.694552419576</v>
      </c>
      <c r="E37" s="63">
        <f ca="1">SUM(OFFSET('Total Sales'!$A$1,MATCH($B$2,'Total Sales'!$A:$A,0)-1, MATCH("Forecast",'Total Sales'!$B$11:$AK$11,0),1,12))</f>
        <v>21517.756525568329</v>
      </c>
      <c r="F37" s="10"/>
      <c r="G37" s="134">
        <f ca="1">SUM(OFFSET('Total Sales'!$A$1,MATCH($B$2,'Total Sales'!$A:$A,0)-1, MATCH("CY"&amp;RIGHT(G$34,2),'Total Sales'!$B$9:$AK$9,0),1,12))</f>
        <v>11226.112106000002</v>
      </c>
      <c r="H37" s="10"/>
      <c r="I37" s="10"/>
      <c r="J37" s="10"/>
      <c r="K37" s="37"/>
      <c r="L37" s="275" t="s">
        <v>0</v>
      </c>
      <c r="M37" s="250">
        <f>Preparação!R1</f>
        <v>1</v>
      </c>
      <c r="N37" s="250">
        <f>Preparação!S1</f>
        <v>2</v>
      </c>
      <c r="O37" s="250">
        <f>Preparação!T1</f>
        <v>3</v>
      </c>
      <c r="P37" s="277">
        <f>Preparação!U1</f>
        <v>4</v>
      </c>
      <c r="Q37" s="277"/>
      <c r="R37" s="127"/>
      <c r="S37" s="291" t="str">
        <f>Preparação!V1</f>
        <v>CY</v>
      </c>
      <c r="T37" s="291"/>
      <c r="U37" s="292"/>
      <c r="V37" s="86"/>
      <c r="W37" s="86"/>
      <c r="X37" s="95"/>
      <c r="Y37" s="87"/>
    </row>
    <row r="38" spans="1:25" ht="15" customHeight="1" x14ac:dyDescent="0.25">
      <c r="A38" s="84"/>
      <c r="B38" s="29" t="s">
        <v>3</v>
      </c>
      <c r="C38" s="64">
        <f ca="1">SUM(OFFSET('Gross Profit 1'!$A$1,MATCH($B$2,'Gross Profit 1'!$A:$A,0)-1, MATCH("CY"&amp;RIGHT(C$34,2),'Gross Profit 1'!$B$9:$AK$9,0),1,12))</f>
        <v>10145.401751000001</v>
      </c>
      <c r="D38" s="65">
        <f ca="1">SUM(OFFSET('Gross Profit 1'!$A$1,MATCH($B$2,'Gross Profit 1'!$A:$A,0)-1, MATCH("Budget",'Gross Profit 1'!$B$11:$BI$11,0),1,12))</f>
        <v>13651.398193750687</v>
      </c>
      <c r="E38" s="65">
        <f ca="1">SUM(OFFSET('Gross Profit 1'!$A$1,MATCH($B$2,'Gross Profit 1'!$A:$A,0)-1, MATCH("Forecast",'Gross Profit 1'!$B$11:$AK$11,0),1,12))</f>
        <v>12643.833828059456</v>
      </c>
      <c r="F38" s="10"/>
      <c r="G38" s="45">
        <f ca="1">SUM(OFFSET('Gross Profit 1'!$A$1,MATCH($B$2,'Gross Profit 1'!$A:$A,0)-1, MATCH("CY"&amp;RIGHT(G$34,2),'Gross Profit 1'!$B$9:$AK$9,0),1,12))</f>
        <v>6193.5987639999994</v>
      </c>
      <c r="H38" s="10"/>
      <c r="I38" s="10"/>
      <c r="J38" s="10"/>
      <c r="K38" s="37"/>
      <c r="L38" s="276"/>
      <c r="M38" s="247" t="str">
        <f>IF(INT(Preparação!$A$2/3)&gt;=M37,"Act","For")</f>
        <v>Act</v>
      </c>
      <c r="N38" s="247" t="str">
        <f>IF(INT(Preparação!$A$2/3)&gt;=N37,"Act","For")</f>
        <v>Act</v>
      </c>
      <c r="O38" s="247" t="str">
        <f>IF(INT(Preparação!$A$2/3)&gt;=O37,"Act","For")</f>
        <v>For</v>
      </c>
      <c r="P38" s="279" t="str">
        <f>IF(INT(Preparação!$A$2/3)&gt;=P37,"Act","For")</f>
        <v>For</v>
      </c>
      <c r="Q38" s="279"/>
      <c r="R38" s="86"/>
      <c r="S38" s="279" t="str">
        <f>IF(INT(Preparação!$A$2/3)&gt;=S37,"Act","For")</f>
        <v>For</v>
      </c>
      <c r="T38" s="279"/>
      <c r="U38" s="280"/>
      <c r="V38" s="86"/>
      <c r="W38" s="86"/>
      <c r="X38" s="95"/>
      <c r="Y38" s="87"/>
    </row>
    <row r="39" spans="1:25" ht="15" customHeight="1" x14ac:dyDescent="0.25">
      <c r="A39" s="84"/>
      <c r="B39" s="30" t="s">
        <v>4</v>
      </c>
      <c r="C39" s="11">
        <f ca="1">IFERROR(C38/C$37,0)</f>
        <v>0.58209126823344115</v>
      </c>
      <c r="D39" s="25">
        <f ca="1">IFERROR(D38/D$37,0)</f>
        <v>0.61836241658987445</v>
      </c>
      <c r="E39" s="25">
        <f ca="1">IFERROR(E38/E$37,0)</f>
        <v>0.58760000435154591</v>
      </c>
      <c r="F39" s="10"/>
      <c r="G39" s="135">
        <f ca="1">IFERROR(G38/G$37,0)</f>
        <v>0.55171360356268995</v>
      </c>
      <c r="H39" s="10"/>
      <c r="I39" s="10"/>
      <c r="J39" s="10"/>
      <c r="K39" s="37"/>
      <c r="L39" s="100" t="str">
        <f>Preparação!Q7</f>
        <v>This Year</v>
      </c>
      <c r="M39" s="248">
        <f ca="1">Preparação!R7</f>
        <v>4305.0667869999997</v>
      </c>
      <c r="N39" s="248">
        <f ca="1">Preparação!S7</f>
        <v>6017.0982150000009</v>
      </c>
      <c r="O39" s="248">
        <f ca="1">Preparação!T7</f>
        <v>5788.1941924964121</v>
      </c>
      <c r="P39" s="268">
        <f ca="1">Preparação!U7</f>
        <v>5407.3973310719157</v>
      </c>
      <c r="Q39" s="268"/>
      <c r="R39" s="86"/>
      <c r="S39" s="268">
        <f ca="1">Preparação!V7</f>
        <v>21517.756525568329</v>
      </c>
      <c r="T39" s="268"/>
      <c r="U39" s="290"/>
      <c r="V39" s="86"/>
      <c r="W39" s="86"/>
      <c r="X39" s="95"/>
      <c r="Y39" s="87"/>
    </row>
    <row r="40" spans="1:25" x14ac:dyDescent="0.25">
      <c r="A40" s="84"/>
      <c r="B40" s="29" t="s">
        <v>14</v>
      </c>
      <c r="C40" s="64">
        <f ca="1">SUM(OFFSET('Var+OCOS'!$A$1,MATCH($B$2,'Var+OCOS'!$A:$A,0)-1, MATCH("CY"&amp;RIGHT(C$34,2),'Var+OCOS'!$B$9:$AK$9,0),1,12))</f>
        <v>-131.10937899999999</v>
      </c>
      <c r="D40" s="66">
        <f ca="1">SUM(OFFSET('Var+OCOS'!$A$1,MATCH($B$2,'Var+OCOS'!$A:$A,0)-1, MATCH("Budget",'Var+OCOS'!$B$11:$BI$11,0),1,12))</f>
        <v>-202.49553734228687</v>
      </c>
      <c r="E40" s="66">
        <f ca="1">SUM(OFFSET('Var+OCOS'!$A$1,MATCH($B$2,'Var+OCOS'!$A:$A,0)-1, MATCH("Forecast",'Var+OCOS'!$B$11:$AK$11,0),1,12))</f>
        <v>-46.838728060322495</v>
      </c>
      <c r="F40" s="10"/>
      <c r="G40" s="45">
        <f ca="1">SUM(OFFSET('Var+OCOS'!$A$1,MATCH($B$2,'Var+OCOS'!$A:$A,0)-1, MATCH("CY"&amp;RIGHT(G$34,2),'Var+OCOS'!$B$9:$AK$9,0),1,12))</f>
        <v>37.51116399999998</v>
      </c>
      <c r="H40" s="10"/>
      <c r="I40" s="10"/>
      <c r="J40" s="10"/>
      <c r="K40" s="37"/>
      <c r="L40" s="101" t="s">
        <v>71</v>
      </c>
      <c r="M40" s="249">
        <f ca="1">M39/M43-1</f>
        <v>-0.17983923681745861</v>
      </c>
      <c r="N40" s="249">
        <f ca="1">N39/N43-1</f>
        <v>3.0125531684491946E-2</v>
      </c>
      <c r="O40" s="249">
        <f ca="1">O39/O43-1</f>
        <v>8.9828310950434975E-4</v>
      </c>
      <c r="P40" s="281">
        <f ca="1">P39/P43-1</f>
        <v>3.9182306970062308E-2</v>
      </c>
      <c r="Q40" s="281"/>
      <c r="R40" s="86"/>
      <c r="S40" s="288">
        <f ca="1">S39/S43-1</f>
        <v>-2.5318012419118574E-2</v>
      </c>
      <c r="T40" s="288"/>
      <c r="U40" s="289"/>
      <c r="V40" s="86"/>
      <c r="W40" s="86"/>
      <c r="X40" s="95"/>
      <c r="Y40" s="87"/>
    </row>
    <row r="41" spans="1:25" x14ac:dyDescent="0.25">
      <c r="A41" s="84"/>
      <c r="B41" s="31" t="s">
        <v>1</v>
      </c>
      <c r="C41" s="67">
        <f ca="1">SUM(OFFSET('Gross Profit 2'!$A$1,MATCH($B$2,'Gross Profit 2'!$A:$A,0)-1, MATCH("CY"&amp;RIGHT(C$34,2),'Gross Profit 2'!$B$9:$AK$9,0),1,12))</f>
        <v>10014.292372000002</v>
      </c>
      <c r="D41" s="65">
        <f ca="1">SUM(OFFSET('Gross Profit 2'!$A$1,MATCH($B$2,'Gross Profit 2'!$A:$A,0)-1, MATCH("Budget",'Gross Profit 2'!$B$11:$BI$11,0),1,12))</f>
        <v>13448.902656408402</v>
      </c>
      <c r="E41" s="65">
        <f ca="1">SUM(OFFSET('Gross Profit 2'!$A$1,MATCH($B$2,'Gross Profit 2'!$A:$A,0)-1, MATCH("Forecast",'Gross Profit 2'!$B$11:$AK$11,0),1,12))</f>
        <v>12596.995099999132</v>
      </c>
      <c r="F41" s="10"/>
      <c r="G41" s="136">
        <f ca="1">SUM(OFFSET('Gross Profit 2'!$A$1,MATCH($B$2,'Gross Profit 2'!$A:$A,0)-1, MATCH("CY"&amp;RIGHT(G$34,2),'Gross Profit 2'!$B$9:$AK$9,0),1,12))</f>
        <v>6231.1099279999999</v>
      </c>
      <c r="H41" s="10"/>
      <c r="I41" s="10"/>
      <c r="J41" s="10"/>
      <c r="K41" s="37"/>
      <c r="L41" s="101" t="s">
        <v>72</v>
      </c>
      <c r="M41" s="249">
        <f ca="1">M39/M44-1</f>
        <v>0.29871211652703966</v>
      </c>
      <c r="N41" s="249">
        <f ca="1">N39/N44-1</f>
        <v>0.41381610469321184</v>
      </c>
      <c r="O41" s="249">
        <f ca="1">O39/O44-1</f>
        <v>0.20384392866310375</v>
      </c>
      <c r="P41" s="281">
        <f ca="1">P39/P44-1</f>
        <v>7.0700900554532486E-2</v>
      </c>
      <c r="Q41" s="281"/>
      <c r="R41" s="86"/>
      <c r="S41" s="288">
        <f ca="1">S39/S44-1</f>
        <v>0.23457882624233117</v>
      </c>
      <c r="T41" s="288"/>
      <c r="U41" s="289"/>
      <c r="V41" s="86"/>
      <c r="W41" s="86"/>
      <c r="X41" s="95"/>
      <c r="Y41" s="87"/>
    </row>
    <row r="42" spans="1:25" x14ac:dyDescent="0.25">
      <c r="A42" s="84"/>
      <c r="B42" s="32" t="s">
        <v>50</v>
      </c>
      <c r="C42" s="11">
        <f ca="1">IFERROR(C41/C$37,0)</f>
        <v>0.57456888256824201</v>
      </c>
      <c r="D42" s="25">
        <f ca="1">IFERROR(D41/D$37,0)</f>
        <v>0.60919004991779535</v>
      </c>
      <c r="E42" s="25">
        <f ca="1">IFERROR(E41/E$37,0)</f>
        <v>0.58542325660348637</v>
      </c>
      <c r="F42" s="10"/>
      <c r="G42" s="135">
        <f ca="1">IFERROR(G41/G$37,0)</f>
        <v>0.55505502431867471</v>
      </c>
      <c r="H42" s="10"/>
      <c r="I42" s="10"/>
      <c r="J42" s="10"/>
      <c r="K42" s="37"/>
      <c r="L42" s="102"/>
      <c r="M42" s="251"/>
      <c r="N42" s="251"/>
      <c r="O42" s="251"/>
      <c r="P42" s="269"/>
      <c r="Q42" s="269"/>
      <c r="R42" s="86"/>
      <c r="S42" s="283"/>
      <c r="T42" s="283"/>
      <c r="U42" s="284"/>
      <c r="V42" s="86"/>
      <c r="W42" s="86"/>
      <c r="X42" s="95"/>
      <c r="Y42" s="87"/>
    </row>
    <row r="43" spans="1:25" ht="15" customHeight="1" x14ac:dyDescent="0.25">
      <c r="A43" s="84"/>
      <c r="B43" s="29" t="s">
        <v>2</v>
      </c>
      <c r="C43" s="64">
        <f ca="1">SUM(OFFSET('Total OPEX'!$A$1,MATCH($B$2,'Total OPEX'!$A:$A,0)-1, MATCH("CY"&amp;RIGHT(C$34,2),'Total OPEX'!$B$9:$AK$9,0),1,12))</f>
        <v>-4428.7056869999997</v>
      </c>
      <c r="D43" s="68">
        <f ca="1">SUM(OFFSET('Total OPEX'!$A$1,MATCH($B$2,'Total OPEX'!$A:$A,0)-1, MATCH("Budget",'Total OPEX'!$B$11:$BI$11,0),1,12))</f>
        <v>-4604.0436229476509</v>
      </c>
      <c r="E43" s="68">
        <f ca="1">SUM(OFFSET('Total OPEX'!$A$1,MATCH($B$2,'Total OPEX'!$A:$A,0)-1, MATCH("Forecast",'Total OPEX'!$B$11:$AK$11,0),1,12))</f>
        <v>-5249.5834626433725</v>
      </c>
      <c r="F43" s="10"/>
      <c r="G43" s="45">
        <f ca="1">SUM(OFFSET('Total OPEX'!$A$1,MATCH($B$2,'Total OPEX'!$A:$A,0)-1, MATCH("CY"&amp;RIGHT(G$34,2),'Total OPEX'!$B$9:$AK$9,0),1,12))</f>
        <v>-3123.0318299999999</v>
      </c>
      <c r="H43" s="10"/>
      <c r="I43" s="10"/>
      <c r="J43" s="10"/>
      <c r="K43" s="37"/>
      <c r="L43" s="103" t="str">
        <f>Preparação!Q5</f>
        <v>Budget</v>
      </c>
      <c r="M43" s="246">
        <f ca="1">Preparação!R5</f>
        <v>5249.0523568753442</v>
      </c>
      <c r="N43" s="246">
        <f ca="1">Preparação!S5</f>
        <v>5841.1310368753439</v>
      </c>
      <c r="O43" s="246">
        <f ca="1">Preparação!T5</f>
        <v>5782.9994217935418</v>
      </c>
      <c r="P43" s="271">
        <f ca="1">Preparação!U5</f>
        <v>5203.5117368753436</v>
      </c>
      <c r="Q43" s="271"/>
      <c r="R43" s="86"/>
      <c r="S43" s="285">
        <f ca="1">Preparação!V5</f>
        <v>22076.694552419576</v>
      </c>
      <c r="T43" s="285"/>
      <c r="U43" s="286"/>
      <c r="V43" s="86"/>
      <c r="W43" s="86"/>
      <c r="X43" s="95"/>
      <c r="Y43" s="87"/>
    </row>
    <row r="44" spans="1:25" ht="15" customHeight="1" x14ac:dyDescent="0.25">
      <c r="A44" s="84"/>
      <c r="B44" s="35" t="s">
        <v>5</v>
      </c>
      <c r="C44" s="69">
        <f ca="1">SUM(OFFSET(EBIT!$A$1,MATCH($B$2,EBIT!$A:$A,0)-1, MATCH("CY"&amp;RIGHT(C$34,2),EBIT!$B$9:$AK$9,0),1,12))</f>
        <v>5585.5866850000002</v>
      </c>
      <c r="D44" s="70">
        <f ca="1">SUM(OFFSET(EBIT!$A$1,MATCH($B$2,EBIT!$A:$A,0)-1, MATCH("Budget",EBIT!$B$11:$BI$11,0),1,12))</f>
        <v>8844.859033460747</v>
      </c>
      <c r="E44" s="70">
        <f ca="1">SUM(OFFSET(EBIT!$A$1,MATCH($B$2,EBIT!$A:$A,0)-1, MATCH("Forecast",EBIT!$B$11:$AK$11,0),1,12))</f>
        <v>7347.4116373557608</v>
      </c>
      <c r="F44" s="10"/>
      <c r="G44" s="137">
        <f ca="1">SUM(OFFSET(EBIT!$A$1,MATCH($B$2,EBIT!$A:$A,0)-1, MATCH("CY"&amp;RIGHT(G$34,2),EBIT!$B$9:$AK$9,0),1,12))</f>
        <v>3108.0780979999995</v>
      </c>
      <c r="H44" s="10"/>
      <c r="I44" s="10"/>
      <c r="J44" s="10"/>
      <c r="K44" s="37"/>
      <c r="L44" s="104" t="str">
        <f>Preparação!Q6</f>
        <v>Last Year</v>
      </c>
      <c r="M44" s="245">
        <f ca="1">Preparação!R6</f>
        <v>3314.8738139999996</v>
      </c>
      <c r="N44" s="245">
        <f ca="1">Preparação!S6</f>
        <v>4255.9270580000002</v>
      </c>
      <c r="O44" s="245">
        <f ca="1">Preparação!T6</f>
        <v>4808.0935200000004</v>
      </c>
      <c r="P44" s="282">
        <f ca="1">Preparação!U6</f>
        <v>5050.3341579999997</v>
      </c>
      <c r="Q44" s="282"/>
      <c r="R44" s="96"/>
      <c r="S44" s="282">
        <f ca="1">Preparação!V6</f>
        <v>17429.22855</v>
      </c>
      <c r="T44" s="282"/>
      <c r="U44" s="287"/>
      <c r="V44" s="86"/>
      <c r="W44" s="86"/>
      <c r="X44" s="95"/>
      <c r="Y44" s="87"/>
    </row>
    <row r="45" spans="1:25" ht="16.5" customHeight="1" x14ac:dyDescent="0.25">
      <c r="A45" s="84"/>
      <c r="B45" s="33" t="s">
        <v>49</v>
      </c>
      <c r="C45" s="20">
        <f ca="1">IFERROR(C44/C$37,0)</f>
        <v>0.32047239893471935</v>
      </c>
      <c r="D45" s="26">
        <f ca="1">IFERROR(D44/D$37,0)</f>
        <v>0.40064236122211339</v>
      </c>
      <c r="E45" s="26">
        <f ca="1">IFERROR(E44/E$37,0)</f>
        <v>0.34145807108771997</v>
      </c>
      <c r="F45" s="21"/>
      <c r="G45" s="138">
        <f ca="1">IFERROR(G44/G$37,0)</f>
        <v>0.27686148763282259</v>
      </c>
      <c r="H45" s="10"/>
      <c r="I45" s="10"/>
      <c r="J45" s="10"/>
      <c r="K45" s="37"/>
      <c r="L45" s="128" t="s">
        <v>73</v>
      </c>
      <c r="M45" s="10"/>
      <c r="N45" s="10"/>
      <c r="O45" s="10"/>
      <c r="P45" s="10"/>
      <c r="Q45" s="10"/>
      <c r="R45" s="86"/>
      <c r="S45" s="86"/>
      <c r="T45" s="86"/>
      <c r="U45" s="86"/>
      <c r="V45" s="86"/>
      <c r="W45" s="86"/>
      <c r="X45" s="95"/>
      <c r="Y45" s="87"/>
    </row>
    <row r="46" spans="1:25" x14ac:dyDescent="0.25">
      <c r="A46" s="84"/>
      <c r="B46" s="128" t="s">
        <v>73</v>
      </c>
      <c r="C46" s="10"/>
      <c r="D46" s="10"/>
      <c r="E46" s="10"/>
      <c r="F46" s="10"/>
      <c r="G46" s="10"/>
      <c r="H46" s="10"/>
      <c r="I46" s="10"/>
      <c r="J46" s="10"/>
      <c r="K46" s="94"/>
      <c r="L46" s="21"/>
      <c r="M46" s="21"/>
      <c r="N46" s="21"/>
      <c r="O46" s="21"/>
      <c r="P46" s="21"/>
      <c r="Q46" s="21"/>
      <c r="R46" s="96"/>
      <c r="S46" s="96"/>
      <c r="T46" s="96"/>
      <c r="U46" s="96"/>
      <c r="V46" s="96"/>
      <c r="W46" s="96"/>
      <c r="X46" s="97"/>
      <c r="Y46" s="87"/>
    </row>
    <row r="47" spans="1:25" ht="9" customHeight="1" x14ac:dyDescent="0.25">
      <c r="A47" s="12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91"/>
    </row>
    <row r="48" spans="1:25" ht="14.25" customHeight="1" x14ac:dyDescent="0.25">
      <c r="A48" s="85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89"/>
    </row>
  </sheetData>
  <mergeCells count="42">
    <mergeCell ref="E18:I18"/>
    <mergeCell ref="K34:X35"/>
    <mergeCell ref="K20:X21"/>
    <mergeCell ref="P25:Q25"/>
    <mergeCell ref="P26:Q26"/>
    <mergeCell ref="P27:Q27"/>
    <mergeCell ref="S37:U37"/>
    <mergeCell ref="S38:U38"/>
    <mergeCell ref="P12:Q12"/>
    <mergeCell ref="U13:U14"/>
    <mergeCell ref="V13:V14"/>
    <mergeCell ref="U11:U12"/>
    <mergeCell ref="V11:V12"/>
    <mergeCell ref="S42:U42"/>
    <mergeCell ref="S43:U43"/>
    <mergeCell ref="S44:U44"/>
    <mergeCell ref="S41:U41"/>
    <mergeCell ref="S39:U39"/>
    <mergeCell ref="S40:U40"/>
    <mergeCell ref="P40:Q40"/>
    <mergeCell ref="P41:Q41"/>
    <mergeCell ref="P42:Q42"/>
    <mergeCell ref="P43:Q43"/>
    <mergeCell ref="P44:Q44"/>
    <mergeCell ref="P39:Q39"/>
    <mergeCell ref="P28:Q28"/>
    <mergeCell ref="P29:Q29"/>
    <mergeCell ref="P30:Q30"/>
    <mergeCell ref="L23:L24"/>
    <mergeCell ref="P23:Q23"/>
    <mergeCell ref="P24:Q24"/>
    <mergeCell ref="L37:L38"/>
    <mergeCell ref="P37:Q37"/>
    <mergeCell ref="P38:Q38"/>
    <mergeCell ref="B2:X2"/>
    <mergeCell ref="B4:I4"/>
    <mergeCell ref="U7:U8"/>
    <mergeCell ref="K4:X4"/>
    <mergeCell ref="P11:Q11"/>
    <mergeCell ref="P10:Q10"/>
    <mergeCell ref="U9:U10"/>
    <mergeCell ref="V9:V10"/>
  </mergeCells>
  <conditionalFormatting sqref="G23 G30 G44 G37">
    <cfRule type="expression" dxfId="58" priority="29">
      <formula>$G$22="FOR"</formula>
    </cfRule>
  </conditionalFormatting>
  <conditionalFormatting sqref="I20:I22 I24:I29 I31">
    <cfRule type="expression" dxfId="57" priority="24">
      <formula>$I$22="FOR"</formula>
    </cfRule>
  </conditionalFormatting>
  <conditionalFormatting sqref="H23 H30">
    <cfRule type="expression" dxfId="56" priority="26">
      <formula>$H$22="FOR"</formula>
    </cfRule>
  </conditionalFormatting>
  <conditionalFormatting sqref="I23 I30">
    <cfRule type="expression" dxfId="55" priority="23">
      <formula>$I$22="FOR"</formula>
    </cfRule>
  </conditionalFormatting>
  <conditionalFormatting sqref="G20:G22 G24:G29 G31 G45 G38:G43 G34:G36">
    <cfRule type="expression" dxfId="54" priority="30">
      <formula>$G$22="FOR"</formula>
    </cfRule>
  </conditionalFormatting>
  <conditionalFormatting sqref="G23 G26 G29:G30 G40 G43:G44 G37">
    <cfRule type="expression" dxfId="53" priority="28">
      <formula>$G$22="FOR"</formula>
    </cfRule>
  </conditionalFormatting>
  <conditionalFormatting sqref="H20:H22 H24:H29 H31">
    <cfRule type="expression" dxfId="52" priority="27">
      <formula>$H$22="FOR"</formula>
    </cfRule>
  </conditionalFormatting>
  <conditionalFormatting sqref="H23 H26 H29:H30">
    <cfRule type="expression" dxfId="51" priority="25">
      <formula>$H$22="FOR"</formula>
    </cfRule>
  </conditionalFormatting>
  <conditionalFormatting sqref="I23 I26 I29:I30">
    <cfRule type="expression" dxfId="50" priority="22">
      <formula>$I$22="FOR"</formula>
    </cfRule>
  </conditionalFormatting>
  <conditionalFormatting sqref="M25">
    <cfRule type="expression" dxfId="49" priority="21">
      <formula>$M$24="For"</formula>
    </cfRule>
  </conditionalFormatting>
  <conditionalFormatting sqref="N25">
    <cfRule type="expression" dxfId="48" priority="20">
      <formula>$N$24="For"</formula>
    </cfRule>
  </conditionalFormatting>
  <conditionalFormatting sqref="O25">
    <cfRule type="expression" dxfId="47" priority="19">
      <formula>$O$24="For"</formula>
    </cfRule>
  </conditionalFormatting>
  <conditionalFormatting sqref="P25">
    <cfRule type="expression" dxfId="46" priority="18">
      <formula>$P$24="For"</formula>
    </cfRule>
  </conditionalFormatting>
  <conditionalFormatting sqref="N39">
    <cfRule type="expression" dxfId="45" priority="7">
      <formula>$N$38="For"</formula>
    </cfRule>
  </conditionalFormatting>
  <conditionalFormatting sqref="O39">
    <cfRule type="expression" dxfId="44" priority="6">
      <formula>$O$38="For"</formula>
    </cfRule>
  </conditionalFormatting>
  <conditionalFormatting sqref="P39">
    <cfRule type="expression" dxfId="43" priority="5">
      <formula>$P$38="For"</formula>
    </cfRule>
  </conditionalFormatting>
  <conditionalFormatting sqref="S39">
    <cfRule type="expression" dxfId="42" priority="4">
      <formula>$O$38="For"</formula>
    </cfRule>
  </conditionalFormatting>
  <printOptions horizontalCentered="1" verticalCentered="1"/>
  <pageMargins left="0.23622047244094491" right="0.23622047244094491" top="0.31496062992125984" bottom="0.31496062992125984" header="0.31496062992125984" footer="0.31496062992125984"/>
  <pageSetup paperSize="9" scale="70" orientation="landscape" r:id="rId1"/>
  <headerFooter>
    <oddFooter>&amp;L&amp;8Month to date / Quarter to date&amp;R&amp;8&amp;D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Preparação!$M$9:$M$24</xm:f>
          </x14:formula1>
          <xm:sqref>B2:X2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BI66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37" width="10.5703125" bestFit="1" customWidth="1"/>
    <col min="50" max="61" width="10.5703125" bestFit="1" customWidth="1"/>
  </cols>
  <sheetData>
    <row r="1" spans="1:61" ht="14.45" x14ac:dyDescent="0.35">
      <c r="A1" s="1" t="s">
        <v>1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132.64230000000001</v>
      </c>
      <c r="C12" s="3">
        <v>111.65382900000003</v>
      </c>
      <c r="D12" s="3">
        <v>858.47580100000005</v>
      </c>
      <c r="E12" s="3">
        <v>40.464976</v>
      </c>
      <c r="F12" s="3">
        <v>301.27364800000009</v>
      </c>
      <c r="G12" s="3">
        <v>910.19415500000014</v>
      </c>
      <c r="H12" s="3">
        <v>-16.583521999999995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85.944542999999996</v>
      </c>
      <c r="O12" s="3">
        <v>301.46439499999997</v>
      </c>
      <c r="P12" s="3">
        <v>375.88945999999999</v>
      </c>
      <c r="Q12" s="3">
        <v>147.06140600000001</v>
      </c>
      <c r="R12" s="3">
        <v>411.99806599999994</v>
      </c>
      <c r="S12" s="3">
        <v>692.37170400000002</v>
      </c>
      <c r="T12" s="3">
        <v>197.79909600000002</v>
      </c>
      <c r="U12" s="3">
        <v>112.81129900000002</v>
      </c>
      <c r="V12" s="3">
        <v>848.70467100000008</v>
      </c>
      <c r="W12" s="3">
        <v>261.33300399999996</v>
      </c>
      <c r="X12" s="3">
        <v>232.82345599999999</v>
      </c>
      <c r="Y12" s="3">
        <v>569.82689300000004</v>
      </c>
      <c r="Z12" s="3">
        <v>132.64230000000001</v>
      </c>
      <c r="AA12" s="3">
        <v>111.653829</v>
      </c>
      <c r="AB12" s="3">
        <v>858.47580099999993</v>
      </c>
      <c r="AC12" s="3">
        <v>40.464976</v>
      </c>
      <c r="AD12" s="3">
        <v>301.27364799999998</v>
      </c>
      <c r="AE12" s="3">
        <v>910.19415500000014</v>
      </c>
      <c r="AF12" s="3">
        <v>-16.583521999999991</v>
      </c>
      <c r="AG12" s="3">
        <v>440.85452012077729</v>
      </c>
      <c r="AH12" s="3">
        <v>524.97925729817121</v>
      </c>
      <c r="AI12" s="3">
        <v>387.73201282005283</v>
      </c>
      <c r="AJ12" s="3">
        <v>463.24040551932848</v>
      </c>
      <c r="AK12" s="3">
        <v>378.70944513889373</v>
      </c>
      <c r="AL12" s="3">
        <v>132.64230000000001</v>
      </c>
      <c r="AM12" s="3">
        <v>111.653829</v>
      </c>
      <c r="AN12" s="3">
        <v>858.47580099999993</v>
      </c>
      <c r="AO12" s="3">
        <v>40.464976</v>
      </c>
      <c r="AP12" s="3">
        <v>301.27364799999998</v>
      </c>
      <c r="AQ12" s="3">
        <v>910.19415500000014</v>
      </c>
      <c r="AR12" s="3">
        <v>388.4750996797635</v>
      </c>
      <c r="AS12" s="3">
        <v>440.3263345581164</v>
      </c>
      <c r="AT12" s="3">
        <v>524.37241437652222</v>
      </c>
      <c r="AU12" s="3">
        <v>387.25883943646932</v>
      </c>
      <c r="AV12" s="3">
        <v>462.69595431482213</v>
      </c>
      <c r="AW12" s="3">
        <v>378.26027124183395</v>
      </c>
      <c r="AX12" s="3">
        <v>271.00187665683865</v>
      </c>
      <c r="AY12" s="3">
        <v>309.98475178428777</v>
      </c>
      <c r="AZ12" s="3">
        <v>389.92903742153345</v>
      </c>
      <c r="BA12" s="3">
        <v>364.41954767643176</v>
      </c>
      <c r="BB12" s="3">
        <v>388.26703536760533</v>
      </c>
      <c r="BC12" s="3">
        <v>435.04709562250366</v>
      </c>
      <c r="BD12" s="3">
        <v>366.73708562250374</v>
      </c>
      <c r="BE12" s="3">
        <v>412.58735331367734</v>
      </c>
      <c r="BF12" s="3">
        <v>470.69304844112645</v>
      </c>
      <c r="BG12" s="3">
        <v>369.20675100485107</v>
      </c>
      <c r="BH12" s="3">
        <v>443.96819869602467</v>
      </c>
      <c r="BI12" s="3">
        <v>361.76078531072898</v>
      </c>
    </row>
    <row r="13" spans="1:61" ht="14.45" x14ac:dyDescent="0.35">
      <c r="A13" s="1" t="s">
        <v>125</v>
      </c>
      <c r="B13" s="3">
        <v>54.096650000000004</v>
      </c>
      <c r="C13" s="3">
        <v>88.578190000000021</v>
      </c>
      <c r="D13" s="3">
        <v>122.541686</v>
      </c>
      <c r="E13" s="3">
        <v>152.00224900000001</v>
      </c>
      <c r="F13" s="3">
        <v>67.474474999999998</v>
      </c>
      <c r="G13" s="3">
        <v>181.137248</v>
      </c>
      <c r="H13" s="3">
        <v>19.613550999999998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-5.7663399999999996</v>
      </c>
      <c r="O13" s="3">
        <v>62.411279999999998</v>
      </c>
      <c r="P13" s="3">
        <v>8.6341000000000001</v>
      </c>
      <c r="Q13" s="3">
        <v>-3.3418399999999999</v>
      </c>
      <c r="R13" s="3">
        <v>69.523899999999998</v>
      </c>
      <c r="S13" s="3">
        <v>163.93254999999999</v>
      </c>
      <c r="T13" s="3">
        <v>39.393219999999999</v>
      </c>
      <c r="U13" s="3">
        <v>50.741680000000002</v>
      </c>
      <c r="V13" s="3">
        <v>103.41523999999998</v>
      </c>
      <c r="W13" s="3">
        <v>55.943610000000007</v>
      </c>
      <c r="X13" s="3">
        <v>94.624120000000005</v>
      </c>
      <c r="Y13" s="3">
        <v>190.69487000000001</v>
      </c>
      <c r="Z13" s="3">
        <v>54.096650000000004</v>
      </c>
      <c r="AA13" s="3">
        <v>88.578190000000021</v>
      </c>
      <c r="AB13" s="3">
        <v>122.541686</v>
      </c>
      <c r="AC13" s="3">
        <v>152.00224900000001</v>
      </c>
      <c r="AD13" s="3">
        <v>67.474474999999984</v>
      </c>
      <c r="AE13" s="3">
        <v>181.13724800000003</v>
      </c>
      <c r="AF13" s="3">
        <v>19.613550999999998</v>
      </c>
      <c r="AG13" s="3">
        <v>173.35642227269017</v>
      </c>
      <c r="AH13" s="3">
        <v>180.87805966779362</v>
      </c>
      <c r="AI13" s="3">
        <v>87.270163365345354</v>
      </c>
      <c r="AJ13" s="3">
        <v>162.34809445800062</v>
      </c>
      <c r="AK13" s="3">
        <v>29.9611571135937</v>
      </c>
      <c r="AL13" s="3">
        <v>54.096650000000004</v>
      </c>
      <c r="AM13" s="3">
        <v>88.578190000000021</v>
      </c>
      <c r="AN13" s="3">
        <v>122.541686</v>
      </c>
      <c r="AO13" s="3">
        <v>152.00224900000001</v>
      </c>
      <c r="AP13" s="3">
        <v>67.474474999999984</v>
      </c>
      <c r="AQ13" s="3">
        <v>181.13724800000003</v>
      </c>
      <c r="AR13" s="3">
        <v>89.993512707075553</v>
      </c>
      <c r="AS13" s="3">
        <v>173.18909103608016</v>
      </c>
      <c r="AT13" s="3">
        <v>180.82965992208327</v>
      </c>
      <c r="AU13" s="3">
        <v>87.096459365084797</v>
      </c>
      <c r="AV13" s="3">
        <v>162.11342769408944</v>
      </c>
      <c r="AW13" s="3">
        <v>29.920564691492199</v>
      </c>
      <c r="AX13" s="3">
        <v>54.7931472198308</v>
      </c>
      <c r="AY13" s="3">
        <v>60.996540082894711</v>
      </c>
      <c r="AZ13" s="3">
        <v>81.932344398214241</v>
      </c>
      <c r="BA13" s="3">
        <v>35.69507012434206</v>
      </c>
      <c r="BB13" s="3">
        <v>195.30111441893789</v>
      </c>
      <c r="BC13" s="3">
        <v>39.04740014506573</v>
      </c>
      <c r="BD13" s="3">
        <v>64.526020145065743</v>
      </c>
      <c r="BE13" s="3">
        <v>122.75600443966158</v>
      </c>
      <c r="BF13" s="3">
        <v>67.907807302725516</v>
      </c>
      <c r="BG13" s="3">
        <v>79.011558734257449</v>
      </c>
      <c r="BH13" s="3">
        <v>151.6016830288533</v>
      </c>
      <c r="BI13" s="3">
        <v>28.816701605610838</v>
      </c>
    </row>
    <row r="14" spans="1:61" ht="14.45" x14ac:dyDescent="0.35">
      <c r="A14" s="1" t="s">
        <v>40</v>
      </c>
      <c r="B14" s="3">
        <v>26.645479999999999</v>
      </c>
      <c r="C14" s="3">
        <v>12.839369999999999</v>
      </c>
      <c r="D14" s="3">
        <v>60.033470000000001</v>
      </c>
      <c r="E14" s="3">
        <v>8.4212399999999992</v>
      </c>
      <c r="F14" s="3">
        <v>31.110869999999998</v>
      </c>
      <c r="G14" s="3">
        <v>32.901409000000001</v>
      </c>
      <c r="H14" s="3">
        <v>9.9758650000000006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7.2706900000000001</v>
      </c>
      <c r="O14" s="3">
        <v>31.465439</v>
      </c>
      <c r="P14" s="3">
        <v>41.813966999999998</v>
      </c>
      <c r="Q14" s="3">
        <v>5.5312530000000004</v>
      </c>
      <c r="R14" s="3">
        <v>5.376131</v>
      </c>
      <c r="S14" s="3">
        <v>32.279301999999994</v>
      </c>
      <c r="T14" s="3">
        <v>9.7841179999999994</v>
      </c>
      <c r="U14" s="3">
        <v>19.273029000000001</v>
      </c>
      <c r="V14" s="3">
        <v>99.764447999999987</v>
      </c>
      <c r="W14" s="3">
        <v>14.127271</v>
      </c>
      <c r="X14" s="3">
        <v>21.233949999999997</v>
      </c>
      <c r="Y14" s="3">
        <v>41.848596000000001</v>
      </c>
      <c r="Z14" s="3">
        <v>26.645479999999999</v>
      </c>
      <c r="AA14" s="3">
        <v>12.839369999999999</v>
      </c>
      <c r="AB14" s="3">
        <v>60.033470000000008</v>
      </c>
      <c r="AC14" s="3">
        <v>8.4212399999999992</v>
      </c>
      <c r="AD14" s="3">
        <v>31.110869999999998</v>
      </c>
      <c r="AE14" s="3">
        <v>32.901409000000001</v>
      </c>
      <c r="AF14" s="3">
        <v>9.9758650000000006</v>
      </c>
      <c r="AG14" s="3">
        <v>36.133475338636579</v>
      </c>
      <c r="AH14" s="3">
        <v>20.601426697814912</v>
      </c>
      <c r="AI14" s="3">
        <v>38.754512377404069</v>
      </c>
      <c r="AJ14" s="3">
        <v>36.125889416171567</v>
      </c>
      <c r="AK14" s="3">
        <v>25.55535363943207</v>
      </c>
      <c r="AL14" s="3">
        <v>26.645479999999999</v>
      </c>
      <c r="AM14" s="3">
        <v>12.839369999999999</v>
      </c>
      <c r="AN14" s="3">
        <v>60.033470000000008</v>
      </c>
      <c r="AO14" s="3">
        <v>8.4212399999999992</v>
      </c>
      <c r="AP14" s="3">
        <v>31.110869999999998</v>
      </c>
      <c r="AQ14" s="3">
        <v>32.901409000000001</v>
      </c>
      <c r="AR14" s="3">
        <v>36.963058224617448</v>
      </c>
      <c r="AS14" s="3">
        <v>36.089363830206274</v>
      </c>
      <c r="AT14" s="3">
        <v>20.57667090059882</v>
      </c>
      <c r="AU14" s="3">
        <v>38.707659435795094</v>
      </c>
      <c r="AV14" s="3">
        <v>36.08179504138392</v>
      </c>
      <c r="AW14" s="3">
        <v>25.516244404737211</v>
      </c>
      <c r="AX14" s="3">
        <v>36.164517739127163</v>
      </c>
      <c r="AY14" s="3">
        <v>19.173884488290792</v>
      </c>
      <c r="AZ14" s="3">
        <v>21.615428234108929</v>
      </c>
      <c r="BA14" s="3">
        <v>36.145691732436184</v>
      </c>
      <c r="BB14" s="3">
        <v>19.153881856181627</v>
      </c>
      <c r="BC14" s="3">
        <v>26.994435354508884</v>
      </c>
      <c r="BD14" s="3">
        <v>36.13745535450888</v>
      </c>
      <c r="BE14" s="3">
        <v>35.136985478254324</v>
      </c>
      <c r="BF14" s="3">
        <v>20.06846222741795</v>
      </c>
      <c r="BG14" s="3">
        <v>37.658535601999773</v>
      </c>
      <c r="BH14" s="3">
        <v>35.12992572574521</v>
      </c>
      <c r="BI14" s="3">
        <v>24.208797799992475</v>
      </c>
    </row>
    <row r="15" spans="1:61" ht="14.45" x14ac:dyDescent="0.35">
      <c r="A15" s="1" t="s">
        <v>41</v>
      </c>
      <c r="B15" s="3">
        <v>0.67054000000000002</v>
      </c>
      <c r="C15" s="3">
        <v>8.9379999999999987E-2</v>
      </c>
      <c r="D15" s="3">
        <v>0.78905099999999995</v>
      </c>
      <c r="E15" s="3">
        <v>0.1007050000000001</v>
      </c>
      <c r="F15" s="3">
        <v>1.697989</v>
      </c>
      <c r="G15" s="3">
        <v>3.3334040000000003</v>
      </c>
      <c r="H15" s="3">
        <v>8.4619E-2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2.0764099999999996</v>
      </c>
      <c r="O15" s="3">
        <v>0.11459000000000001</v>
      </c>
      <c r="P15" s="3">
        <v>-6.0320000000000304E-3</v>
      </c>
      <c r="Q15" s="3">
        <v>1.649786</v>
      </c>
      <c r="R15" s="3">
        <v>0.28473499999999996</v>
      </c>
      <c r="S15" s="3">
        <v>0.18801500000000002</v>
      </c>
      <c r="T15" s="3">
        <v>0.51700499999999994</v>
      </c>
      <c r="U15" s="3">
        <v>0.43602199999999997</v>
      </c>
      <c r="V15" s="3">
        <v>3.4250620000000005</v>
      </c>
      <c r="W15" s="3">
        <v>0.12855499999999997</v>
      </c>
      <c r="X15" s="3">
        <v>0.14677800000000002</v>
      </c>
      <c r="Y15" s="3">
        <v>24.003211999999998</v>
      </c>
      <c r="Z15" s="3">
        <v>0.67054000000000002</v>
      </c>
      <c r="AA15" s="3">
        <v>8.9379999999999987E-2</v>
      </c>
      <c r="AB15" s="3">
        <v>0.78905099999999995</v>
      </c>
      <c r="AC15" s="3">
        <v>0.10070500000000007</v>
      </c>
      <c r="AD15" s="3">
        <v>1.6979890000000002</v>
      </c>
      <c r="AE15" s="3">
        <v>3.3334039999999998</v>
      </c>
      <c r="AF15" s="3">
        <v>8.4619E-2</v>
      </c>
      <c r="AG15" s="3">
        <v>10.197653573057035</v>
      </c>
      <c r="AH15" s="3">
        <v>0.96093832586691996</v>
      </c>
      <c r="AI15" s="3">
        <v>5.2165957022718628</v>
      </c>
      <c r="AJ15" s="3">
        <v>0.96795783148669179</v>
      </c>
      <c r="AK15" s="3">
        <v>-3.1252890984410864E-2</v>
      </c>
      <c r="AL15" s="3">
        <v>0.67054000000000002</v>
      </c>
      <c r="AM15" s="3">
        <v>8.9379999999999987E-2</v>
      </c>
      <c r="AN15" s="3">
        <v>0.78905099999999995</v>
      </c>
      <c r="AO15" s="3">
        <v>0.10070500000000007</v>
      </c>
      <c r="AP15" s="3">
        <v>1.6979890000000002</v>
      </c>
      <c r="AQ15" s="3">
        <v>3.3334039999999998</v>
      </c>
      <c r="AR15" s="3">
        <v>-2.5550716408947804E-2</v>
      </c>
      <c r="AS15" s="3">
        <v>10.174684954014994</v>
      </c>
      <c r="AT15" s="3">
        <v>0.95990206763095554</v>
      </c>
      <c r="AU15" s="3">
        <v>5.2048506244389365</v>
      </c>
      <c r="AV15" s="3">
        <v>0.96692629486287807</v>
      </c>
      <c r="AW15" s="3">
        <v>-3.1182302882756703E-2</v>
      </c>
      <c r="AX15" s="3">
        <v>-1.2645716403271057E-2</v>
      </c>
      <c r="AY15" s="3">
        <v>0.68810153618109271</v>
      </c>
      <c r="AZ15" s="3">
        <v>4.5648477991029113</v>
      </c>
      <c r="BA15" s="3">
        <v>-2.0427695728360937E-2</v>
      </c>
      <c r="BB15" s="3">
        <v>9.9737831831481856</v>
      </c>
      <c r="BC15" s="3">
        <v>0.9309776883169123</v>
      </c>
      <c r="BD15" s="3">
        <v>-2.3832311683087762E-2</v>
      </c>
      <c r="BE15" s="3">
        <v>9.1226385671934587</v>
      </c>
      <c r="BF15" s="3">
        <v>0.8890458197778216</v>
      </c>
      <c r="BG15" s="3">
        <v>4.496739446070003</v>
      </c>
      <c r="BH15" s="3">
        <v>0.67351032494654917</v>
      </c>
      <c r="BI15" s="3">
        <v>-2.9085147727523429E-2</v>
      </c>
    </row>
    <row r="16" spans="1:61" ht="14.45" x14ac:dyDescent="0.35">
      <c r="A16" s="1" t="s">
        <v>43</v>
      </c>
      <c r="B16" s="3">
        <v>121.89004399999999</v>
      </c>
      <c r="C16" s="3">
        <v>55.720621999999977</v>
      </c>
      <c r="D16" s="3">
        <v>210.50298000000001</v>
      </c>
      <c r="E16" s="3">
        <v>88.480577999999994</v>
      </c>
      <c r="F16" s="3">
        <v>185.753457</v>
      </c>
      <c r="G16" s="3">
        <v>115.227402</v>
      </c>
      <c r="H16" s="3">
        <v>16.034499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1.9515820000000001</v>
      </c>
      <c r="O16" s="3">
        <v>27.474097000000004</v>
      </c>
      <c r="P16" s="3">
        <v>13.842984999999999</v>
      </c>
      <c r="Q16" s="3">
        <v>42.167268999999997</v>
      </c>
      <c r="R16" s="3">
        <v>14.57048</v>
      </c>
      <c r="S16" s="3">
        <v>4.3508610000000001</v>
      </c>
      <c r="T16" s="3">
        <v>10.525257000000003</v>
      </c>
      <c r="U16" s="3">
        <v>10.449998999999998</v>
      </c>
      <c r="V16" s="3">
        <v>34.525306</v>
      </c>
      <c r="W16" s="3">
        <v>7.0895270000000004</v>
      </c>
      <c r="X16" s="3">
        <v>24.450717999999998</v>
      </c>
      <c r="Y16" s="3">
        <v>227.15396499999997</v>
      </c>
      <c r="Z16" s="3">
        <v>121.89004399999999</v>
      </c>
      <c r="AA16" s="3">
        <v>55.720621999999985</v>
      </c>
      <c r="AB16" s="3">
        <v>210.50298000000001</v>
      </c>
      <c r="AC16" s="3">
        <v>88.480577999999994</v>
      </c>
      <c r="AD16" s="3">
        <v>185.753457</v>
      </c>
      <c r="AE16" s="3">
        <v>115.227402</v>
      </c>
      <c r="AF16" s="3">
        <v>16.034499</v>
      </c>
      <c r="AG16" s="3">
        <v>89.965960891293719</v>
      </c>
      <c r="AH16" s="3">
        <v>228.39622323326654</v>
      </c>
      <c r="AI16" s="3">
        <v>112.35942940425298</v>
      </c>
      <c r="AJ16" s="3">
        <v>193.79372791721221</v>
      </c>
      <c r="AK16" s="3">
        <v>94.098463024987765</v>
      </c>
      <c r="AL16" s="3">
        <v>121.89004399999999</v>
      </c>
      <c r="AM16" s="3">
        <v>55.720621999999985</v>
      </c>
      <c r="AN16" s="3">
        <v>210.50298000000001</v>
      </c>
      <c r="AO16" s="3">
        <v>88.480577999999994</v>
      </c>
      <c r="AP16" s="3">
        <v>185.753457</v>
      </c>
      <c r="AQ16" s="3">
        <v>115.227402</v>
      </c>
      <c r="AR16" s="3">
        <v>103.50865181372401</v>
      </c>
      <c r="AS16" s="3">
        <v>89.846929883952015</v>
      </c>
      <c r="AT16" s="3">
        <v>228.10278526410403</v>
      </c>
      <c r="AU16" s="3">
        <v>112.21565795418003</v>
      </c>
      <c r="AV16" s="3">
        <v>193.53217602440805</v>
      </c>
      <c r="AW16" s="3">
        <v>93.994900866544825</v>
      </c>
      <c r="AX16" s="3">
        <v>61.466720172379254</v>
      </c>
      <c r="AY16" s="3">
        <v>107.06610710871612</v>
      </c>
      <c r="AZ16" s="3">
        <v>80.285391790400439</v>
      </c>
      <c r="BA16" s="3">
        <v>78.170265663074176</v>
      </c>
      <c r="BB16" s="3">
        <v>95.346486067579477</v>
      </c>
      <c r="BC16" s="3">
        <v>136.05459994025321</v>
      </c>
      <c r="BD16" s="3">
        <v>90.085939940253198</v>
      </c>
      <c r="BE16" s="3">
        <v>79.958900344758504</v>
      </c>
      <c r="BF16" s="3">
        <v>186.9747272810954</v>
      </c>
      <c r="BG16" s="3">
        <v>95.278420749263816</v>
      </c>
      <c r="BH16" s="3">
        <v>161.59765115376908</v>
      </c>
      <c r="BI16" s="3">
        <v>78.625009396472294</v>
      </c>
    </row>
    <row r="17" spans="1:61" ht="14.45" x14ac:dyDescent="0.35">
      <c r="A17" s="1" t="s">
        <v>126</v>
      </c>
      <c r="B17" s="3">
        <v>-0.76602000000000015</v>
      </c>
      <c r="C17" s="3">
        <v>11.138126000000002</v>
      </c>
      <c r="D17" s="3">
        <v>73.973759999999999</v>
      </c>
      <c r="E17" s="3">
        <v>-2.0463880000000003</v>
      </c>
      <c r="F17" s="3">
        <v>15.298731999999996</v>
      </c>
      <c r="G17" s="3">
        <v>58.955130999999994</v>
      </c>
      <c r="H17" s="3">
        <v>-9.828476000000002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5.9520799999999996</v>
      </c>
      <c r="O17" s="3">
        <v>20.714869999999998</v>
      </c>
      <c r="P17" s="3">
        <v>12.964229999999999</v>
      </c>
      <c r="Q17" s="3">
        <v>-0.40561999999999987</v>
      </c>
      <c r="R17" s="3">
        <v>20.496919999999996</v>
      </c>
      <c r="S17" s="3">
        <v>20.808340000000001</v>
      </c>
      <c r="T17" s="3">
        <v>23.43721</v>
      </c>
      <c r="U17" s="3">
        <v>16.630070000000003</v>
      </c>
      <c r="V17" s="3">
        <v>16.845510000000001</v>
      </c>
      <c r="W17" s="3">
        <v>7.75807</v>
      </c>
      <c r="X17" s="3">
        <v>8.5687300000000022</v>
      </c>
      <c r="Y17" s="3">
        <v>72.259979999999999</v>
      </c>
      <c r="Z17" s="3">
        <v>-0.76602000000000015</v>
      </c>
      <c r="AA17" s="3">
        <v>11.138126000000002</v>
      </c>
      <c r="AB17" s="3">
        <v>73.973759999999999</v>
      </c>
      <c r="AC17" s="3">
        <v>-2.0463880000000003</v>
      </c>
      <c r="AD17" s="3">
        <v>15.298731999999996</v>
      </c>
      <c r="AE17" s="3">
        <v>58.955130999999994</v>
      </c>
      <c r="AF17" s="3">
        <v>-9.828476000000002</v>
      </c>
      <c r="AG17" s="3">
        <v>29.8011951384178</v>
      </c>
      <c r="AH17" s="3">
        <v>38.06023533604926</v>
      </c>
      <c r="AI17" s="3">
        <v>29.831845434864981</v>
      </c>
      <c r="AJ17" s="3">
        <v>32.072815731312161</v>
      </c>
      <c r="AK17" s="3">
        <v>27.499011909180467</v>
      </c>
      <c r="AL17" s="3">
        <v>-0.76602000000000015</v>
      </c>
      <c r="AM17" s="3">
        <v>11.138126000000002</v>
      </c>
      <c r="AN17" s="3">
        <v>73.973759999999999</v>
      </c>
      <c r="AO17" s="3">
        <v>-2.0463880000000003</v>
      </c>
      <c r="AP17" s="3">
        <v>15.298731999999996</v>
      </c>
      <c r="AQ17" s="3">
        <v>58.955130999999994</v>
      </c>
      <c r="AR17" s="3">
        <v>39.569342222310866</v>
      </c>
      <c r="AS17" s="3">
        <v>29.765988480819697</v>
      </c>
      <c r="AT17" s="3">
        <v>38.011672653158911</v>
      </c>
      <c r="AU17" s="3">
        <v>29.793054739328525</v>
      </c>
      <c r="AV17" s="3">
        <v>32.031680997837356</v>
      </c>
      <c r="AW17" s="3">
        <v>27.46408075294265</v>
      </c>
      <c r="AX17" s="3">
        <v>9.2615293790933713</v>
      </c>
      <c r="AY17" s="3">
        <v>25.940981639023626</v>
      </c>
      <c r="AZ17" s="3">
        <v>22.663522938674923</v>
      </c>
      <c r="BA17" s="3">
        <v>22.319687458535448</v>
      </c>
      <c r="BB17" s="3">
        <v>34.870040848430833</v>
      </c>
      <c r="BC17" s="3">
        <v>37.924545368291355</v>
      </c>
      <c r="BD17" s="3">
        <v>37.723305368291349</v>
      </c>
      <c r="BE17" s="3">
        <v>28.526808758186743</v>
      </c>
      <c r="BF17" s="3">
        <v>36.252751018117003</v>
      </c>
      <c r="BG17" s="3">
        <v>28.37852214808213</v>
      </c>
      <c r="BH17" s="3">
        <v>30.490975537977523</v>
      </c>
      <c r="BI17" s="3">
        <v>26.22827157191475</v>
      </c>
    </row>
    <row r="18" spans="1:61" ht="14.45" x14ac:dyDescent="0.35">
      <c r="A18" s="1" t="s">
        <v>127</v>
      </c>
      <c r="B18" s="3">
        <v>-4.7277350000000009</v>
      </c>
      <c r="C18" s="3">
        <v>-1.9835740000000006</v>
      </c>
      <c r="D18" s="3">
        <v>40.865288000000007</v>
      </c>
      <c r="E18" s="3">
        <v>-9.2390949999999989</v>
      </c>
      <c r="F18" s="3">
        <v>9.6551259999999974</v>
      </c>
      <c r="G18" s="3">
        <v>32.356331999999995</v>
      </c>
      <c r="H18" s="3">
        <v>-15.716930000000001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20.75543</v>
      </c>
      <c r="O18" s="3">
        <v>35.66095</v>
      </c>
      <c r="P18" s="3">
        <v>13.139479999999999</v>
      </c>
      <c r="Q18" s="3">
        <v>24.937040000000003</v>
      </c>
      <c r="R18" s="3">
        <v>26.174420000000001</v>
      </c>
      <c r="S18" s="3">
        <v>39.802630000000001</v>
      </c>
      <c r="T18" s="3">
        <v>4.9184719999999995</v>
      </c>
      <c r="U18" s="3">
        <v>-2.6626279999999993</v>
      </c>
      <c r="V18" s="3">
        <v>28.799768</v>
      </c>
      <c r="W18" s="3">
        <v>18.976351000000005</v>
      </c>
      <c r="X18" s="3">
        <v>18.475174000000003</v>
      </c>
      <c r="Y18" s="3">
        <v>55.26586600000001</v>
      </c>
      <c r="Z18" s="3">
        <v>-4.7277350000000009</v>
      </c>
      <c r="AA18" s="3">
        <v>-1.9835740000000006</v>
      </c>
      <c r="AB18" s="3">
        <v>40.865288000000007</v>
      </c>
      <c r="AC18" s="3">
        <v>-9.2390949999999989</v>
      </c>
      <c r="AD18" s="3">
        <v>9.6551259999999974</v>
      </c>
      <c r="AE18" s="3">
        <v>32.356331999999995</v>
      </c>
      <c r="AF18" s="3">
        <v>-15.716930000000001</v>
      </c>
      <c r="AG18" s="3">
        <v>46.206799768146013</v>
      </c>
      <c r="AH18" s="3">
        <v>43.869292451536239</v>
      </c>
      <c r="AI18" s="3">
        <v>49.663483793231364</v>
      </c>
      <c r="AJ18" s="3">
        <v>44.875987818316702</v>
      </c>
      <c r="AK18" s="3">
        <v>21.975052233367911</v>
      </c>
      <c r="AL18" s="3">
        <v>-4.7277350000000009</v>
      </c>
      <c r="AM18" s="3">
        <v>-1.9835740000000006</v>
      </c>
      <c r="AN18" s="3">
        <v>40.865288000000007</v>
      </c>
      <c r="AO18" s="3">
        <v>-9.2390949999999989</v>
      </c>
      <c r="AP18" s="3">
        <v>9.6551259999999974</v>
      </c>
      <c r="AQ18" s="3">
        <v>32.356331999999995</v>
      </c>
      <c r="AR18" s="3">
        <v>40.370074645887442</v>
      </c>
      <c r="AS18" s="3">
        <v>46.151663297676471</v>
      </c>
      <c r="AT18" s="3">
        <v>43.81161573220249</v>
      </c>
      <c r="AU18" s="3">
        <v>49.598571949465502</v>
      </c>
      <c r="AV18" s="3">
        <v>44.816350601254527</v>
      </c>
      <c r="AW18" s="3">
        <v>21.950753792327937</v>
      </c>
      <c r="AX18" s="3">
        <v>16.909487798864578</v>
      </c>
      <c r="AY18" s="3">
        <v>45.639509937238778</v>
      </c>
      <c r="AZ18" s="3">
        <v>34.697840629109777</v>
      </c>
      <c r="BA18" s="3">
        <v>31.178974905858169</v>
      </c>
      <c r="BB18" s="3">
        <v>48.026608113419471</v>
      </c>
      <c r="BC18" s="3">
        <v>35.569582390167874</v>
      </c>
      <c r="BD18" s="3">
        <v>38.063732390167871</v>
      </c>
      <c r="BE18" s="3">
        <v>43.854095597729163</v>
      </c>
      <c r="BF18" s="3">
        <v>41.058147736103358</v>
      </c>
      <c r="BG18" s="3">
        <v>46.831168805290453</v>
      </c>
      <c r="BH18" s="3">
        <v>41.993362012851762</v>
      </c>
      <c r="BI18" s="3">
        <v>20.814495937388539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0.75480999999999987</v>
      </c>
      <c r="C20" s="3">
        <v>0.64103999999999994</v>
      </c>
      <c r="D20" s="3">
        <v>14.160319999999999</v>
      </c>
      <c r="E20" s="3">
        <v>0.21605000000000002</v>
      </c>
      <c r="F20" s="3">
        <v>40.011639999999993</v>
      </c>
      <c r="G20" s="3">
        <v>64.179230000000004</v>
      </c>
      <c r="H20" s="3">
        <v>0.50063999999999997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3.8402200000000004</v>
      </c>
      <c r="R20" s="3">
        <v>3.2683399999999998</v>
      </c>
      <c r="S20" s="3">
        <v>16.601120000000002</v>
      </c>
      <c r="T20" s="3">
        <v>5.9407999999999994</v>
      </c>
      <c r="U20" s="3">
        <v>2.5000000000000001E-3</v>
      </c>
      <c r="V20" s="3">
        <v>0.35287000000000002</v>
      </c>
      <c r="W20" s="3">
        <v>0</v>
      </c>
      <c r="X20" s="3">
        <v>3.81135</v>
      </c>
      <c r="Y20" s="3">
        <v>0.64081999999999995</v>
      </c>
      <c r="Z20" s="3">
        <v>0.75480999999999987</v>
      </c>
      <c r="AA20" s="3">
        <v>0.64103999999999994</v>
      </c>
      <c r="AB20" s="3">
        <v>14.160319999999999</v>
      </c>
      <c r="AC20" s="3">
        <v>0.21605000000000002</v>
      </c>
      <c r="AD20" s="3">
        <v>40.011639999999993</v>
      </c>
      <c r="AE20" s="3">
        <v>64.179230000000004</v>
      </c>
      <c r="AF20" s="3">
        <v>0.50063999999999997</v>
      </c>
      <c r="AG20" s="3">
        <v>7.4013446434468584</v>
      </c>
      <c r="AH20" s="3">
        <v>52.981395591271735</v>
      </c>
      <c r="AI20" s="3">
        <v>18.562576065184178</v>
      </c>
      <c r="AJ20" s="3">
        <v>20.420807486921497</v>
      </c>
      <c r="AK20" s="3">
        <v>20.419386339963886</v>
      </c>
      <c r="AL20" s="3">
        <v>0.75480999999999987</v>
      </c>
      <c r="AM20" s="3">
        <v>0.64103999999999994</v>
      </c>
      <c r="AN20" s="3">
        <v>14.160319999999999</v>
      </c>
      <c r="AO20" s="3">
        <v>0.21605000000000002</v>
      </c>
      <c r="AP20" s="3">
        <v>40.011639999999993</v>
      </c>
      <c r="AQ20" s="3">
        <v>64.179230000000004</v>
      </c>
      <c r="AR20" s="3">
        <v>7.3955706000656729</v>
      </c>
      <c r="AS20" s="3">
        <v>7.3932073714982653</v>
      </c>
      <c r="AT20" s="3">
        <v>52.870621885786662</v>
      </c>
      <c r="AU20" s="3">
        <v>18.542094142930857</v>
      </c>
      <c r="AV20" s="3">
        <v>20.398270914363451</v>
      </c>
      <c r="AW20" s="3">
        <v>20.396852977223006</v>
      </c>
      <c r="AX20" s="3">
        <v>7.0285061495602132</v>
      </c>
      <c r="AY20" s="3">
        <v>7.0270366226033065</v>
      </c>
      <c r="AZ20" s="3">
        <v>18.219628987818773</v>
      </c>
      <c r="BA20" s="3">
        <v>7.0167499339049595</v>
      </c>
      <c r="BB20" s="3">
        <v>55.800565643469596</v>
      </c>
      <c r="BC20" s="3">
        <v>18.211546589555788</v>
      </c>
      <c r="BD20" s="3">
        <v>7.0116065895557869</v>
      </c>
      <c r="BE20" s="3">
        <v>52.743332299120432</v>
      </c>
      <c r="BF20" s="3">
        <v>24.025362772163518</v>
      </c>
      <c r="BG20" s="3">
        <v>35.75942800868507</v>
      </c>
      <c r="BH20" s="3">
        <v>19.436033718249707</v>
      </c>
      <c r="BI20" s="3">
        <v>18.203611143988493</v>
      </c>
    </row>
    <row r="21" spans="1:61" ht="14.45" x14ac:dyDescent="0.35">
      <c r="A21" s="1" t="s">
        <v>130</v>
      </c>
      <c r="B21" s="3">
        <v>78.246627000000004</v>
      </c>
      <c r="C21" s="3">
        <v>144.94039599999999</v>
      </c>
      <c r="D21" s="3">
        <v>254.07825199999999</v>
      </c>
      <c r="E21" s="3">
        <v>216.08013699999998</v>
      </c>
      <c r="F21" s="3">
        <v>275.57398599999999</v>
      </c>
      <c r="G21" s="3">
        <v>632.15877899999998</v>
      </c>
      <c r="H21" s="3">
        <v>331.36433600000004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97.884961999999973</v>
      </c>
      <c r="O21" s="3">
        <v>161.23414499999998</v>
      </c>
      <c r="P21" s="3">
        <v>105.792635</v>
      </c>
      <c r="Q21" s="3">
        <v>82.785048000000003</v>
      </c>
      <c r="R21" s="3">
        <v>105.00231599999999</v>
      </c>
      <c r="S21" s="3">
        <v>283.28191699999996</v>
      </c>
      <c r="T21" s="3">
        <v>83.401825999999971</v>
      </c>
      <c r="U21" s="3">
        <v>166.297753</v>
      </c>
      <c r="V21" s="3">
        <v>168.140503</v>
      </c>
      <c r="W21" s="3">
        <v>253.62554800000001</v>
      </c>
      <c r="X21" s="3">
        <v>136.17272299999999</v>
      </c>
      <c r="Y21" s="3">
        <v>393.37688899999989</v>
      </c>
      <c r="Z21" s="3">
        <v>78.246627000000018</v>
      </c>
      <c r="AA21" s="3">
        <v>144.94039599999999</v>
      </c>
      <c r="AB21" s="3">
        <v>254.07825199999999</v>
      </c>
      <c r="AC21" s="3">
        <v>216.08013700000001</v>
      </c>
      <c r="AD21" s="3">
        <v>275.57398599999999</v>
      </c>
      <c r="AE21" s="3">
        <v>632.15877899999998</v>
      </c>
      <c r="AF21" s="3">
        <v>331.36433600000004</v>
      </c>
      <c r="AG21" s="3">
        <v>219.71257489726162</v>
      </c>
      <c r="AH21" s="3">
        <v>553.65600094769707</v>
      </c>
      <c r="AI21" s="3">
        <v>305.50115407040084</v>
      </c>
      <c r="AJ21" s="3">
        <v>322.77292814605403</v>
      </c>
      <c r="AK21" s="3">
        <v>333.13599659144597</v>
      </c>
      <c r="AL21" s="3">
        <v>78.246627000000018</v>
      </c>
      <c r="AM21" s="3">
        <v>144.94039599999999</v>
      </c>
      <c r="AN21" s="3">
        <v>254.07825199999999</v>
      </c>
      <c r="AO21" s="3">
        <v>216.08013700000001</v>
      </c>
      <c r="AP21" s="3">
        <v>275.57398599999999</v>
      </c>
      <c r="AQ21" s="3">
        <v>632.15877899999998</v>
      </c>
      <c r="AR21" s="3">
        <v>298.19352133512211</v>
      </c>
      <c r="AS21" s="3">
        <v>219.21789243705493</v>
      </c>
      <c r="AT21" s="3">
        <v>553.3874631716767</v>
      </c>
      <c r="AU21" s="3">
        <v>304.81327179939382</v>
      </c>
      <c r="AV21" s="3">
        <v>322.04614290132668</v>
      </c>
      <c r="AW21" s="3">
        <v>332.38587556248626</v>
      </c>
      <c r="AX21" s="3">
        <v>123.74193048152623</v>
      </c>
      <c r="AY21" s="3">
        <v>134.45761233303139</v>
      </c>
      <c r="AZ21" s="3">
        <v>188.03608159055713</v>
      </c>
      <c r="BA21" s="3">
        <v>211.02367465237148</v>
      </c>
      <c r="BB21" s="3">
        <v>227.09722742962924</v>
      </c>
      <c r="BC21" s="3">
        <v>248.52861113263955</v>
      </c>
      <c r="BD21" s="3">
        <v>250.60355694437831</v>
      </c>
      <c r="BE21" s="3">
        <v>266.67709972163607</v>
      </c>
      <c r="BF21" s="3">
        <v>277.39279157314121</v>
      </c>
      <c r="BG21" s="3">
        <v>284.3068418576978</v>
      </c>
      <c r="BH21" s="3">
        <v>300.38038463495553</v>
      </c>
      <c r="BI21" s="3">
        <v>310.02451030131022</v>
      </c>
    </row>
    <row r="22" spans="1:61" ht="14.45" x14ac:dyDescent="0.35">
      <c r="A22" s="1" t="s">
        <v>30</v>
      </c>
      <c r="B22" s="3">
        <v>2.8380000000000001</v>
      </c>
      <c r="C22" s="3">
        <v>2.4340000000000002</v>
      </c>
      <c r="D22" s="3">
        <v>192.29272</v>
      </c>
      <c r="E22" s="3">
        <v>-174.87474</v>
      </c>
      <c r="F22" s="3">
        <v>5.26173</v>
      </c>
      <c r="G22" s="3">
        <v>-112.98509999999999</v>
      </c>
      <c r="H22" s="3">
        <v>-218.92689899999999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39.86177</v>
      </c>
      <c r="O22" s="3">
        <v>17.381139999999998</v>
      </c>
      <c r="P22" s="3">
        <v>10.2189</v>
      </c>
      <c r="Q22" s="3">
        <v>9.2169599999999985</v>
      </c>
      <c r="R22" s="3">
        <v>10.415389999999999</v>
      </c>
      <c r="S22" s="3">
        <v>14.505209999999998</v>
      </c>
      <c r="T22" s="3">
        <v>8.7782299999999989</v>
      </c>
      <c r="U22" s="3">
        <v>14.810019999999998</v>
      </c>
      <c r="V22" s="3">
        <v>16.883450000000003</v>
      </c>
      <c r="W22" s="3">
        <v>8.4771110000000007</v>
      </c>
      <c r="X22" s="3">
        <v>3.9947689999999998</v>
      </c>
      <c r="Y22" s="3">
        <v>-174.44216899999998</v>
      </c>
      <c r="Z22" s="3">
        <v>2.8380000000000001</v>
      </c>
      <c r="AA22" s="3">
        <v>2.4340000000000002</v>
      </c>
      <c r="AB22" s="3">
        <v>192.29272</v>
      </c>
      <c r="AC22" s="3">
        <v>-174.87474</v>
      </c>
      <c r="AD22" s="3">
        <v>5.26173</v>
      </c>
      <c r="AE22" s="3">
        <v>-112.98509999999999</v>
      </c>
      <c r="AF22" s="3">
        <v>-218.92689899999999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2.8380000000000001</v>
      </c>
      <c r="AM22" s="3">
        <v>2.4340000000000002</v>
      </c>
      <c r="AN22" s="3">
        <v>192.29272</v>
      </c>
      <c r="AO22" s="3">
        <v>-174.87474</v>
      </c>
      <c r="AP22" s="3">
        <v>5.26173</v>
      </c>
      <c r="AQ22" s="3">
        <v>-112.98509999999999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436.46367599999996</v>
      </c>
      <c r="C27" s="3">
        <v>429.37314599999991</v>
      </c>
      <c r="D27" s="3">
        <v>1847.356237</v>
      </c>
      <c r="E27" s="3">
        <v>423.02947799999993</v>
      </c>
      <c r="F27" s="3">
        <v>981.50060999999982</v>
      </c>
      <c r="G27" s="3">
        <v>1916.1934459999998</v>
      </c>
      <c r="H27" s="3">
        <v>197.19333500000002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291.506306</v>
      </c>
      <c r="O27" s="3">
        <v>749.73752200000013</v>
      </c>
      <c r="P27" s="3">
        <v>799.63472100000001</v>
      </c>
      <c r="Q27" s="3">
        <v>318.90707300000008</v>
      </c>
      <c r="R27" s="3">
        <v>686.00951199999986</v>
      </c>
      <c r="S27" s="3">
        <v>1230.9789890000002</v>
      </c>
      <c r="T27" s="3">
        <v>404.22699900000003</v>
      </c>
      <c r="U27" s="3">
        <v>399.604511</v>
      </c>
      <c r="V27" s="3">
        <v>2010.2250400000003</v>
      </c>
      <c r="W27" s="3">
        <v>638.45252099999993</v>
      </c>
      <c r="X27" s="3">
        <v>593.78458999999987</v>
      </c>
      <c r="Y27" s="3">
        <v>1891.2245879999998</v>
      </c>
      <c r="Z27" s="3">
        <v>436.46367599999996</v>
      </c>
      <c r="AA27" s="3">
        <v>429.37314600000002</v>
      </c>
      <c r="AB27" s="3">
        <v>1847.356237</v>
      </c>
      <c r="AC27" s="3">
        <v>423.02947799999998</v>
      </c>
      <c r="AD27" s="3">
        <v>981.50060999999971</v>
      </c>
      <c r="AE27" s="3">
        <v>1916.1934459999998</v>
      </c>
      <c r="AF27" s="3">
        <v>197.19333499999999</v>
      </c>
      <c r="AG27" s="3">
        <v>1290.3550366437269</v>
      </c>
      <c r="AH27" s="3">
        <v>1705.5889593617565</v>
      </c>
      <c r="AI27" s="3">
        <v>1064.5671130330084</v>
      </c>
      <c r="AJ27" s="3">
        <v>1306.2939543248037</v>
      </c>
      <c r="AK27" s="3">
        <v>999.080108635839</v>
      </c>
      <c r="AL27" s="3">
        <v>436.46367599999996</v>
      </c>
      <c r="AM27" s="3">
        <v>429.37314600000002</v>
      </c>
      <c r="AN27" s="3">
        <v>1847.356237</v>
      </c>
      <c r="AO27" s="3">
        <v>423.02947799999998</v>
      </c>
      <c r="AP27" s="3">
        <v>981.50060999999971</v>
      </c>
      <c r="AQ27" s="3">
        <v>1916.1934459999998</v>
      </c>
      <c r="AR27" s="3">
        <v>1067.1678405121579</v>
      </c>
      <c r="AS27" s="3">
        <v>1288.6184058494193</v>
      </c>
      <c r="AT27" s="3">
        <v>1704.061171548447</v>
      </c>
      <c r="AU27" s="3">
        <v>1062.8729694470869</v>
      </c>
      <c r="AV27" s="3">
        <v>1304.3252347843484</v>
      </c>
      <c r="AW27" s="3">
        <v>997.54091946679409</v>
      </c>
      <c r="AX27" s="3">
        <v>609.28872988081707</v>
      </c>
      <c r="AY27" s="3">
        <v>739.90818553226757</v>
      </c>
      <c r="AZ27" s="3">
        <v>2077.8713022271927</v>
      </c>
      <c r="BA27" s="3">
        <v>814.88289445122587</v>
      </c>
      <c r="BB27" s="3">
        <v>1720.7662629284018</v>
      </c>
      <c r="BC27" s="3">
        <v>1136.2411626689748</v>
      </c>
      <c r="BD27" s="3">
        <v>919.79853004304186</v>
      </c>
      <c r="BE27" s="3">
        <v>1080.2968785202174</v>
      </c>
      <c r="BF27" s="3">
        <v>1191.19537260934</v>
      </c>
      <c r="BG27" s="3">
        <v>1009.8616263561973</v>
      </c>
      <c r="BH27" s="3">
        <v>1214.205384833373</v>
      </c>
      <c r="BI27" s="3">
        <v>934.58632635735103</v>
      </c>
    </row>
    <row r="28" spans="1:61" x14ac:dyDescent="0.25">
      <c r="A28" s="1" t="s">
        <v>97</v>
      </c>
      <c r="B28" s="3">
        <v>412.29069599999991</v>
      </c>
      <c r="C28" s="3">
        <v>426.051379</v>
      </c>
      <c r="D28" s="3">
        <v>1827.713328</v>
      </c>
      <c r="E28" s="3">
        <v>319.60571199999993</v>
      </c>
      <c r="F28" s="3">
        <v>933.11165299999982</v>
      </c>
      <c r="G28" s="3">
        <v>1917.4579900000001</v>
      </c>
      <c r="H28" s="3">
        <v>116.51768299999999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255.93112699999998</v>
      </c>
      <c r="O28" s="3">
        <v>657.92090600000006</v>
      </c>
      <c r="P28" s="3">
        <v>582.28972499999986</v>
      </c>
      <c r="Q28" s="3">
        <v>313.44152200000008</v>
      </c>
      <c r="R28" s="3">
        <v>667.11069799999984</v>
      </c>
      <c r="S28" s="3">
        <v>1268.1216490000002</v>
      </c>
      <c r="T28" s="3">
        <v>384.49523399999998</v>
      </c>
      <c r="U28" s="3">
        <v>388.78974399999998</v>
      </c>
      <c r="V28" s="3">
        <v>1320.856828</v>
      </c>
      <c r="W28" s="3">
        <v>627.45904699999994</v>
      </c>
      <c r="X28" s="3">
        <v>544.30176799999992</v>
      </c>
      <c r="Y28" s="3">
        <v>1400.6289219999996</v>
      </c>
      <c r="Z28" s="3">
        <v>412.29069599999991</v>
      </c>
      <c r="AA28" s="3">
        <v>426.051379</v>
      </c>
      <c r="AB28" s="3">
        <v>1827.713328</v>
      </c>
      <c r="AC28" s="3">
        <v>319.60571199999998</v>
      </c>
      <c r="AD28" s="3">
        <v>933.11165299999971</v>
      </c>
      <c r="AE28" s="3">
        <v>1917.4579900000001</v>
      </c>
      <c r="AF28" s="3">
        <v>116.51768299999999</v>
      </c>
      <c r="AG28" s="3">
        <v>1053.629946643727</v>
      </c>
      <c r="AH28" s="3">
        <v>1644.3828295494675</v>
      </c>
      <c r="AI28" s="3">
        <v>1034.8917730330083</v>
      </c>
      <c r="AJ28" s="3">
        <v>1276.6186143248037</v>
      </c>
      <c r="AK28" s="3">
        <v>931.32261309988121</v>
      </c>
      <c r="AL28" s="3">
        <v>412.29069599999991</v>
      </c>
      <c r="AM28" s="3">
        <v>426.051379</v>
      </c>
      <c r="AN28" s="3">
        <v>1827.713328</v>
      </c>
      <c r="AO28" s="3">
        <v>319.60571199999998</v>
      </c>
      <c r="AP28" s="3">
        <v>933.11165299999971</v>
      </c>
      <c r="AQ28" s="3">
        <v>1917.4579900000001</v>
      </c>
      <c r="AR28" s="3">
        <v>1004.4432805121577</v>
      </c>
      <c r="AS28" s="3">
        <v>1052.1551558494193</v>
      </c>
      <c r="AT28" s="3">
        <v>1642.9228059737643</v>
      </c>
      <c r="AU28" s="3">
        <v>1033.230459447087</v>
      </c>
      <c r="AV28" s="3">
        <v>1274.6827247843485</v>
      </c>
      <c r="AW28" s="3">
        <v>929.85836198670518</v>
      </c>
      <c r="AX28" s="3">
        <v>580.35506988081704</v>
      </c>
      <c r="AY28" s="3">
        <v>710.97452553226753</v>
      </c>
      <c r="AZ28" s="3">
        <v>841.94412378952063</v>
      </c>
      <c r="BA28" s="3">
        <v>785.94923445122583</v>
      </c>
      <c r="BB28" s="3">
        <v>1073.8367429284015</v>
      </c>
      <c r="BC28" s="3">
        <v>978.30879423130295</v>
      </c>
      <c r="BD28" s="3">
        <v>890.86487004304183</v>
      </c>
      <c r="BE28" s="3">
        <v>1051.3632185202173</v>
      </c>
      <c r="BF28" s="3">
        <v>1125.2621441716681</v>
      </c>
      <c r="BG28" s="3">
        <v>980.92796635619754</v>
      </c>
      <c r="BH28" s="3">
        <v>1185.2717248333731</v>
      </c>
      <c r="BI28" s="3">
        <v>868.65309791967911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159.95831999999999</v>
      </c>
      <c r="C30" s="3">
        <v>124.58257900000004</v>
      </c>
      <c r="D30" s="3">
        <v>919.29832199999987</v>
      </c>
      <c r="E30" s="3">
        <v>48.986920999999988</v>
      </c>
      <c r="F30" s="3">
        <v>334.08250700000008</v>
      </c>
      <c r="G30" s="3">
        <v>946.42896800000005</v>
      </c>
      <c r="H30" s="3">
        <v>-6.5230379999999926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95.291642999999993</v>
      </c>
      <c r="O30" s="3">
        <v>333.04442400000005</v>
      </c>
      <c r="P30" s="3">
        <v>417.69739499999997</v>
      </c>
      <c r="Q30" s="3">
        <v>154.24244499999995</v>
      </c>
      <c r="R30" s="3">
        <v>417.65893199999988</v>
      </c>
      <c r="S30" s="3">
        <v>724.83902100000012</v>
      </c>
      <c r="T30" s="3">
        <v>208.10021899999998</v>
      </c>
      <c r="U30" s="3">
        <v>132.52035000000001</v>
      </c>
      <c r="V30" s="3">
        <v>951.894181</v>
      </c>
      <c r="W30" s="3">
        <v>275.58883000000003</v>
      </c>
      <c r="X30" s="3">
        <v>254.204184</v>
      </c>
      <c r="Y30" s="3">
        <v>635.67870100000005</v>
      </c>
      <c r="Z30" s="3">
        <v>159.95831999999999</v>
      </c>
      <c r="AA30" s="3">
        <v>124.58257900000001</v>
      </c>
      <c r="AB30" s="3">
        <v>919.29832199999976</v>
      </c>
      <c r="AC30" s="3">
        <v>48.986920999999988</v>
      </c>
      <c r="AD30" s="3">
        <v>334.08250699999996</v>
      </c>
      <c r="AE30" s="3">
        <v>946.42896800000005</v>
      </c>
      <c r="AF30" s="3">
        <v>-6.523037999999989</v>
      </c>
      <c r="AG30" s="3">
        <v>487.18564903247085</v>
      </c>
      <c r="AH30" s="3">
        <v>546.54162232185308</v>
      </c>
      <c r="AI30" s="3">
        <v>431.70312089972879</v>
      </c>
      <c r="AJ30" s="3">
        <v>500.33425276698671</v>
      </c>
      <c r="AK30" s="3">
        <v>404.23354588734139</v>
      </c>
      <c r="AL30" s="3">
        <v>159.95831999999999</v>
      </c>
      <c r="AM30" s="3">
        <v>124.58257900000001</v>
      </c>
      <c r="AN30" s="3">
        <v>919.29832199999976</v>
      </c>
      <c r="AO30" s="3">
        <v>48.986920999999988</v>
      </c>
      <c r="AP30" s="3">
        <v>334.08250699999996</v>
      </c>
      <c r="AQ30" s="3">
        <v>946.42896800000005</v>
      </c>
      <c r="AR30" s="3">
        <v>425.41260718797201</v>
      </c>
      <c r="AS30" s="3">
        <v>486.59038334233765</v>
      </c>
      <c r="AT30" s="3">
        <v>545.90898734475206</v>
      </c>
      <c r="AU30" s="3">
        <v>431.17134949670333</v>
      </c>
      <c r="AV30" s="3">
        <v>499.74467565106892</v>
      </c>
      <c r="AW30" s="3">
        <v>403.7453333436884</v>
      </c>
      <c r="AX30" s="3">
        <v>307.15374867956257</v>
      </c>
      <c r="AY30" s="3">
        <v>329.84673780875966</v>
      </c>
      <c r="AZ30" s="3">
        <v>416.10931345474529</v>
      </c>
      <c r="BA30" s="3">
        <v>400.54481171313961</v>
      </c>
      <c r="BB30" s="3">
        <v>417.39470040693521</v>
      </c>
      <c r="BC30" s="3">
        <v>462.97250866532949</v>
      </c>
      <c r="BD30" s="3">
        <v>402.85070866532959</v>
      </c>
      <c r="BE30" s="3">
        <v>456.84697735912505</v>
      </c>
      <c r="BF30" s="3">
        <v>491.6505564883222</v>
      </c>
      <c r="BG30" s="3">
        <v>411.36202605292078</v>
      </c>
      <c r="BH30" s="3">
        <v>479.77163474671647</v>
      </c>
      <c r="BI30" s="3">
        <v>385.9404979629939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" t="s">
        <v>37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" t="s">
        <v>118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" t="s">
        <v>131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2.3087200000000001</v>
      </c>
      <c r="C43" s="3">
        <v>2.0769000000000002</v>
      </c>
      <c r="D43" s="3">
        <v>1.6425100000000001</v>
      </c>
      <c r="E43" s="3">
        <v>13.036579999999999</v>
      </c>
      <c r="F43" s="3">
        <v>1.30681</v>
      </c>
      <c r="G43" s="3">
        <v>9.4810300000000005</v>
      </c>
      <c r="H43" s="3">
        <v>4.1729099999999999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0.51117000000000001</v>
      </c>
      <c r="O43" s="3">
        <v>0.34300000000000003</v>
      </c>
      <c r="P43" s="3">
        <v>0.34300000000000003</v>
      </c>
      <c r="Q43" s="3">
        <v>0.34300000000000003</v>
      </c>
      <c r="R43" s="3">
        <v>0.34300000000000003</v>
      </c>
      <c r="S43" s="3">
        <v>0.34300000000000003</v>
      </c>
      <c r="T43" s="3">
        <v>0.33689000000000002</v>
      </c>
      <c r="U43" s="3">
        <v>-2.4000000000623523E-4</v>
      </c>
      <c r="V43" s="3">
        <v>0</v>
      </c>
      <c r="W43" s="3">
        <v>1.6000000000232495E-4</v>
      </c>
      <c r="X43" s="3">
        <v>-0.31012999999999991</v>
      </c>
      <c r="Y43" s="3">
        <v>473.24797999999998</v>
      </c>
      <c r="Z43" s="3">
        <v>2.3087200000000001</v>
      </c>
      <c r="AA43" s="3">
        <v>2.0769000000000002</v>
      </c>
      <c r="AB43" s="3">
        <v>1.6425100000000001</v>
      </c>
      <c r="AC43" s="3">
        <v>13.036579999999999</v>
      </c>
      <c r="AD43" s="3">
        <v>1.30681</v>
      </c>
      <c r="AE43" s="3">
        <v>9.4810300000000005</v>
      </c>
      <c r="AF43" s="3">
        <v>4.1729099999999999</v>
      </c>
      <c r="AG43" s="3">
        <v>177.56367</v>
      </c>
      <c r="AH43" s="3">
        <v>2.0447098122891276</v>
      </c>
      <c r="AI43" s="3">
        <v>0</v>
      </c>
      <c r="AJ43" s="3">
        <v>0</v>
      </c>
      <c r="AK43" s="3">
        <v>38.082155535957796</v>
      </c>
      <c r="AL43" s="3">
        <v>2.3087200000000001</v>
      </c>
      <c r="AM43" s="3">
        <v>2.0769000000000002</v>
      </c>
      <c r="AN43" s="3">
        <v>1.6425100000000001</v>
      </c>
      <c r="AO43" s="3">
        <v>13.036579999999999</v>
      </c>
      <c r="AP43" s="3">
        <v>1.30681</v>
      </c>
      <c r="AQ43" s="3">
        <v>9.4810300000000005</v>
      </c>
      <c r="AR43" s="3">
        <v>3.6285799999999999</v>
      </c>
      <c r="AS43" s="3">
        <v>177.36726999999999</v>
      </c>
      <c r="AT43" s="3">
        <v>2.0423855746825694</v>
      </c>
      <c r="AU43" s="3">
        <v>0</v>
      </c>
      <c r="AV43" s="3">
        <v>0</v>
      </c>
      <c r="AW43" s="3">
        <v>38.04004748008893</v>
      </c>
      <c r="AX43" s="3">
        <v>0</v>
      </c>
      <c r="AY43" s="3">
        <v>0</v>
      </c>
      <c r="AZ43" s="3">
        <v>36.999568437671911</v>
      </c>
      <c r="BA43" s="3">
        <v>0</v>
      </c>
      <c r="BB43" s="3">
        <v>446.99723999999998</v>
      </c>
      <c r="BC43" s="3">
        <v>128.99870843767189</v>
      </c>
      <c r="BD43" s="3">
        <v>0</v>
      </c>
      <c r="BE43" s="3">
        <v>0</v>
      </c>
      <c r="BF43" s="3">
        <v>36.999568437671911</v>
      </c>
      <c r="BG43" s="3">
        <v>0</v>
      </c>
      <c r="BH43" s="3">
        <v>0</v>
      </c>
      <c r="BI43" s="3">
        <v>36.999568437671911</v>
      </c>
    </row>
    <row r="44" spans="1:61" x14ac:dyDescent="0.25">
      <c r="A44" s="1" t="s">
        <v>133</v>
      </c>
      <c r="B44" s="3">
        <v>21.864259999999998</v>
      </c>
      <c r="C44" s="3">
        <v>1.2448669999999984</v>
      </c>
      <c r="D44" s="3">
        <v>18.000399000000005</v>
      </c>
      <c r="E44" s="3">
        <v>90.387186</v>
      </c>
      <c r="F44" s="3">
        <v>47.082147000000006</v>
      </c>
      <c r="G44" s="3">
        <v>-10.745574000000001</v>
      </c>
      <c r="H44" s="3">
        <v>76.502741999999984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35.064008999999999</v>
      </c>
      <c r="O44" s="3">
        <v>91.473615999999993</v>
      </c>
      <c r="P44" s="3">
        <v>217.00199600000002</v>
      </c>
      <c r="Q44" s="3">
        <v>5.1225510000000005</v>
      </c>
      <c r="R44" s="3">
        <v>18.555813999999998</v>
      </c>
      <c r="S44" s="3">
        <v>-37.485659999999996</v>
      </c>
      <c r="T44" s="3">
        <v>19.394874999999999</v>
      </c>
      <c r="U44" s="3">
        <v>10.815007</v>
      </c>
      <c r="V44" s="3">
        <v>689.3682120000002</v>
      </c>
      <c r="W44" s="3">
        <v>10.993314000000003</v>
      </c>
      <c r="X44" s="3">
        <v>49.792952000000007</v>
      </c>
      <c r="Y44" s="3">
        <v>17.347685999999996</v>
      </c>
      <c r="Z44" s="3">
        <v>21.864259999999998</v>
      </c>
      <c r="AA44" s="3">
        <v>1.2448669999999984</v>
      </c>
      <c r="AB44" s="3">
        <v>18.000399000000005</v>
      </c>
      <c r="AC44" s="3">
        <v>90.387186</v>
      </c>
      <c r="AD44" s="3">
        <v>47.082147000000006</v>
      </c>
      <c r="AE44" s="3">
        <v>-10.745574000000001</v>
      </c>
      <c r="AF44" s="3">
        <v>76.502741999999984</v>
      </c>
      <c r="AG44" s="3">
        <v>59.16142</v>
      </c>
      <c r="AH44" s="3">
        <v>59.16142</v>
      </c>
      <c r="AI44" s="3">
        <v>29.675340000000002</v>
      </c>
      <c r="AJ44" s="3">
        <v>29.675340000000002</v>
      </c>
      <c r="AK44" s="3">
        <v>29.675340000000002</v>
      </c>
      <c r="AL44" s="3">
        <v>21.864259999999998</v>
      </c>
      <c r="AM44" s="3">
        <v>1.2448669999999984</v>
      </c>
      <c r="AN44" s="3">
        <v>18.000399000000005</v>
      </c>
      <c r="AO44" s="3">
        <v>90.387186</v>
      </c>
      <c r="AP44" s="3">
        <v>47.082147000000006</v>
      </c>
      <c r="AQ44" s="3">
        <v>-10.745574000000001</v>
      </c>
      <c r="AR44" s="3">
        <v>59.095979999999997</v>
      </c>
      <c r="AS44" s="3">
        <v>59.095979999999997</v>
      </c>
      <c r="AT44" s="3">
        <v>59.095979999999997</v>
      </c>
      <c r="AU44" s="3">
        <v>29.642510000000001</v>
      </c>
      <c r="AV44" s="3">
        <v>29.642510000000001</v>
      </c>
      <c r="AW44" s="3">
        <v>29.642510000000001</v>
      </c>
      <c r="AX44" s="3">
        <v>28.933660000000003</v>
      </c>
      <c r="AY44" s="3">
        <v>28.933660000000003</v>
      </c>
      <c r="AZ44" s="3">
        <v>1198.92761</v>
      </c>
      <c r="BA44" s="3">
        <v>28.933660000000003</v>
      </c>
      <c r="BB44" s="3">
        <v>199.93227999999999</v>
      </c>
      <c r="BC44" s="3">
        <v>28.933660000000003</v>
      </c>
      <c r="BD44" s="3">
        <v>28.933660000000003</v>
      </c>
      <c r="BE44" s="3">
        <v>28.933660000000003</v>
      </c>
      <c r="BF44" s="3">
        <v>28.933660000000003</v>
      </c>
      <c r="BG44" s="3">
        <v>28.933660000000003</v>
      </c>
      <c r="BH44" s="3">
        <v>28.933660000000003</v>
      </c>
      <c r="BI44" s="3">
        <v>28.933660000000003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1.2037</v>
      </c>
      <c r="C46" s="3">
        <v>3.4892789999999998</v>
      </c>
      <c r="D46" s="3">
        <v>35.784611999999996</v>
      </c>
      <c r="E46" s="3">
        <v>27.221686000000002</v>
      </c>
      <c r="F46" s="3">
        <v>23.035875999999995</v>
      </c>
      <c r="G46" s="3">
        <v>23.663471000000005</v>
      </c>
      <c r="H46" s="3">
        <v>18.079353000000005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14.893239999999997</v>
      </c>
      <c r="O46" s="3">
        <v>0.98275000000000012</v>
      </c>
      <c r="P46" s="3">
        <v>48.287799999999997</v>
      </c>
      <c r="Q46" s="3">
        <v>0.63578000000000001</v>
      </c>
      <c r="R46" s="3">
        <v>14.402866</v>
      </c>
      <c r="S46" s="3">
        <v>22.193276000000001</v>
      </c>
      <c r="T46" s="3">
        <v>8.229057000000001</v>
      </c>
      <c r="U46" s="3">
        <v>10.543077</v>
      </c>
      <c r="V46" s="3">
        <v>13.844317</v>
      </c>
      <c r="W46" s="3">
        <v>3.8524280000000002</v>
      </c>
      <c r="X46" s="3">
        <v>1.5224559999999998</v>
      </c>
      <c r="Y46" s="3">
        <v>36.280055000000004</v>
      </c>
      <c r="Z46" s="3">
        <v>1.2037</v>
      </c>
      <c r="AA46" s="3">
        <v>3.4892789999999998</v>
      </c>
      <c r="AB46" s="3">
        <v>35.784612000000003</v>
      </c>
      <c r="AC46" s="3">
        <v>27.221686000000005</v>
      </c>
      <c r="AD46" s="3">
        <v>23.035875999999998</v>
      </c>
      <c r="AE46" s="3">
        <v>23.663471000000005</v>
      </c>
      <c r="AF46" s="3">
        <v>18.079353000000001</v>
      </c>
      <c r="AG46" s="3">
        <v>-11.738533333333335</v>
      </c>
      <c r="AH46" s="3">
        <v>88.56610666666667</v>
      </c>
      <c r="AI46" s="3">
        <v>18.739799999999999</v>
      </c>
      <c r="AJ46" s="3">
        <v>1.5948</v>
      </c>
      <c r="AK46" s="3">
        <v>94.909859999999995</v>
      </c>
      <c r="AL46" s="3">
        <v>1.2037</v>
      </c>
      <c r="AM46" s="3">
        <v>3.4892789999999998</v>
      </c>
      <c r="AN46" s="3">
        <v>35.784612000000003</v>
      </c>
      <c r="AO46" s="3">
        <v>27.221686000000005</v>
      </c>
      <c r="AP46" s="3">
        <v>23.035875999999998</v>
      </c>
      <c r="AQ46" s="3">
        <v>23.663471000000005</v>
      </c>
      <c r="AR46" s="3">
        <v>5.297566666666663</v>
      </c>
      <c r="AS46" s="3">
        <v>-11.740293333333334</v>
      </c>
      <c r="AT46" s="3">
        <v>88.453396666666677</v>
      </c>
      <c r="AU46" s="3">
        <v>18.719079999999998</v>
      </c>
      <c r="AV46" s="3">
        <v>1.59304</v>
      </c>
      <c r="AW46" s="3">
        <v>94.80489</v>
      </c>
      <c r="AX46" s="3">
        <v>26.337199999999999</v>
      </c>
      <c r="AY46" s="3">
        <v>0</v>
      </c>
      <c r="AZ46" s="3">
        <v>85.081500000000005</v>
      </c>
      <c r="BA46" s="3">
        <v>16.001799999999999</v>
      </c>
      <c r="BB46" s="3">
        <v>1.55494</v>
      </c>
      <c r="BC46" s="3">
        <v>92.982600000000005</v>
      </c>
      <c r="BD46" s="3">
        <v>17.556739999999998</v>
      </c>
      <c r="BE46" s="3">
        <v>1.55494</v>
      </c>
      <c r="BF46" s="3">
        <v>91.322859999999991</v>
      </c>
      <c r="BG46" s="3">
        <v>17.556739999999998</v>
      </c>
      <c r="BH46" s="3">
        <v>1.55494</v>
      </c>
      <c r="BI46" s="3">
        <v>84.487259999999992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1" t="s">
        <v>44</v>
      </c>
      <c r="B49" s="3">
        <v>5.0907439999999999</v>
      </c>
      <c r="C49" s="3">
        <v>0.45276299999999997</v>
      </c>
      <c r="D49" s="3">
        <v>2.3569439999999999</v>
      </c>
      <c r="E49" s="3">
        <v>0.56072600000000006</v>
      </c>
      <c r="F49" s="3">
        <v>0.96749600000000013</v>
      </c>
      <c r="G49" s="3">
        <v>3.3251050000000006</v>
      </c>
      <c r="H49" s="3">
        <v>1.9237720000000005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0.78373999999999988</v>
      </c>
      <c r="O49" s="3">
        <v>0.92873000000000006</v>
      </c>
      <c r="P49" s="3">
        <v>4.5923739999999995</v>
      </c>
      <c r="Q49" s="3">
        <v>-1.9611909999999997</v>
      </c>
      <c r="R49" s="3">
        <v>6.365024</v>
      </c>
      <c r="S49" s="3">
        <v>1.5091080000000001</v>
      </c>
      <c r="T49" s="3">
        <v>1.2266740000000003</v>
      </c>
      <c r="U49" s="3">
        <v>1.2695610000000002</v>
      </c>
      <c r="V49" s="3">
        <v>2.2764009999999999</v>
      </c>
      <c r="W49" s="3">
        <v>1.0359959999999999</v>
      </c>
      <c r="X49" s="3">
        <v>1.388477</v>
      </c>
      <c r="Y49" s="3">
        <v>13.806439000000001</v>
      </c>
      <c r="Z49" s="3">
        <v>5.0907439999999999</v>
      </c>
      <c r="AA49" s="3">
        <v>0.45276299999999997</v>
      </c>
      <c r="AB49" s="3">
        <v>2.3569439999999999</v>
      </c>
      <c r="AC49" s="3">
        <v>0.56072600000000006</v>
      </c>
      <c r="AD49" s="3">
        <v>0.96749600000000013</v>
      </c>
      <c r="AE49" s="3">
        <v>3.3251050000000002</v>
      </c>
      <c r="AF49" s="3">
        <v>1.923772</v>
      </c>
      <c r="AG49" s="3">
        <v>1.1074999999999999</v>
      </c>
      <c r="AH49" s="3">
        <v>5.1513400000000003</v>
      </c>
      <c r="AI49" s="3">
        <v>1.1074999999999999</v>
      </c>
      <c r="AJ49" s="3">
        <v>1.1074999999999999</v>
      </c>
      <c r="AK49" s="3">
        <v>4.8582099999999997</v>
      </c>
      <c r="AL49" s="3">
        <v>5.0907439999999999</v>
      </c>
      <c r="AM49" s="3">
        <v>0.45276299999999997</v>
      </c>
      <c r="AN49" s="3">
        <v>2.3569439999999999</v>
      </c>
      <c r="AO49" s="3">
        <v>0.56072600000000006</v>
      </c>
      <c r="AP49" s="3">
        <v>0.96749600000000013</v>
      </c>
      <c r="AQ49" s="3">
        <v>3.3251050000000002</v>
      </c>
      <c r="AR49" s="3">
        <v>1.1062799999999999</v>
      </c>
      <c r="AS49" s="3">
        <v>1.1062799999999999</v>
      </c>
      <c r="AT49" s="3">
        <v>5.1456400000000002</v>
      </c>
      <c r="AU49" s="3">
        <v>1.1062799999999999</v>
      </c>
      <c r="AV49" s="3">
        <v>1.1062799999999999</v>
      </c>
      <c r="AW49" s="3">
        <v>4.8528500000000001</v>
      </c>
      <c r="AX49" s="3">
        <v>1.07982</v>
      </c>
      <c r="AY49" s="3">
        <v>1.07982</v>
      </c>
      <c r="AZ49" s="3">
        <v>4.0983200000000002</v>
      </c>
      <c r="BA49" s="3">
        <v>1.07982</v>
      </c>
      <c r="BB49" s="3">
        <v>1.07982</v>
      </c>
      <c r="BC49" s="3">
        <v>4.0983200000000002</v>
      </c>
      <c r="BD49" s="3">
        <v>1.07982</v>
      </c>
      <c r="BE49" s="3">
        <v>1.07982</v>
      </c>
      <c r="BF49" s="3">
        <v>4.0983200000000002</v>
      </c>
      <c r="BG49" s="3">
        <v>1.07982</v>
      </c>
      <c r="BH49" s="3">
        <v>1.07982</v>
      </c>
      <c r="BI49" s="3">
        <v>3.8195699999999997</v>
      </c>
    </row>
    <row r="50" spans="1:61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1" t="s">
        <v>121</v>
      </c>
      <c r="B51" s="3">
        <v>414.59941599999991</v>
      </c>
      <c r="C51" s="3">
        <v>428.12827900000002</v>
      </c>
      <c r="D51" s="3">
        <v>1829.3558379999999</v>
      </c>
      <c r="E51" s="3">
        <v>332.64229199999994</v>
      </c>
      <c r="F51" s="3">
        <v>934.41846299999997</v>
      </c>
      <c r="G51" s="3">
        <v>1926.93902</v>
      </c>
      <c r="H51" s="3">
        <v>120.69059299999999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256.44229699999994</v>
      </c>
      <c r="O51" s="3">
        <v>658.26390599999991</v>
      </c>
      <c r="P51" s="3">
        <v>582.63272499999982</v>
      </c>
      <c r="Q51" s="3">
        <v>313.78452200000004</v>
      </c>
      <c r="R51" s="3">
        <v>667.4536979999998</v>
      </c>
      <c r="S51" s="3">
        <v>1268.4646490000002</v>
      </c>
      <c r="T51" s="3">
        <v>384.83212400000002</v>
      </c>
      <c r="U51" s="3">
        <v>388.78950400000002</v>
      </c>
      <c r="V51" s="3">
        <v>1320.856828</v>
      </c>
      <c r="W51" s="3">
        <v>627.45920699999999</v>
      </c>
      <c r="X51" s="3">
        <v>543.99163799999985</v>
      </c>
      <c r="Y51" s="3">
        <v>1873.8769020000002</v>
      </c>
      <c r="Z51" s="3">
        <v>414.59941599999991</v>
      </c>
      <c r="AA51" s="3">
        <v>428.12827900000002</v>
      </c>
      <c r="AB51" s="3">
        <v>1829.3558379999999</v>
      </c>
      <c r="AC51" s="3">
        <v>332.642292</v>
      </c>
      <c r="AD51" s="3">
        <v>934.41846299999975</v>
      </c>
      <c r="AE51" s="3">
        <v>1926.9390200000003</v>
      </c>
      <c r="AF51" s="3">
        <v>120.69059299999999</v>
      </c>
      <c r="AG51" s="3">
        <v>1231.193616643727</v>
      </c>
      <c r="AH51" s="3">
        <v>1646.4275393617565</v>
      </c>
      <c r="AI51" s="3">
        <v>1034.8917730330083</v>
      </c>
      <c r="AJ51" s="3">
        <v>1276.6186143248037</v>
      </c>
      <c r="AK51" s="3">
        <v>969.40476863583899</v>
      </c>
      <c r="AL51" s="3">
        <v>414.59941599999991</v>
      </c>
      <c r="AM51" s="3">
        <v>428.12827900000002</v>
      </c>
      <c r="AN51" s="3">
        <v>1829.3558379999999</v>
      </c>
      <c r="AO51" s="3">
        <v>332.642292</v>
      </c>
      <c r="AP51" s="3">
        <v>934.41846299999975</v>
      </c>
      <c r="AQ51" s="3">
        <v>1926.9390200000003</v>
      </c>
      <c r="AR51" s="3">
        <v>1008.0718605121577</v>
      </c>
      <c r="AS51" s="3">
        <v>1229.5224258494193</v>
      </c>
      <c r="AT51" s="3">
        <v>1644.9651915484469</v>
      </c>
      <c r="AU51" s="3">
        <v>1033.230459447087</v>
      </c>
      <c r="AV51" s="3">
        <v>1274.6827247843485</v>
      </c>
      <c r="AW51" s="3">
        <v>967.89840946679408</v>
      </c>
      <c r="AX51" s="3">
        <v>580.35506988081704</v>
      </c>
      <c r="AY51" s="3">
        <v>710.97452553226753</v>
      </c>
      <c r="AZ51" s="3">
        <v>878.94369222719263</v>
      </c>
      <c r="BA51" s="3">
        <v>785.94923445122583</v>
      </c>
      <c r="BB51" s="3">
        <v>1520.8339829284016</v>
      </c>
      <c r="BC51" s="3">
        <v>1107.3075026689746</v>
      </c>
      <c r="BD51" s="3">
        <v>890.86487004304183</v>
      </c>
      <c r="BE51" s="3">
        <v>1051.3632185202173</v>
      </c>
      <c r="BF51" s="3">
        <v>1162.2617126093398</v>
      </c>
      <c r="BG51" s="3">
        <v>980.92796635619754</v>
      </c>
      <c r="BH51" s="3">
        <v>1185.2717248333731</v>
      </c>
      <c r="BI51" s="3">
        <v>905.65266635735099</v>
      </c>
    </row>
    <row r="52" spans="1:61" x14ac:dyDescent="0.25">
      <c r="A52" s="1" t="s">
        <v>76</v>
      </c>
      <c r="B52" s="3">
        <v>6.2944440000000013</v>
      </c>
      <c r="C52" s="3">
        <v>3.9420420000000003</v>
      </c>
      <c r="D52" s="3">
        <v>38.141555999999994</v>
      </c>
      <c r="E52" s="3">
        <v>27.782412000000001</v>
      </c>
      <c r="F52" s="3">
        <v>24.003371999999995</v>
      </c>
      <c r="G52" s="3">
        <v>26.988576000000002</v>
      </c>
      <c r="H52" s="3">
        <v>20.003125000000004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15.676979999999997</v>
      </c>
      <c r="O52" s="3">
        <v>1.9114800000000001</v>
      </c>
      <c r="P52" s="3">
        <v>52.880173999999997</v>
      </c>
      <c r="Q52" s="3">
        <v>-1.3254109999999999</v>
      </c>
      <c r="R52" s="3">
        <v>20.767890000000001</v>
      </c>
      <c r="S52" s="3">
        <v>23.702384000000002</v>
      </c>
      <c r="T52" s="3">
        <v>9.4557310000000019</v>
      </c>
      <c r="U52" s="3">
        <v>11.812638000000003</v>
      </c>
      <c r="V52" s="3">
        <v>16.120718</v>
      </c>
      <c r="W52" s="3">
        <v>4.8884240000000005</v>
      </c>
      <c r="X52" s="3">
        <v>2.910933</v>
      </c>
      <c r="Y52" s="3">
        <v>50.086493999999995</v>
      </c>
      <c r="Z52" s="3">
        <v>6.2944440000000004</v>
      </c>
      <c r="AA52" s="3">
        <v>3.9420420000000003</v>
      </c>
      <c r="AB52" s="3">
        <v>38.141555999999994</v>
      </c>
      <c r="AC52" s="3">
        <v>27.782412000000004</v>
      </c>
      <c r="AD52" s="3">
        <v>24.003371999999999</v>
      </c>
      <c r="AE52" s="3">
        <v>26.988576000000002</v>
      </c>
      <c r="AF52" s="3">
        <v>20.003124999999997</v>
      </c>
      <c r="AG52" s="3">
        <v>-10.631033333333335</v>
      </c>
      <c r="AH52" s="3">
        <v>93.717446666666675</v>
      </c>
      <c r="AI52" s="3">
        <v>19.847299999999997</v>
      </c>
      <c r="AJ52" s="3">
        <v>2.7023000000000001</v>
      </c>
      <c r="AK52" s="3">
        <v>99.768069999999994</v>
      </c>
      <c r="AL52" s="3">
        <v>6.2944440000000004</v>
      </c>
      <c r="AM52" s="3">
        <v>3.9420420000000003</v>
      </c>
      <c r="AN52" s="3">
        <v>38.141555999999994</v>
      </c>
      <c r="AO52" s="3">
        <v>27.782412000000004</v>
      </c>
      <c r="AP52" s="3">
        <v>24.003371999999999</v>
      </c>
      <c r="AQ52" s="3">
        <v>26.988576000000002</v>
      </c>
      <c r="AR52" s="3">
        <v>6.4038466666666611</v>
      </c>
      <c r="AS52" s="3">
        <v>-10.634013333333334</v>
      </c>
      <c r="AT52" s="3">
        <v>93.599036666666677</v>
      </c>
      <c r="AU52" s="3">
        <v>19.825359999999996</v>
      </c>
      <c r="AV52" s="3">
        <v>2.6993200000000002</v>
      </c>
      <c r="AW52" s="3">
        <v>99.657740000000004</v>
      </c>
      <c r="AX52" s="3">
        <v>27.417020000000001</v>
      </c>
      <c r="AY52" s="3">
        <v>1.07982</v>
      </c>
      <c r="AZ52" s="3">
        <v>89.179820000000007</v>
      </c>
      <c r="BA52" s="3">
        <v>17.081620000000001</v>
      </c>
      <c r="BB52" s="3">
        <v>2.63476</v>
      </c>
      <c r="BC52" s="3">
        <v>97.080920000000006</v>
      </c>
      <c r="BD52" s="3">
        <v>18.636559999999999</v>
      </c>
      <c r="BE52" s="3">
        <v>2.63476</v>
      </c>
      <c r="BF52" s="3">
        <v>95.421179999999993</v>
      </c>
      <c r="BG52" s="3">
        <v>18.636559999999999</v>
      </c>
      <c r="BH52" s="3">
        <v>2.63476</v>
      </c>
      <c r="BI52" s="3">
        <v>88.306829999999991</v>
      </c>
    </row>
    <row r="53" spans="1:6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1" t="s">
        <v>105</v>
      </c>
      <c r="B54" s="7">
        <v>442.75811999999991</v>
      </c>
      <c r="C54" s="7">
        <v>433.31518799999992</v>
      </c>
      <c r="D54" s="7">
        <v>1885.4977930000002</v>
      </c>
      <c r="E54" s="7">
        <v>450.81188999999995</v>
      </c>
      <c r="F54" s="7">
        <v>1005.503982</v>
      </c>
      <c r="G54" s="7">
        <v>1943.1820219999997</v>
      </c>
      <c r="H54" s="7">
        <v>217.19646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307.18328600000001</v>
      </c>
      <c r="O54" s="7">
        <v>751.64900200000011</v>
      </c>
      <c r="P54" s="7">
        <v>852.51489499999991</v>
      </c>
      <c r="Q54" s="7">
        <v>317.58166200000005</v>
      </c>
      <c r="R54" s="7">
        <v>706.77740199999994</v>
      </c>
      <c r="S54" s="7">
        <v>1254.6813729999999</v>
      </c>
      <c r="T54" s="7">
        <v>413.68273000000005</v>
      </c>
      <c r="U54" s="7">
        <v>411.41714900000011</v>
      </c>
      <c r="V54" s="7">
        <v>2026.3457580000002</v>
      </c>
      <c r="W54" s="7">
        <v>643.34094500000003</v>
      </c>
      <c r="X54" s="7">
        <v>596.69552299999987</v>
      </c>
      <c r="Y54" s="7">
        <v>1941.3110819999999</v>
      </c>
      <c r="Z54" s="7">
        <v>442.75811999999996</v>
      </c>
      <c r="AA54" s="7">
        <v>433.31518800000003</v>
      </c>
      <c r="AB54" s="7">
        <v>1885.4977930000002</v>
      </c>
      <c r="AC54" s="7">
        <v>450.81188999999995</v>
      </c>
      <c r="AD54" s="7">
        <v>1005.5039819999997</v>
      </c>
      <c r="AE54" s="7">
        <v>1943.1820219999997</v>
      </c>
      <c r="AF54" s="7">
        <v>217.19646</v>
      </c>
      <c r="AG54" s="7">
        <v>1279.7240033103935</v>
      </c>
      <c r="AH54" s="7">
        <v>1799.306406028423</v>
      </c>
      <c r="AI54" s="7">
        <v>1084.4144130330083</v>
      </c>
      <c r="AJ54" s="7">
        <v>1308.9962543248037</v>
      </c>
      <c r="AK54" s="7">
        <v>1098.8481786358391</v>
      </c>
      <c r="AL54" s="7">
        <v>442.75811999999996</v>
      </c>
      <c r="AM54" s="7">
        <v>433.31518800000003</v>
      </c>
      <c r="AN54" s="7">
        <v>1885.4977930000002</v>
      </c>
      <c r="AO54" s="7">
        <v>450.81188999999995</v>
      </c>
      <c r="AP54" s="7">
        <v>1005.5039819999997</v>
      </c>
      <c r="AQ54" s="7">
        <v>1943.1820219999997</v>
      </c>
      <c r="AR54" s="7">
        <v>1073.5716871788247</v>
      </c>
      <c r="AS54" s="7">
        <v>1277.984392516086</v>
      </c>
      <c r="AT54" s="7">
        <v>1797.6602082151135</v>
      </c>
      <c r="AU54" s="7">
        <v>1082.698329447087</v>
      </c>
      <c r="AV54" s="7">
        <v>1307.0245547843483</v>
      </c>
      <c r="AW54" s="7">
        <v>1097.1986594667942</v>
      </c>
      <c r="AX54" s="7">
        <v>636.70574988081705</v>
      </c>
      <c r="AY54" s="7">
        <v>740.98800553226761</v>
      </c>
      <c r="AZ54" s="7">
        <v>2167.051122227193</v>
      </c>
      <c r="BA54" s="7">
        <v>831.96451445122591</v>
      </c>
      <c r="BB54" s="7">
        <v>1723.4010229284017</v>
      </c>
      <c r="BC54" s="7">
        <v>1233.3220826689746</v>
      </c>
      <c r="BD54" s="7">
        <v>938.4350900430419</v>
      </c>
      <c r="BE54" s="7">
        <v>1082.9316385202173</v>
      </c>
      <c r="BF54" s="7">
        <v>1286.6165526093403</v>
      </c>
      <c r="BG54" s="7">
        <v>1028.4981863561975</v>
      </c>
      <c r="BH54" s="7">
        <v>1216.840144833373</v>
      </c>
      <c r="BI54" s="7">
        <v>1022.8931563573511</v>
      </c>
    </row>
    <row r="56" spans="1:61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1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</row>
    <row r="59" spans="1:61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</row>
    <row r="60" spans="1:61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0</v>
      </c>
      <c r="D60" s="244">
        <f t="shared" si="5"/>
        <v>0</v>
      </c>
      <c r="E60" s="244">
        <f t="shared" si="5"/>
        <v>0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0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0</v>
      </c>
      <c r="U60" s="244">
        <f t="shared" si="5"/>
        <v>0</v>
      </c>
      <c r="V60" s="244">
        <f t="shared" si="5"/>
        <v>0</v>
      </c>
      <c r="W60" s="244">
        <f t="shared" si="5"/>
        <v>0</v>
      </c>
      <c r="X60" s="244">
        <f t="shared" si="5"/>
        <v>0</v>
      </c>
      <c r="Y60" s="244">
        <f t="shared" si="5"/>
        <v>0</v>
      </c>
      <c r="Z60" s="244">
        <f t="shared" si="5"/>
        <v>0</v>
      </c>
      <c r="AA60" s="244">
        <f t="shared" si="5"/>
        <v>0</v>
      </c>
      <c r="AB60" s="244">
        <f t="shared" si="5"/>
        <v>0</v>
      </c>
      <c r="AC60" s="244">
        <f t="shared" si="5"/>
        <v>0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0</v>
      </c>
      <c r="AM60" s="244">
        <f t="shared" si="5"/>
        <v>0</v>
      </c>
      <c r="AN60" s="244">
        <f t="shared" si="5"/>
        <v>0</v>
      </c>
      <c r="AO60" s="244">
        <f t="shared" si="5"/>
        <v>0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</row>
    <row r="61" spans="1:61" x14ac:dyDescent="0.25">
      <c r="A61" s="1" t="s">
        <v>110</v>
      </c>
      <c r="B61" s="244">
        <f>SUM(B12:B23,B43:B44,B52)-B54</f>
        <v>0</v>
      </c>
      <c r="C61" s="244">
        <f t="shared" ref="C61:BI61" si="6">SUM(C12:C23,C43:C44,C52)-C54</f>
        <v>0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0</v>
      </c>
      <c r="O61" s="244">
        <f t="shared" si="6"/>
        <v>0</v>
      </c>
      <c r="P61" s="244">
        <f t="shared" si="6"/>
        <v>0</v>
      </c>
      <c r="Q61" s="244">
        <f t="shared" si="6"/>
        <v>0</v>
      </c>
      <c r="R61" s="244">
        <f t="shared" si="6"/>
        <v>0</v>
      </c>
      <c r="S61" s="244">
        <f t="shared" si="6"/>
        <v>0</v>
      </c>
      <c r="T61" s="244">
        <f t="shared" si="6"/>
        <v>0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0</v>
      </c>
      <c r="Y61" s="244">
        <f t="shared" si="6"/>
        <v>0</v>
      </c>
      <c r="Z61" s="244">
        <f t="shared" si="6"/>
        <v>0</v>
      </c>
      <c r="AA61" s="244">
        <f t="shared" si="6"/>
        <v>0</v>
      </c>
      <c r="AB61" s="244">
        <f t="shared" si="6"/>
        <v>0</v>
      </c>
      <c r="AC61" s="244">
        <f t="shared" si="6"/>
        <v>0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0</v>
      </c>
      <c r="AM61" s="244">
        <f t="shared" si="6"/>
        <v>0</v>
      </c>
      <c r="AN61" s="244">
        <f t="shared" si="6"/>
        <v>0</v>
      </c>
      <c r="AO61" s="244">
        <f t="shared" si="6"/>
        <v>0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</row>
    <row r="62" spans="1:61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0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0</v>
      </c>
      <c r="O62" s="244">
        <f t="shared" si="7"/>
        <v>0</v>
      </c>
      <c r="P62" s="244">
        <f t="shared" si="7"/>
        <v>0</v>
      </c>
      <c r="Q62" s="244">
        <f t="shared" si="7"/>
        <v>0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0</v>
      </c>
      <c r="V62" s="244">
        <f t="shared" si="7"/>
        <v>0</v>
      </c>
      <c r="W62" s="244">
        <f t="shared" si="7"/>
        <v>0</v>
      </c>
      <c r="X62" s="244">
        <f t="shared" si="7"/>
        <v>0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</row>
    <row r="63" spans="1:61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0</v>
      </c>
      <c r="O63" s="244">
        <f t="shared" si="9"/>
        <v>0</v>
      </c>
      <c r="P63" s="244">
        <f t="shared" si="9"/>
        <v>0</v>
      </c>
      <c r="Q63" s="244">
        <f t="shared" si="9"/>
        <v>0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0</v>
      </c>
      <c r="V63" s="244">
        <f t="shared" si="9"/>
        <v>0</v>
      </c>
      <c r="W63" s="244">
        <f t="shared" si="9"/>
        <v>0</v>
      </c>
      <c r="X63" s="244">
        <f t="shared" si="9"/>
        <v>0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  <row r="64" spans="1:6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x14ac:dyDescent="0.2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x14ac:dyDescent="0.25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BI67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5" width="11.28515625" bestFit="1" customWidth="1"/>
    <col min="6" max="8" width="10.140625" bestFit="1" customWidth="1"/>
    <col min="9" max="9" width="11.28515625" bestFit="1" customWidth="1"/>
    <col min="10" max="18" width="10.140625" bestFit="1" customWidth="1"/>
    <col min="19" max="21" width="11.28515625" bestFit="1" customWidth="1"/>
    <col min="22" max="23" width="10.140625" bestFit="1" customWidth="1"/>
    <col min="24" max="24" width="11.28515625" bestFit="1" customWidth="1"/>
    <col min="25" max="25" width="10.140625" bestFit="1" customWidth="1"/>
    <col min="26" max="29" width="11.28515625" bestFit="1" customWidth="1"/>
    <col min="30" max="32" width="10.140625" bestFit="1" customWidth="1"/>
    <col min="33" max="33" width="11.28515625" bestFit="1" customWidth="1"/>
    <col min="34" max="36" width="10.140625" bestFit="1" customWidth="1"/>
    <col min="37" max="37" width="11.28515625" bestFit="1" customWidth="1"/>
    <col min="50" max="61" width="11.28515625" bestFit="1" customWidth="1"/>
  </cols>
  <sheetData>
    <row r="1" spans="1:61" ht="14.45" x14ac:dyDescent="0.35">
      <c r="A1" s="1" t="s">
        <v>2</v>
      </c>
      <c r="B1" s="1"/>
      <c r="C1" s="1"/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-139.43305200000003</v>
      </c>
      <c r="C12" s="3">
        <v>-138.45327199999997</v>
      </c>
      <c r="D12" s="3">
        <v>-198.117546</v>
      </c>
      <c r="E12" s="3">
        <v>-136.06830000000002</v>
      </c>
      <c r="F12" s="3">
        <v>-132.77431000000001</v>
      </c>
      <c r="G12" s="3">
        <v>-184.113123</v>
      </c>
      <c r="H12" s="3">
        <v>-165.856785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-80.617412999999999</v>
      </c>
      <c r="O12" s="3">
        <v>-77.819484000000003</v>
      </c>
      <c r="P12" s="3">
        <v>-134.23275699999999</v>
      </c>
      <c r="Q12" s="3">
        <v>-34.921700000000008</v>
      </c>
      <c r="R12" s="3">
        <v>-90.524253000000002</v>
      </c>
      <c r="S12" s="3">
        <v>-132.03407199999998</v>
      </c>
      <c r="T12" s="3">
        <v>-124.67021199999999</v>
      </c>
      <c r="U12" s="3">
        <v>-123.305622</v>
      </c>
      <c r="V12" s="3">
        <v>-118.18315600000001</v>
      </c>
      <c r="W12" s="3">
        <v>-137.68588</v>
      </c>
      <c r="X12" s="3">
        <v>-124.11132800000001</v>
      </c>
      <c r="Y12" s="3">
        <v>-122.21885999999999</v>
      </c>
      <c r="Z12" s="3">
        <v>-139.43305200000003</v>
      </c>
      <c r="AA12" s="3">
        <v>-138.45327199999997</v>
      </c>
      <c r="AB12" s="3">
        <v>-198.117546</v>
      </c>
      <c r="AC12" s="3">
        <v>-136.06830000000002</v>
      </c>
      <c r="AD12" s="3">
        <v>-132.77431000000001</v>
      </c>
      <c r="AE12" s="3">
        <v>-184.113123</v>
      </c>
      <c r="AF12" s="3">
        <v>-165.856785</v>
      </c>
      <c r="AG12" s="3">
        <v>-116.4762481523579</v>
      </c>
      <c r="AH12" s="3">
        <v>-116.4762481523579</v>
      </c>
      <c r="AI12" s="3">
        <v>-107.84837791884992</v>
      </c>
      <c r="AJ12" s="3">
        <v>-107.84837791884992</v>
      </c>
      <c r="AK12" s="3">
        <v>-107.84837791884992</v>
      </c>
      <c r="AL12" s="3">
        <v>-139.43305200000003</v>
      </c>
      <c r="AM12" s="3">
        <v>-138.45327199999997</v>
      </c>
      <c r="AN12" s="3">
        <v>-198.117546</v>
      </c>
      <c r="AO12" s="3">
        <v>-136.06830000000002</v>
      </c>
      <c r="AP12" s="3">
        <v>-132.77431000000001</v>
      </c>
      <c r="AQ12" s="3">
        <v>-184.113123</v>
      </c>
      <c r="AR12" s="3">
        <v>-116.21317369793462</v>
      </c>
      <c r="AS12" s="3">
        <v>-116.21317369793462</v>
      </c>
      <c r="AT12" s="3">
        <v>-116.21317369793462</v>
      </c>
      <c r="AU12" s="3">
        <v>-107.60479046105061</v>
      </c>
      <c r="AV12" s="3">
        <v>-107.60479046105061</v>
      </c>
      <c r="AW12" s="3">
        <v>-107.60479046105061</v>
      </c>
      <c r="AX12" s="3">
        <v>-92.338437588622483</v>
      </c>
      <c r="AY12" s="3">
        <v>-92.338437588622483</v>
      </c>
      <c r="AZ12" s="3">
        <v>-92.338437588622483</v>
      </c>
      <c r="BA12" s="3">
        <v>-100.36786694415485</v>
      </c>
      <c r="BB12" s="3">
        <v>-100.36786694415485</v>
      </c>
      <c r="BC12" s="3">
        <v>-100.36786694415485</v>
      </c>
      <c r="BD12" s="3">
        <v>-108.39729629968721</v>
      </c>
      <c r="BE12" s="3">
        <v>-108.39729629968721</v>
      </c>
      <c r="BF12" s="3">
        <v>-108.39729629968721</v>
      </c>
      <c r="BG12" s="3">
        <v>-100.36786694415485</v>
      </c>
      <c r="BH12" s="3">
        <v>-100.36786694415485</v>
      </c>
      <c r="BI12" s="3">
        <v>-100.36786694415485</v>
      </c>
    </row>
    <row r="13" spans="1:61" ht="14.45" x14ac:dyDescent="0.35">
      <c r="A13" s="1" t="s">
        <v>125</v>
      </c>
      <c r="B13" s="3">
        <v>-5.6811599999999993</v>
      </c>
      <c r="C13" s="3">
        <v>-5.7424429999999997</v>
      </c>
      <c r="D13" s="3">
        <v>-5.5562610000000001</v>
      </c>
      <c r="E13" s="3">
        <v>-6.0301349999999996</v>
      </c>
      <c r="F13" s="3">
        <v>-5.9248860000000008</v>
      </c>
      <c r="G13" s="3">
        <v>-82.266407999999998</v>
      </c>
      <c r="H13" s="3">
        <v>-18.811194999999998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-5.9230340000000004</v>
      </c>
      <c r="O13" s="3">
        <v>-5.7174690000000004</v>
      </c>
      <c r="P13" s="3">
        <v>-9.8622019999999999</v>
      </c>
      <c r="Q13" s="3">
        <v>-1.4358370000000003</v>
      </c>
      <c r="R13" s="3">
        <v>-5.4779040000000006</v>
      </c>
      <c r="S13" s="3">
        <v>-10.304458</v>
      </c>
      <c r="T13" s="3">
        <v>-10.159879</v>
      </c>
      <c r="U13" s="3">
        <v>-10.001799999999999</v>
      </c>
      <c r="V13" s="3">
        <v>-9.7343460000000004</v>
      </c>
      <c r="W13" s="3">
        <v>-10.383234999999999</v>
      </c>
      <c r="X13" s="3">
        <v>-10.464906000000001</v>
      </c>
      <c r="Y13" s="3">
        <v>-20.816851</v>
      </c>
      <c r="Z13" s="3">
        <v>-5.6811599999999993</v>
      </c>
      <c r="AA13" s="3">
        <v>-5.7424429999999997</v>
      </c>
      <c r="AB13" s="3">
        <v>-5.5562610000000001</v>
      </c>
      <c r="AC13" s="3">
        <v>-6.0301349999999996</v>
      </c>
      <c r="AD13" s="3">
        <v>-5.9248860000000008</v>
      </c>
      <c r="AE13" s="3">
        <v>-82.266407999999998</v>
      </c>
      <c r="AF13" s="3">
        <v>-18.811194999999998</v>
      </c>
      <c r="AG13" s="3">
        <v>-7.1472896972888096</v>
      </c>
      <c r="AH13" s="3">
        <v>-7.1472896972888096</v>
      </c>
      <c r="AI13" s="3">
        <v>-6.6178608308229707</v>
      </c>
      <c r="AJ13" s="3">
        <v>-6.6178608308229707</v>
      </c>
      <c r="AK13" s="3">
        <v>-6.6178608308229707</v>
      </c>
      <c r="AL13" s="3">
        <v>-5.6811599999999993</v>
      </c>
      <c r="AM13" s="3">
        <v>-5.7424429999999997</v>
      </c>
      <c r="AN13" s="3">
        <v>-5.5562610000000001</v>
      </c>
      <c r="AO13" s="3">
        <v>-6.0301349999999996</v>
      </c>
      <c r="AP13" s="3">
        <v>-5.9248860000000008</v>
      </c>
      <c r="AQ13" s="3">
        <v>-82.266407999999998</v>
      </c>
      <c r="AR13" s="3">
        <v>-7.1311467551220966</v>
      </c>
      <c r="AS13" s="3">
        <v>-7.1311467551220966</v>
      </c>
      <c r="AT13" s="3">
        <v>-7.1311467551220966</v>
      </c>
      <c r="AU13" s="3">
        <v>-6.6029136621500877</v>
      </c>
      <c r="AV13" s="3">
        <v>-6.6029136621500877</v>
      </c>
      <c r="AW13" s="3">
        <v>-6.6029136621500877</v>
      </c>
      <c r="AX13" s="3">
        <v>-5.6661299974019386</v>
      </c>
      <c r="AY13" s="3">
        <v>-5.6661299974019386</v>
      </c>
      <c r="AZ13" s="3">
        <v>-5.6661299974019386</v>
      </c>
      <c r="BA13" s="3">
        <v>-6.1588369536977554</v>
      </c>
      <c r="BB13" s="3">
        <v>-6.1588369536977554</v>
      </c>
      <c r="BC13" s="3">
        <v>-6.1588369536977554</v>
      </c>
      <c r="BD13" s="3">
        <v>-6.6515439099935785</v>
      </c>
      <c r="BE13" s="3">
        <v>-6.6515439099935785</v>
      </c>
      <c r="BF13" s="3">
        <v>-6.6515439099935785</v>
      </c>
      <c r="BG13" s="3">
        <v>-6.1588369536977554</v>
      </c>
      <c r="BH13" s="3">
        <v>-6.1588369536977554</v>
      </c>
      <c r="BI13" s="3">
        <v>-6.1588369536977554</v>
      </c>
    </row>
    <row r="14" spans="1:61" ht="14.45" x14ac:dyDescent="0.35">
      <c r="A14" s="1" t="s">
        <v>40</v>
      </c>
      <c r="B14" s="3">
        <v>-3.586036</v>
      </c>
      <c r="C14" s="3">
        <v>-3.6247179999999997</v>
      </c>
      <c r="D14" s="3">
        <v>-3.507199</v>
      </c>
      <c r="E14" s="3">
        <v>-3.8063090000000002</v>
      </c>
      <c r="F14" s="3">
        <v>-3.7398789999999997</v>
      </c>
      <c r="G14" s="3">
        <v>-29.244914999999999</v>
      </c>
      <c r="H14" s="3">
        <v>-9.4381499999999985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-5.5285579999999994</v>
      </c>
      <c r="O14" s="3">
        <v>-5.336684</v>
      </c>
      <c r="P14" s="3">
        <v>-9.2053739999999991</v>
      </c>
      <c r="Q14" s="3">
        <v>-1.3402079999999996</v>
      </c>
      <c r="R14" s="3">
        <v>-5.1130709999999997</v>
      </c>
      <c r="S14" s="3">
        <v>-5.0972860000000004</v>
      </c>
      <c r="T14" s="3">
        <v>-5.0582649999999996</v>
      </c>
      <c r="U14" s="3">
        <v>-5.0049950000000001</v>
      </c>
      <c r="V14" s="3">
        <v>-4.8765010000000002</v>
      </c>
      <c r="W14" s="3">
        <v>-5.359076</v>
      </c>
      <c r="X14" s="3">
        <v>-5.4160170000000001</v>
      </c>
      <c r="Y14" s="3">
        <v>-5.3134250000000005</v>
      </c>
      <c r="Z14" s="3">
        <v>-3.586036</v>
      </c>
      <c r="AA14" s="3">
        <v>-3.6247179999999997</v>
      </c>
      <c r="AB14" s="3">
        <v>-3.507199</v>
      </c>
      <c r="AC14" s="3">
        <v>-3.8063090000000002</v>
      </c>
      <c r="AD14" s="3">
        <v>-3.7398789999999997</v>
      </c>
      <c r="AE14" s="3">
        <v>-29.244914999999999</v>
      </c>
      <c r="AF14" s="3">
        <v>-9.4381499999999985</v>
      </c>
      <c r="AG14" s="3">
        <v>-4.511478211491454</v>
      </c>
      <c r="AH14" s="3">
        <v>-4.511478211491454</v>
      </c>
      <c r="AI14" s="3">
        <v>-4.1772946402698645</v>
      </c>
      <c r="AJ14" s="3">
        <v>-4.1772946402698645</v>
      </c>
      <c r="AK14" s="3">
        <v>-4.1772946402698645</v>
      </c>
      <c r="AL14" s="3">
        <v>-3.586036</v>
      </c>
      <c r="AM14" s="3">
        <v>-3.6247179999999997</v>
      </c>
      <c r="AN14" s="3">
        <v>-3.507199</v>
      </c>
      <c r="AO14" s="3">
        <v>-3.8063090000000002</v>
      </c>
      <c r="AP14" s="3">
        <v>-3.7398789999999997</v>
      </c>
      <c r="AQ14" s="3">
        <v>-29.244914999999999</v>
      </c>
      <c r="AR14" s="3">
        <v>-4.5012885403099263</v>
      </c>
      <c r="AS14" s="3">
        <v>-4.5012885403099263</v>
      </c>
      <c r="AT14" s="3">
        <v>-4.5012885403099263</v>
      </c>
      <c r="AU14" s="3">
        <v>-4.1678597595462277</v>
      </c>
      <c r="AV14" s="3">
        <v>-4.1678597595462277</v>
      </c>
      <c r="AW14" s="3">
        <v>-4.1678597595462277</v>
      </c>
      <c r="AX14" s="3">
        <v>-3.576547629859423</v>
      </c>
      <c r="AY14" s="3">
        <v>-3.576547629859423</v>
      </c>
      <c r="AZ14" s="3">
        <v>-3.576547629859423</v>
      </c>
      <c r="BA14" s="3">
        <v>-3.8875517715863288</v>
      </c>
      <c r="BB14" s="3">
        <v>-3.8875517715863288</v>
      </c>
      <c r="BC14" s="3">
        <v>-3.8875517715863288</v>
      </c>
      <c r="BD14" s="3">
        <v>-4.1985559133132355</v>
      </c>
      <c r="BE14" s="3">
        <v>-4.1985559133132355</v>
      </c>
      <c r="BF14" s="3">
        <v>-4.1985559133132355</v>
      </c>
      <c r="BG14" s="3">
        <v>-3.8875517715863288</v>
      </c>
      <c r="BH14" s="3">
        <v>-3.8875517715863288</v>
      </c>
      <c r="BI14" s="3">
        <v>-3.8875517715863288</v>
      </c>
    </row>
    <row r="15" spans="1:61" ht="14.45" x14ac:dyDescent="0.35">
      <c r="A15" s="1" t="s">
        <v>41</v>
      </c>
      <c r="B15" s="3">
        <v>-0.48812899999999998</v>
      </c>
      <c r="C15" s="3">
        <v>-0.493396</v>
      </c>
      <c r="D15" s="3">
        <v>-0.47739799999999999</v>
      </c>
      <c r="E15" s="3">
        <v>-0.51811200000000002</v>
      </c>
      <c r="F15" s="3">
        <v>-0.50907199999999997</v>
      </c>
      <c r="G15" s="3">
        <v>-0.52576100000000003</v>
      </c>
      <c r="H15" s="3">
        <v>-0.57961799999999997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-0.75254299999999996</v>
      </c>
      <c r="O15" s="3">
        <v>-0.72642700000000004</v>
      </c>
      <c r="P15" s="3">
        <v>-1.2530320000000001</v>
      </c>
      <c r="Q15" s="3">
        <v>-0.18242999999999998</v>
      </c>
      <c r="R15" s="3">
        <v>-0.69599</v>
      </c>
      <c r="S15" s="3">
        <v>-0.69383899999999998</v>
      </c>
      <c r="T15" s="3">
        <v>-0.68852899999999995</v>
      </c>
      <c r="U15" s="3">
        <v>-0.68127800000000005</v>
      </c>
      <c r="V15" s="3">
        <v>-0.66378700000000002</v>
      </c>
      <c r="W15" s="3">
        <v>-0.72947499999999998</v>
      </c>
      <c r="X15" s="3">
        <v>-0.73722500000000002</v>
      </c>
      <c r="Y15" s="3">
        <v>-0.72326100000000004</v>
      </c>
      <c r="Z15" s="3">
        <v>-0.48812899999999998</v>
      </c>
      <c r="AA15" s="3">
        <v>-0.493396</v>
      </c>
      <c r="AB15" s="3">
        <v>-0.47739799999999999</v>
      </c>
      <c r="AC15" s="3">
        <v>-0.51811200000000002</v>
      </c>
      <c r="AD15" s="3">
        <v>-0.50907199999999997</v>
      </c>
      <c r="AE15" s="3">
        <v>-0.52576100000000003</v>
      </c>
      <c r="AF15" s="3">
        <v>-0.57961799999999997</v>
      </c>
      <c r="AG15" s="3">
        <v>-0.61410052435274987</v>
      </c>
      <c r="AH15" s="3">
        <v>-0.61410052435274987</v>
      </c>
      <c r="AI15" s="3">
        <v>-0.56861159662291649</v>
      </c>
      <c r="AJ15" s="3">
        <v>-0.56861159662291649</v>
      </c>
      <c r="AK15" s="3">
        <v>-0.56861159662291649</v>
      </c>
      <c r="AL15" s="3">
        <v>-0.48812899999999998</v>
      </c>
      <c r="AM15" s="3">
        <v>-0.493396</v>
      </c>
      <c r="AN15" s="3">
        <v>-0.47739799999999999</v>
      </c>
      <c r="AO15" s="3">
        <v>-0.51811200000000002</v>
      </c>
      <c r="AP15" s="3">
        <v>-0.50907199999999997</v>
      </c>
      <c r="AQ15" s="3">
        <v>-0.52576100000000003</v>
      </c>
      <c r="AR15" s="3">
        <v>-0.61271351057983181</v>
      </c>
      <c r="AS15" s="3">
        <v>-0.61271351057983181</v>
      </c>
      <c r="AT15" s="3">
        <v>-0.61271351057983181</v>
      </c>
      <c r="AU15" s="3">
        <v>-0.56732732461095536</v>
      </c>
      <c r="AV15" s="3">
        <v>-0.56732732461095536</v>
      </c>
      <c r="AW15" s="3">
        <v>-0.56732732461095536</v>
      </c>
      <c r="AX15" s="3">
        <v>-0.48683816521041334</v>
      </c>
      <c r="AY15" s="3">
        <v>-0.48683816521041334</v>
      </c>
      <c r="AZ15" s="3">
        <v>-0.48683816521041334</v>
      </c>
      <c r="BA15" s="3">
        <v>-0.529171918706971</v>
      </c>
      <c r="BB15" s="3">
        <v>-0.529171918706971</v>
      </c>
      <c r="BC15" s="3">
        <v>-0.529171918706971</v>
      </c>
      <c r="BD15" s="3">
        <v>-0.57150567220352866</v>
      </c>
      <c r="BE15" s="3">
        <v>-0.57150567220352866</v>
      </c>
      <c r="BF15" s="3">
        <v>-0.57150567220352866</v>
      </c>
      <c r="BG15" s="3">
        <v>-0.529171918706971</v>
      </c>
      <c r="BH15" s="3">
        <v>-0.529171918706971</v>
      </c>
      <c r="BI15" s="3">
        <v>-0.529171918706971</v>
      </c>
    </row>
    <row r="16" spans="1:61" ht="14.45" x14ac:dyDescent="0.35">
      <c r="A16" s="1" t="s">
        <v>43</v>
      </c>
      <c r="B16" s="3">
        <v>-16.308119000000001</v>
      </c>
      <c r="C16" s="3">
        <v>-16.484034000000001</v>
      </c>
      <c r="D16" s="3">
        <v>-15.949593</v>
      </c>
      <c r="E16" s="3">
        <v>-17.309864000000001</v>
      </c>
      <c r="F16" s="3">
        <v>-17.007752</v>
      </c>
      <c r="G16" s="3">
        <v>-69.247179000000003</v>
      </c>
      <c r="H16" s="3">
        <v>-26.507671999999999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-8.899813</v>
      </c>
      <c r="O16" s="3">
        <v>-26.272013999999999</v>
      </c>
      <c r="P16" s="3">
        <v>-44.793641999999998</v>
      </c>
      <c r="Q16" s="3">
        <v>-6.5840500000000013</v>
      </c>
      <c r="R16" s="3">
        <v>-24.716687</v>
      </c>
      <c r="S16" s="3">
        <v>-24.3979</v>
      </c>
      <c r="T16" s="3">
        <v>-24.015723999999999</v>
      </c>
      <c r="U16" s="3">
        <v>-23.584714999999999</v>
      </c>
      <c r="V16" s="3">
        <v>-22.824891000000001</v>
      </c>
      <c r="W16" s="3">
        <v>-24.756564000000001</v>
      </c>
      <c r="X16" s="3">
        <v>-25.007663000000001</v>
      </c>
      <c r="Y16" s="3">
        <v>-24.513045999999999</v>
      </c>
      <c r="Z16" s="3">
        <v>-16.308119000000001</v>
      </c>
      <c r="AA16" s="3">
        <v>-16.484034000000001</v>
      </c>
      <c r="AB16" s="3">
        <v>-15.949593</v>
      </c>
      <c r="AC16" s="3">
        <v>-17.309864000000001</v>
      </c>
      <c r="AD16" s="3">
        <v>-17.007752</v>
      </c>
      <c r="AE16" s="3">
        <v>-69.247179000000003</v>
      </c>
      <c r="AF16" s="3">
        <v>-26.507671999999999</v>
      </c>
      <c r="AG16" s="3">
        <v>-20.516735304306131</v>
      </c>
      <c r="AH16" s="3">
        <v>-20.516735304306131</v>
      </c>
      <c r="AI16" s="3">
        <v>-18.996977133616788</v>
      </c>
      <c r="AJ16" s="3">
        <v>-18.996977133616788</v>
      </c>
      <c r="AK16" s="3">
        <v>-18.996977133616788</v>
      </c>
      <c r="AL16" s="3">
        <v>-16.308119000000001</v>
      </c>
      <c r="AM16" s="3">
        <v>-16.484034000000001</v>
      </c>
      <c r="AN16" s="3">
        <v>-15.949593</v>
      </c>
      <c r="AO16" s="3">
        <v>-17.309864000000001</v>
      </c>
      <c r="AP16" s="3">
        <v>-17.007752</v>
      </c>
      <c r="AQ16" s="3">
        <v>-69.247179000000003</v>
      </c>
      <c r="AR16" s="3">
        <v>-20.470395994512543</v>
      </c>
      <c r="AS16" s="3">
        <v>-20.470395994512543</v>
      </c>
      <c r="AT16" s="3">
        <v>-20.470395994512543</v>
      </c>
      <c r="AU16" s="3">
        <v>-18.954070365289393</v>
      </c>
      <c r="AV16" s="3">
        <v>-18.954070365289393</v>
      </c>
      <c r="AW16" s="3">
        <v>-18.954070365289393</v>
      </c>
      <c r="AX16" s="3">
        <v>-16.264975155628825</v>
      </c>
      <c r="AY16" s="3">
        <v>-16.264975155628825</v>
      </c>
      <c r="AZ16" s="3">
        <v>-16.264975155628825</v>
      </c>
      <c r="BA16" s="3">
        <v>-17.679320821335672</v>
      </c>
      <c r="BB16" s="3">
        <v>-17.679320821335672</v>
      </c>
      <c r="BC16" s="3">
        <v>-17.679320821335672</v>
      </c>
      <c r="BD16" s="3">
        <v>-19.093666487042526</v>
      </c>
      <c r="BE16" s="3">
        <v>-19.093666487042526</v>
      </c>
      <c r="BF16" s="3">
        <v>-19.093666487042526</v>
      </c>
      <c r="BG16" s="3">
        <v>-17.679320821335672</v>
      </c>
      <c r="BH16" s="3">
        <v>-17.679320821335672</v>
      </c>
      <c r="BI16" s="3">
        <v>-17.679320821335672</v>
      </c>
    </row>
    <row r="17" spans="1:61" ht="14.45" x14ac:dyDescent="0.35">
      <c r="A17" s="1" t="s">
        <v>126</v>
      </c>
      <c r="B17" s="3">
        <v>-3.540492</v>
      </c>
      <c r="C17" s="3">
        <v>-3.5786829999999998</v>
      </c>
      <c r="D17" s="3">
        <v>-3.4626540000000001</v>
      </c>
      <c r="E17" s="3">
        <v>-3.7579720000000001</v>
      </c>
      <c r="F17" s="3">
        <v>-3.6923810000000001</v>
      </c>
      <c r="G17" s="3">
        <v>-19.261068000000002</v>
      </c>
      <c r="H17" s="3">
        <v>-5.8780619999999999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-5.458342</v>
      </c>
      <c r="O17" s="3">
        <v>-5.2689020000000006</v>
      </c>
      <c r="P17" s="3">
        <v>-9.0884630000000008</v>
      </c>
      <c r="Q17" s="3">
        <v>-1.3231870000000003</v>
      </c>
      <c r="R17" s="3">
        <v>-5.048133</v>
      </c>
      <c r="S17" s="3">
        <v>-5.0325499999999996</v>
      </c>
      <c r="T17" s="3">
        <v>-4.9940230000000003</v>
      </c>
      <c r="U17" s="3">
        <v>-4.9414289999999994</v>
      </c>
      <c r="V17" s="3">
        <v>-4.8145689999999997</v>
      </c>
      <c r="W17" s="3">
        <v>-5.2910129999999995</v>
      </c>
      <c r="X17" s="3">
        <v>-5.3472309999999998</v>
      </c>
      <c r="Y17" s="3">
        <v>-5.2459419999999994</v>
      </c>
      <c r="Z17" s="3">
        <v>-3.540492</v>
      </c>
      <c r="AA17" s="3">
        <v>-3.5786829999999998</v>
      </c>
      <c r="AB17" s="3">
        <v>-3.4626540000000001</v>
      </c>
      <c r="AC17" s="3">
        <v>-3.7579720000000001</v>
      </c>
      <c r="AD17" s="3">
        <v>-3.6923810000000001</v>
      </c>
      <c r="AE17" s="3">
        <v>-19.261068000000002</v>
      </c>
      <c r="AF17" s="3">
        <v>-5.8780619999999999</v>
      </c>
      <c r="AG17" s="3">
        <v>-4.4541807153880413</v>
      </c>
      <c r="AH17" s="3">
        <v>-4.4541807153880413</v>
      </c>
      <c r="AI17" s="3">
        <v>-4.1242414031370735</v>
      </c>
      <c r="AJ17" s="3">
        <v>-4.1242414031370735</v>
      </c>
      <c r="AK17" s="3">
        <v>-4.1242414031370735</v>
      </c>
      <c r="AL17" s="3">
        <v>-3.540492</v>
      </c>
      <c r="AM17" s="3">
        <v>-3.5786829999999998</v>
      </c>
      <c r="AN17" s="3">
        <v>-3.4626540000000001</v>
      </c>
      <c r="AO17" s="3">
        <v>-3.7579720000000001</v>
      </c>
      <c r="AP17" s="3">
        <v>-3.6923810000000001</v>
      </c>
      <c r="AQ17" s="3">
        <v>-19.261068000000002</v>
      </c>
      <c r="AR17" s="3">
        <v>-4.4441204569216923</v>
      </c>
      <c r="AS17" s="3">
        <v>-4.4441204569216923</v>
      </c>
      <c r="AT17" s="3">
        <v>-4.4441204569216923</v>
      </c>
      <c r="AU17" s="3">
        <v>-4.1149263490015651</v>
      </c>
      <c r="AV17" s="3">
        <v>-4.1149263490015651</v>
      </c>
      <c r="AW17" s="3">
        <v>-4.1149263490015651</v>
      </c>
      <c r="AX17" s="3">
        <v>-3.5311241091686743</v>
      </c>
      <c r="AY17" s="3">
        <v>-3.5311241091686743</v>
      </c>
      <c r="AZ17" s="3">
        <v>-3.5311241091686743</v>
      </c>
      <c r="BA17" s="3">
        <v>-3.838178379531167</v>
      </c>
      <c r="BB17" s="3">
        <v>-3.838178379531167</v>
      </c>
      <c r="BC17" s="3">
        <v>-3.838178379531167</v>
      </c>
      <c r="BD17" s="3">
        <v>-4.1452326498936625</v>
      </c>
      <c r="BE17" s="3">
        <v>-4.1452326498936625</v>
      </c>
      <c r="BF17" s="3">
        <v>-4.1452326498936625</v>
      </c>
      <c r="BG17" s="3">
        <v>-3.838178379531167</v>
      </c>
      <c r="BH17" s="3">
        <v>-3.838178379531167</v>
      </c>
      <c r="BI17" s="3">
        <v>-3.838178379531167</v>
      </c>
    </row>
    <row r="18" spans="1:61" ht="14.45" x14ac:dyDescent="0.35">
      <c r="A18" s="1" t="s">
        <v>127</v>
      </c>
      <c r="B18" s="3">
        <v>-5.1252769999999996</v>
      </c>
      <c r="C18" s="3">
        <v>-5.1805620000000001</v>
      </c>
      <c r="D18" s="3">
        <v>-5.0125999999999991</v>
      </c>
      <c r="E18" s="3">
        <v>-5.4400980000000008</v>
      </c>
      <c r="F18" s="3">
        <v>-5.345154</v>
      </c>
      <c r="G18" s="3">
        <v>-31.36131</v>
      </c>
      <c r="H18" s="3">
        <v>-9.6573779999999978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-8.8315129999999993</v>
      </c>
      <c r="O18" s="3">
        <v>-8.5250039999999991</v>
      </c>
      <c r="P18" s="3">
        <v>-14.704994000000001</v>
      </c>
      <c r="Q18" s="3">
        <v>-2.1408989999999992</v>
      </c>
      <c r="R18" s="3">
        <v>-8.1678029999999993</v>
      </c>
      <c r="S18" s="3">
        <v>-10.564321</v>
      </c>
      <c r="T18" s="3">
        <v>-10.450601000000001</v>
      </c>
      <c r="U18" s="3">
        <v>-10.315</v>
      </c>
      <c r="V18" s="3">
        <v>-10.044845</v>
      </c>
      <c r="W18" s="3">
        <v>-10.881667999999999</v>
      </c>
      <c r="X18" s="3">
        <v>-10.982961</v>
      </c>
      <c r="Y18" s="3">
        <v>-10.788359</v>
      </c>
      <c r="Z18" s="3">
        <v>-5.1252769999999996</v>
      </c>
      <c r="AA18" s="3">
        <v>-5.1805620000000001</v>
      </c>
      <c r="AB18" s="3">
        <v>-5.0125999999999991</v>
      </c>
      <c r="AC18" s="3">
        <v>-5.4400980000000008</v>
      </c>
      <c r="AD18" s="3">
        <v>-5.345154</v>
      </c>
      <c r="AE18" s="3">
        <v>-31.36131</v>
      </c>
      <c r="AF18" s="3">
        <v>-9.6573779999999978</v>
      </c>
      <c r="AG18" s="3">
        <v>-6.4479479701234439</v>
      </c>
      <c r="AH18" s="3">
        <v>-6.4479479701234439</v>
      </c>
      <c r="AI18" s="3">
        <v>-5.9703221945587419</v>
      </c>
      <c r="AJ18" s="3">
        <v>-5.9703221945587419</v>
      </c>
      <c r="AK18" s="3">
        <v>-5.9703221945587419</v>
      </c>
      <c r="AL18" s="3">
        <v>-5.1252769999999996</v>
      </c>
      <c r="AM18" s="3">
        <v>-5.1805620000000001</v>
      </c>
      <c r="AN18" s="3">
        <v>-5.0125999999999991</v>
      </c>
      <c r="AO18" s="3">
        <v>-5.4400980000000008</v>
      </c>
      <c r="AP18" s="3">
        <v>-5.345154</v>
      </c>
      <c r="AQ18" s="3">
        <v>-31.36131</v>
      </c>
      <c r="AR18" s="3">
        <v>-6.4333845683887754</v>
      </c>
      <c r="AS18" s="3">
        <v>-6.4333845683887754</v>
      </c>
      <c r="AT18" s="3">
        <v>-6.4333845683887754</v>
      </c>
      <c r="AU18" s="3">
        <v>-5.9568375633229369</v>
      </c>
      <c r="AV18" s="3">
        <v>-5.9568375633229369</v>
      </c>
      <c r="AW18" s="3">
        <v>-5.9568375633229369</v>
      </c>
      <c r="AX18" s="3">
        <v>-5.1117154841313059</v>
      </c>
      <c r="AY18" s="3">
        <v>-5.1117154841313059</v>
      </c>
      <c r="AZ18" s="3">
        <v>-5.1117154841313059</v>
      </c>
      <c r="BA18" s="3">
        <v>-5.5562124827514188</v>
      </c>
      <c r="BB18" s="3">
        <v>-5.5562124827514188</v>
      </c>
      <c r="BC18" s="3">
        <v>-5.5562124827514188</v>
      </c>
      <c r="BD18" s="3">
        <v>-6.0007094813715351</v>
      </c>
      <c r="BE18" s="3">
        <v>-6.0007094813715351</v>
      </c>
      <c r="BF18" s="3">
        <v>-6.0007094813715351</v>
      </c>
      <c r="BG18" s="3">
        <v>-5.5562124827514188</v>
      </c>
      <c r="BH18" s="3">
        <v>-5.5562124827514188</v>
      </c>
      <c r="BI18" s="3">
        <v>-5.5562124827514188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-0.99931899999999996</v>
      </c>
      <c r="C20" s="3">
        <v>-1.0101009999999999</v>
      </c>
      <c r="D20" s="3">
        <v>-0.97735300000000003</v>
      </c>
      <c r="E20" s="3">
        <v>-1.0607</v>
      </c>
      <c r="F20" s="3">
        <v>-1.0421909999999999</v>
      </c>
      <c r="G20" s="3">
        <v>-8.8001760000000004</v>
      </c>
      <c r="H20" s="3">
        <v>-2.0236139999999994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-0.99931899999999996</v>
      </c>
      <c r="AA20" s="3">
        <v>-1.0101009999999999</v>
      </c>
      <c r="AB20" s="3">
        <v>-0.97735300000000003</v>
      </c>
      <c r="AC20" s="3">
        <v>-1.0607</v>
      </c>
      <c r="AD20" s="3">
        <v>-1.0421909999999999</v>
      </c>
      <c r="AE20" s="3">
        <v>-8.8001760000000004</v>
      </c>
      <c r="AF20" s="3">
        <v>-2.0236139999999994</v>
      </c>
      <c r="AG20" s="3">
        <v>-1.2572131060304919</v>
      </c>
      <c r="AH20" s="3">
        <v>-1.2572131060304919</v>
      </c>
      <c r="AI20" s="3">
        <v>-1.1640862092874922</v>
      </c>
      <c r="AJ20" s="3">
        <v>-1.1640862092874922</v>
      </c>
      <c r="AK20" s="3">
        <v>-1.1640862092874922</v>
      </c>
      <c r="AL20" s="3">
        <v>-0.99931899999999996</v>
      </c>
      <c r="AM20" s="3">
        <v>-1.0101009999999999</v>
      </c>
      <c r="AN20" s="3">
        <v>-0.97735300000000003</v>
      </c>
      <c r="AO20" s="3">
        <v>-1.0607</v>
      </c>
      <c r="AP20" s="3">
        <v>-1.0421909999999999</v>
      </c>
      <c r="AQ20" s="3">
        <v>-8.8001760000000004</v>
      </c>
      <c r="AR20" s="3">
        <v>-1.2543735515529977</v>
      </c>
      <c r="AS20" s="3">
        <v>-1.2543735515529977</v>
      </c>
      <c r="AT20" s="3">
        <v>-1.2543735515529977</v>
      </c>
      <c r="AU20" s="3">
        <v>-1.1614569921787015</v>
      </c>
      <c r="AV20" s="3">
        <v>-1.1614569921787015</v>
      </c>
      <c r="AW20" s="3">
        <v>-1.1614569921787015</v>
      </c>
      <c r="AX20" s="3">
        <v>-0.99667611009364987</v>
      </c>
      <c r="AY20" s="3">
        <v>-0.99667611009364987</v>
      </c>
      <c r="AZ20" s="3">
        <v>-0.99667611009364987</v>
      </c>
      <c r="BA20" s="3">
        <v>-1.0833435979278803</v>
      </c>
      <c r="BB20" s="3">
        <v>-1.0833435979278803</v>
      </c>
      <c r="BC20" s="3">
        <v>-1.0833435979278803</v>
      </c>
      <c r="BD20" s="3">
        <v>-1.1700110857621109</v>
      </c>
      <c r="BE20" s="3">
        <v>-1.1700110857621109</v>
      </c>
      <c r="BF20" s="3">
        <v>-1.1700110857621109</v>
      </c>
      <c r="BG20" s="3">
        <v>-1.0833435979278803</v>
      </c>
      <c r="BH20" s="3">
        <v>-1.0833435979278803</v>
      </c>
      <c r="BI20" s="3">
        <v>-1.0833435979278803</v>
      </c>
    </row>
    <row r="21" spans="1:61" ht="14.45" x14ac:dyDescent="0.35">
      <c r="A21" s="1" t="s">
        <v>130</v>
      </c>
      <c r="B21" s="3">
        <v>-321.9027000000001</v>
      </c>
      <c r="C21" s="3">
        <v>-164.91728699999999</v>
      </c>
      <c r="D21" s="3">
        <v>-270.44656200000009</v>
      </c>
      <c r="E21" s="3">
        <v>-202.67418199999997</v>
      </c>
      <c r="F21" s="3">
        <v>-194.36581600000002</v>
      </c>
      <c r="G21" s="3">
        <v>16.560618999999946</v>
      </c>
      <c r="H21" s="3">
        <v>-116.42989500000002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-137.07527400000001</v>
      </c>
      <c r="O21" s="3">
        <v>-119.54263500000005</v>
      </c>
      <c r="P21" s="3">
        <v>-141.16605999999996</v>
      </c>
      <c r="Q21" s="3">
        <v>-284.02989999999994</v>
      </c>
      <c r="R21" s="3">
        <v>-167.39942599999995</v>
      </c>
      <c r="S21" s="3">
        <v>-169.18651399999999</v>
      </c>
      <c r="T21" s="3">
        <v>-138.95446499999997</v>
      </c>
      <c r="U21" s="3">
        <v>-164.99037299999992</v>
      </c>
      <c r="V21" s="3">
        <v>-212.95799099999991</v>
      </c>
      <c r="W21" s="3">
        <v>-205.521998</v>
      </c>
      <c r="X21" s="3">
        <v>-155.47896000000003</v>
      </c>
      <c r="Y21" s="3">
        <v>-177.71750399999999</v>
      </c>
      <c r="Z21" s="3">
        <v>-321.9027000000001</v>
      </c>
      <c r="AA21" s="3">
        <v>-164.91728699999999</v>
      </c>
      <c r="AB21" s="3">
        <v>-270.44656200000009</v>
      </c>
      <c r="AC21" s="3">
        <v>-202.67418199999997</v>
      </c>
      <c r="AD21" s="3">
        <v>-194.36581600000002</v>
      </c>
      <c r="AE21" s="3">
        <v>16.560618999999946</v>
      </c>
      <c r="AF21" s="3">
        <v>-116.42989500000002</v>
      </c>
      <c r="AG21" s="3">
        <v>-244.18847784128664</v>
      </c>
      <c r="AH21" s="3">
        <v>-244.18847784128664</v>
      </c>
      <c r="AI21" s="3">
        <v>-226.44252857967115</v>
      </c>
      <c r="AJ21" s="3">
        <v>-226.44252857967115</v>
      </c>
      <c r="AK21" s="3">
        <v>-226.44252857967115</v>
      </c>
      <c r="AL21" s="3">
        <v>-321.9027000000001</v>
      </c>
      <c r="AM21" s="3">
        <v>-164.91728699999999</v>
      </c>
      <c r="AN21" s="3">
        <v>-270.44656200000009</v>
      </c>
      <c r="AO21" s="3">
        <v>-202.67418199999997</v>
      </c>
      <c r="AP21" s="3">
        <v>-194.36581600000002</v>
      </c>
      <c r="AQ21" s="3">
        <v>16.560618999999946</v>
      </c>
      <c r="AR21" s="3">
        <v>-243.63695122874921</v>
      </c>
      <c r="AS21" s="3">
        <v>-243.63695122874921</v>
      </c>
      <c r="AT21" s="3">
        <v>-243.63695122874921</v>
      </c>
      <c r="AU21" s="3">
        <v>-225.93108315101685</v>
      </c>
      <c r="AV21" s="3">
        <v>-225.93108315101685</v>
      </c>
      <c r="AW21" s="3">
        <v>-225.93108315101685</v>
      </c>
      <c r="AX21" s="3">
        <v>-194.20263900987618</v>
      </c>
      <c r="AY21" s="3">
        <v>-194.20263900987618</v>
      </c>
      <c r="AZ21" s="3">
        <v>-194.20263900987618</v>
      </c>
      <c r="BA21" s="3">
        <v>-210.73616513809486</v>
      </c>
      <c r="BB21" s="3">
        <v>-210.73616513809486</v>
      </c>
      <c r="BC21" s="3">
        <v>-210.73616513809486</v>
      </c>
      <c r="BD21" s="3">
        <v>-227.25123109140713</v>
      </c>
      <c r="BE21" s="3">
        <v>-227.25123109140713</v>
      </c>
      <c r="BF21" s="3">
        <v>-227.25123109140713</v>
      </c>
      <c r="BG21" s="3">
        <v>-210.73616513809486</v>
      </c>
      <c r="BH21" s="3">
        <v>-210.73616513809486</v>
      </c>
      <c r="BI21" s="3">
        <v>-210.73616513809486</v>
      </c>
    </row>
    <row r="22" spans="1:61" ht="14.45" x14ac:dyDescent="0.35">
      <c r="A22" s="1" t="s">
        <v>30</v>
      </c>
      <c r="B22" s="3">
        <v>0</v>
      </c>
      <c r="C22" s="3">
        <v>-3.0000000000000001E-6</v>
      </c>
      <c r="D22" s="3">
        <v>0</v>
      </c>
      <c r="E22" s="3">
        <v>-0.52585599999999999</v>
      </c>
      <c r="F22" s="3">
        <v>-1.3849999999999999E-3</v>
      </c>
      <c r="G22" s="3">
        <v>-3.0506519999999999</v>
      </c>
      <c r="H22" s="3">
        <v>-1.3013E-2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-5.4887999999999999E-2</v>
      </c>
      <c r="O22" s="3">
        <v>5.7399999999999997E-4</v>
      </c>
      <c r="P22" s="3">
        <v>3.6900000000000002E-4</v>
      </c>
      <c r="Q22" s="3">
        <v>-0.15756699999999998</v>
      </c>
      <c r="R22" s="3">
        <v>-1.6477460000000002</v>
      </c>
      <c r="S22" s="3">
        <v>-0.117988</v>
      </c>
      <c r="T22" s="3">
        <v>2.908E-3</v>
      </c>
      <c r="U22" s="3">
        <v>1.003E-3</v>
      </c>
      <c r="V22" s="3">
        <v>-7.7792E-2</v>
      </c>
      <c r="W22" s="3">
        <v>-14.376119000000001</v>
      </c>
      <c r="X22" s="3">
        <v>-3.6977140000000004</v>
      </c>
      <c r="Y22" s="3">
        <v>-7.7292120000000004</v>
      </c>
      <c r="Z22" s="3">
        <v>0</v>
      </c>
      <c r="AA22" s="3">
        <v>-3.0000000000000001E-6</v>
      </c>
      <c r="AB22" s="3">
        <v>0</v>
      </c>
      <c r="AC22" s="3">
        <v>-0.52585599999999999</v>
      </c>
      <c r="AD22" s="3">
        <v>-1.3849999999999999E-3</v>
      </c>
      <c r="AE22" s="3">
        <v>-3.0506519999999999</v>
      </c>
      <c r="AF22" s="3">
        <v>-1.3013E-2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-3.0000000000000001E-6</v>
      </c>
      <c r="AN22" s="3">
        <v>0</v>
      </c>
      <c r="AO22" s="3">
        <v>-0.52585599999999999</v>
      </c>
      <c r="AP22" s="3">
        <v>-1.3849999999999999E-3</v>
      </c>
      <c r="AQ22" s="3">
        <v>-3.0506519999999999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-530.48079200000018</v>
      </c>
      <c r="C27" s="3">
        <v>-373.25188699999995</v>
      </c>
      <c r="D27" s="3">
        <v>-536.306015</v>
      </c>
      <c r="E27" s="3">
        <v>-412.54177099999998</v>
      </c>
      <c r="F27" s="3">
        <v>-399.18649000000005</v>
      </c>
      <c r="G27" s="3">
        <v>-472.97957499999995</v>
      </c>
      <c r="H27" s="3">
        <v>-398.28530000000006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-287.341431</v>
      </c>
      <c r="O27" s="3">
        <v>-282.27173200000004</v>
      </c>
      <c r="P27" s="3">
        <v>-419.6290239999999</v>
      </c>
      <c r="Q27" s="3">
        <v>-342.20131400000002</v>
      </c>
      <c r="R27" s="3">
        <v>-340.67800699999998</v>
      </c>
      <c r="S27" s="3">
        <v>-385.44266099999999</v>
      </c>
      <c r="T27" s="3">
        <v>-350.63251699999995</v>
      </c>
      <c r="U27" s="3">
        <v>-374.19705199999999</v>
      </c>
      <c r="V27" s="3">
        <v>-414.77824599999997</v>
      </c>
      <c r="W27" s="3">
        <v>-448.37054700000004</v>
      </c>
      <c r="X27" s="3">
        <v>-374.97463900000002</v>
      </c>
      <c r="Y27" s="3">
        <v>-408.18851699999999</v>
      </c>
      <c r="Z27" s="3">
        <v>-530.48079200000018</v>
      </c>
      <c r="AA27" s="3">
        <v>-373.25188699999995</v>
      </c>
      <c r="AB27" s="3">
        <v>-536.306015</v>
      </c>
      <c r="AC27" s="3">
        <v>-412.54177099999998</v>
      </c>
      <c r="AD27" s="3">
        <v>-399.18649000000005</v>
      </c>
      <c r="AE27" s="3">
        <v>-472.97957499999995</v>
      </c>
      <c r="AF27" s="3">
        <v>-398.28530000000006</v>
      </c>
      <c r="AG27" s="3">
        <v>-444.87740391096258</v>
      </c>
      <c r="AH27" s="3">
        <v>-444.87740391096258</v>
      </c>
      <c r="AI27" s="3">
        <v>-412.26560827381553</v>
      </c>
      <c r="AJ27" s="3">
        <v>-412.26560827381553</v>
      </c>
      <c r="AK27" s="3">
        <v>-412.26560827381553</v>
      </c>
      <c r="AL27" s="3">
        <v>-530.48079200000018</v>
      </c>
      <c r="AM27" s="3">
        <v>-373.25188699999995</v>
      </c>
      <c r="AN27" s="3">
        <v>-536.306015</v>
      </c>
      <c r="AO27" s="3">
        <v>-412.54177099999998</v>
      </c>
      <c r="AP27" s="3">
        <v>-399.18649000000005</v>
      </c>
      <c r="AQ27" s="3">
        <v>-472.97957499999995</v>
      </c>
      <c r="AR27" s="3">
        <v>-443.87259922180374</v>
      </c>
      <c r="AS27" s="3">
        <v>-443.87259922180374</v>
      </c>
      <c r="AT27" s="3">
        <v>-443.87259922180374</v>
      </c>
      <c r="AU27" s="3">
        <v>-411.33446092236369</v>
      </c>
      <c r="AV27" s="3">
        <v>-411.33446092236369</v>
      </c>
      <c r="AW27" s="3">
        <v>-411.33446092236369</v>
      </c>
      <c r="AX27" s="3">
        <v>-353.32050501705709</v>
      </c>
      <c r="AY27" s="3">
        <v>-353.32050501705709</v>
      </c>
      <c r="AZ27" s="3">
        <v>-353.32050501705709</v>
      </c>
      <c r="BA27" s="3">
        <v>-383.67030191230373</v>
      </c>
      <c r="BB27" s="3">
        <v>-383.67030191230373</v>
      </c>
      <c r="BC27" s="3">
        <v>-383.67030191230373</v>
      </c>
      <c r="BD27" s="3">
        <v>-414.02009880755276</v>
      </c>
      <c r="BE27" s="3">
        <v>-414.02009880755276</v>
      </c>
      <c r="BF27" s="3">
        <v>-414.02009880755276</v>
      </c>
      <c r="BG27" s="3">
        <v>-383.67030191230373</v>
      </c>
      <c r="BH27" s="3">
        <v>-383.67030191230373</v>
      </c>
      <c r="BI27" s="3">
        <v>-383.67030191230373</v>
      </c>
    </row>
    <row r="28" spans="1:61" x14ac:dyDescent="0.25">
      <c r="A28" s="1" t="s">
        <v>97</v>
      </c>
      <c r="B28" s="3">
        <v>-497.0642840000001</v>
      </c>
      <c r="C28" s="3">
        <v>-339.48449899999991</v>
      </c>
      <c r="D28" s="3">
        <v>-503.50716600000004</v>
      </c>
      <c r="E28" s="3">
        <v>-377.19152800000001</v>
      </c>
      <c r="F28" s="3">
        <v>-364.40282600000006</v>
      </c>
      <c r="G28" s="3">
        <v>-411.30997299999996</v>
      </c>
      <c r="H28" s="3">
        <v>-355.19538200000005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-253.141378</v>
      </c>
      <c r="O28" s="3">
        <v>-249.20804500000006</v>
      </c>
      <c r="P28" s="3">
        <v>-364.30615499999988</v>
      </c>
      <c r="Q28" s="3">
        <v>-332.11577800000003</v>
      </c>
      <c r="R28" s="3">
        <v>-308.79101299999991</v>
      </c>
      <c r="S28" s="3">
        <v>-357.42892799999998</v>
      </c>
      <c r="T28" s="3">
        <v>-318.98878999999999</v>
      </c>
      <c r="U28" s="3">
        <v>-342.824209</v>
      </c>
      <c r="V28" s="3">
        <v>-384.17787799999996</v>
      </c>
      <c r="W28" s="3">
        <v>-414.985028</v>
      </c>
      <c r="X28" s="3">
        <v>-341.24400500000002</v>
      </c>
      <c r="Y28" s="3">
        <v>-375.06645999999995</v>
      </c>
      <c r="Z28" s="3">
        <v>-497.0642840000001</v>
      </c>
      <c r="AA28" s="3">
        <v>-339.48449899999991</v>
      </c>
      <c r="AB28" s="3">
        <v>-503.50716600000004</v>
      </c>
      <c r="AC28" s="3">
        <v>-377.19152800000001</v>
      </c>
      <c r="AD28" s="3">
        <v>-364.40282600000006</v>
      </c>
      <c r="AE28" s="3">
        <v>-411.30997299999996</v>
      </c>
      <c r="AF28" s="3">
        <v>-355.19538200000005</v>
      </c>
      <c r="AG28" s="3">
        <v>-405.61367152262568</v>
      </c>
      <c r="AH28" s="3">
        <v>-405.61367152262568</v>
      </c>
      <c r="AI28" s="3">
        <v>-375.9103005068369</v>
      </c>
      <c r="AJ28" s="3">
        <v>-375.9103005068369</v>
      </c>
      <c r="AK28" s="3">
        <v>-375.9103005068369</v>
      </c>
      <c r="AL28" s="3">
        <v>-497.0642840000001</v>
      </c>
      <c r="AM28" s="3">
        <v>-339.48449899999991</v>
      </c>
      <c r="AN28" s="3">
        <v>-503.50716600000004</v>
      </c>
      <c r="AO28" s="3">
        <v>-377.19152800000001</v>
      </c>
      <c r="AP28" s="3">
        <v>-364.40282600000006</v>
      </c>
      <c r="AQ28" s="3">
        <v>-411.30997299999996</v>
      </c>
      <c r="AR28" s="3">
        <v>-404.69754830407169</v>
      </c>
      <c r="AS28" s="3">
        <v>-404.69754830407169</v>
      </c>
      <c r="AT28" s="3">
        <v>-404.69754830407169</v>
      </c>
      <c r="AU28" s="3">
        <v>-375.06126562816735</v>
      </c>
      <c r="AV28" s="3">
        <v>-375.06126562816735</v>
      </c>
      <c r="AW28" s="3">
        <v>-375.06126562816735</v>
      </c>
      <c r="AX28" s="3">
        <v>-322.17508324999289</v>
      </c>
      <c r="AY28" s="3">
        <v>-322.17508324999289</v>
      </c>
      <c r="AZ28" s="3">
        <v>-322.17508324999289</v>
      </c>
      <c r="BA28" s="3">
        <v>-349.83664800778683</v>
      </c>
      <c r="BB28" s="3">
        <v>-349.83664800778683</v>
      </c>
      <c r="BC28" s="3">
        <v>-349.83664800778683</v>
      </c>
      <c r="BD28" s="3">
        <v>-377.47975259067454</v>
      </c>
      <c r="BE28" s="3">
        <v>-377.47975259067454</v>
      </c>
      <c r="BF28" s="3">
        <v>-377.47975259067454</v>
      </c>
      <c r="BG28" s="3">
        <v>-349.83664800778683</v>
      </c>
      <c r="BH28" s="3">
        <v>-349.83664800778683</v>
      </c>
      <c r="BI28" s="3">
        <v>-349.83664800778683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-143.50721700000003</v>
      </c>
      <c r="C30" s="3">
        <v>-142.57138599999999</v>
      </c>
      <c r="D30" s="3">
        <v>-202.10214300000001</v>
      </c>
      <c r="E30" s="3">
        <v>-140.39272099999999</v>
      </c>
      <c r="F30" s="3">
        <v>-137.02326099999999</v>
      </c>
      <c r="G30" s="3">
        <v>-213.88379900000001</v>
      </c>
      <c r="H30" s="3">
        <v>-175.87455299999999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-86.898514000000006</v>
      </c>
      <c r="O30" s="3">
        <v>-83.882595000000009</v>
      </c>
      <c r="P30" s="3">
        <v>-144.69116299999999</v>
      </c>
      <c r="Q30" s="3">
        <v>-36.444338000000002</v>
      </c>
      <c r="R30" s="3">
        <v>-96.333314000000001</v>
      </c>
      <c r="S30" s="3">
        <v>-137.825197</v>
      </c>
      <c r="T30" s="3">
        <v>-130.41700600000001</v>
      </c>
      <c r="U30" s="3">
        <v>-128.991895</v>
      </c>
      <c r="V30" s="3">
        <v>-123.72344400000001</v>
      </c>
      <c r="W30" s="3">
        <v>-143.77443099999999</v>
      </c>
      <c r="X30" s="3">
        <v>-130.26456999999999</v>
      </c>
      <c r="Y30" s="3">
        <v>-128.25554599999998</v>
      </c>
      <c r="Z30" s="3">
        <v>-143.50721700000003</v>
      </c>
      <c r="AA30" s="3">
        <v>-142.57138599999999</v>
      </c>
      <c r="AB30" s="3">
        <v>-202.10214300000001</v>
      </c>
      <c r="AC30" s="3">
        <v>-140.39272099999999</v>
      </c>
      <c r="AD30" s="3">
        <v>-137.02326099999999</v>
      </c>
      <c r="AE30" s="3">
        <v>-213.88379900000001</v>
      </c>
      <c r="AF30" s="3">
        <v>-175.87455299999999</v>
      </c>
      <c r="AG30" s="3">
        <v>-121.6018268882021</v>
      </c>
      <c r="AH30" s="3">
        <v>-121.6018268882021</v>
      </c>
      <c r="AI30" s="3">
        <v>-112.5942841557427</v>
      </c>
      <c r="AJ30" s="3">
        <v>-112.5942841557427</v>
      </c>
      <c r="AK30" s="3">
        <v>-112.5942841557427</v>
      </c>
      <c r="AL30" s="3">
        <v>-143.50721700000003</v>
      </c>
      <c r="AM30" s="3">
        <v>-142.57138599999999</v>
      </c>
      <c r="AN30" s="3">
        <v>-202.10214300000001</v>
      </c>
      <c r="AO30" s="3">
        <v>-140.39272099999999</v>
      </c>
      <c r="AP30" s="3">
        <v>-137.02326099999999</v>
      </c>
      <c r="AQ30" s="3">
        <v>-213.88379900000001</v>
      </c>
      <c r="AR30" s="3">
        <v>-121.3271757488244</v>
      </c>
      <c r="AS30" s="3">
        <v>-121.3271757488244</v>
      </c>
      <c r="AT30" s="3">
        <v>-121.3271757488244</v>
      </c>
      <c r="AU30" s="3">
        <v>-112.33997754520779</v>
      </c>
      <c r="AV30" s="3">
        <v>-112.33997754520779</v>
      </c>
      <c r="AW30" s="3">
        <v>-112.33997754520779</v>
      </c>
      <c r="AX30" s="3">
        <v>-96.401823383692317</v>
      </c>
      <c r="AY30" s="3">
        <v>-96.401823383692317</v>
      </c>
      <c r="AZ30" s="3">
        <v>-96.401823383692317</v>
      </c>
      <c r="BA30" s="3">
        <v>-104.78459063444815</v>
      </c>
      <c r="BB30" s="3">
        <v>-104.78459063444815</v>
      </c>
      <c r="BC30" s="3">
        <v>-104.78459063444815</v>
      </c>
      <c r="BD30" s="3">
        <v>-113.16735788520398</v>
      </c>
      <c r="BE30" s="3">
        <v>-113.16735788520398</v>
      </c>
      <c r="BF30" s="3">
        <v>-113.16735788520398</v>
      </c>
      <c r="BG30" s="3">
        <v>-104.78459063444815</v>
      </c>
      <c r="BH30" s="3">
        <v>-104.78459063444815</v>
      </c>
      <c r="BI30" s="3">
        <v>-104.78459063444815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" t="s">
        <v>37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" t="s">
        <v>118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" t="s">
        <v>131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-10.396061</v>
      </c>
      <c r="C43" s="3">
        <v>-10.508206000000001</v>
      </c>
      <c r="D43" s="3">
        <v>-10.16751</v>
      </c>
      <c r="E43" s="3">
        <v>-11.014702</v>
      </c>
      <c r="F43" s="3">
        <v>-10.822318000000001</v>
      </c>
      <c r="G43" s="3">
        <v>-37.018432000000004</v>
      </c>
      <c r="H43" s="3">
        <v>-15.894189999999998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-4.7119920000000004</v>
      </c>
      <c r="O43" s="3">
        <v>-4.5484549999999997</v>
      </c>
      <c r="P43" s="3">
        <v>-7.8457439999999998</v>
      </c>
      <c r="Q43" s="3">
        <v>-1.1422619999999997</v>
      </c>
      <c r="R43" s="3">
        <v>-4.3578720000000004</v>
      </c>
      <c r="S43" s="3">
        <v>-0.54208200000000062</v>
      </c>
      <c r="T43" s="3">
        <v>-4.3515059999999997</v>
      </c>
      <c r="U43" s="3">
        <v>-4.3056380000000001</v>
      </c>
      <c r="V43" s="3">
        <v>-4.2016559999999998</v>
      </c>
      <c r="W43" s="3">
        <v>-4.5740859999999994</v>
      </c>
      <c r="X43" s="3">
        <v>-4.617731</v>
      </c>
      <c r="Y43" s="3">
        <v>-4.5367100000000002</v>
      </c>
      <c r="Z43" s="3">
        <v>-10.396061</v>
      </c>
      <c r="AA43" s="3">
        <v>-10.508206000000001</v>
      </c>
      <c r="AB43" s="3">
        <v>-10.16751</v>
      </c>
      <c r="AC43" s="3">
        <v>-11.014702</v>
      </c>
      <c r="AD43" s="3">
        <v>-10.822318000000001</v>
      </c>
      <c r="AE43" s="3">
        <v>-37.018432000000004</v>
      </c>
      <c r="AF43" s="3">
        <v>-15.894189999999998</v>
      </c>
      <c r="AG43" s="3">
        <v>-13.055674562624327</v>
      </c>
      <c r="AH43" s="3">
        <v>-13.055674562624327</v>
      </c>
      <c r="AI43" s="3">
        <v>-12.088587557985502</v>
      </c>
      <c r="AJ43" s="3">
        <v>-12.088587557985502</v>
      </c>
      <c r="AK43" s="3">
        <v>-12.088587557985502</v>
      </c>
      <c r="AL43" s="3">
        <v>-10.396061</v>
      </c>
      <c r="AM43" s="3">
        <v>-10.508206000000001</v>
      </c>
      <c r="AN43" s="3">
        <v>-10.16751</v>
      </c>
      <c r="AO43" s="3">
        <v>-11.014702</v>
      </c>
      <c r="AP43" s="3">
        <v>-10.822318000000001</v>
      </c>
      <c r="AQ43" s="3">
        <v>-37.018432000000004</v>
      </c>
      <c r="AR43" s="3">
        <v>-13.026186881511887</v>
      </c>
      <c r="AS43" s="3">
        <v>-13.026186881511887</v>
      </c>
      <c r="AT43" s="3">
        <v>-13.026186881511887</v>
      </c>
      <c r="AU43" s="3">
        <v>-12.061284149548058</v>
      </c>
      <c r="AV43" s="3">
        <v>-12.061284149548058</v>
      </c>
      <c r="AW43" s="3">
        <v>-12.061284149548058</v>
      </c>
      <c r="AX43" s="3">
        <v>-10.368558241265823</v>
      </c>
      <c r="AY43" s="3">
        <v>-10.368558241265823</v>
      </c>
      <c r="AZ43" s="3">
        <v>-10.368558241265823</v>
      </c>
      <c r="BA43" s="3">
        <v>-11.250106593866454</v>
      </c>
      <c r="BB43" s="3">
        <v>-11.250106593866454</v>
      </c>
      <c r="BC43" s="3">
        <v>-11.250106593866454</v>
      </c>
      <c r="BD43" s="3">
        <v>-12.150115121375755</v>
      </c>
      <c r="BE43" s="3">
        <v>-12.150115121375755</v>
      </c>
      <c r="BF43" s="3">
        <v>-12.150115121375755</v>
      </c>
      <c r="BG43" s="3">
        <v>-11.250106593866454</v>
      </c>
      <c r="BH43" s="3">
        <v>-11.250106593866454</v>
      </c>
      <c r="BI43" s="3">
        <v>-11.250106593866454</v>
      </c>
    </row>
    <row r="44" spans="1:61" x14ac:dyDescent="0.25">
      <c r="A44" s="1" t="s">
        <v>133</v>
      </c>
      <c r="B44" s="3">
        <v>-23.020447000000001</v>
      </c>
      <c r="C44" s="3">
        <v>-23.259181999999999</v>
      </c>
      <c r="D44" s="3">
        <v>-22.631338999999997</v>
      </c>
      <c r="E44" s="3">
        <v>-24.335540999999999</v>
      </c>
      <c r="F44" s="3">
        <v>-23.961346000000002</v>
      </c>
      <c r="G44" s="3">
        <v>-24.65117</v>
      </c>
      <c r="H44" s="3">
        <v>-27.195727999999999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-29.488060999999998</v>
      </c>
      <c r="O44" s="3">
        <v>-28.515232000000001</v>
      </c>
      <c r="P44" s="3">
        <v>-47.477125000000001</v>
      </c>
      <c r="Q44" s="3">
        <v>-8.9432739999999988</v>
      </c>
      <c r="R44" s="3">
        <v>-27.529121999999997</v>
      </c>
      <c r="S44" s="3">
        <v>-27.471650999999998</v>
      </c>
      <c r="T44" s="3">
        <v>-27.292220999999998</v>
      </c>
      <c r="U44" s="3">
        <v>-27.067205000000001</v>
      </c>
      <c r="V44" s="3">
        <v>-26.398712</v>
      </c>
      <c r="W44" s="3">
        <v>-28.811433000000001</v>
      </c>
      <c r="X44" s="3">
        <v>-29.112903000000003</v>
      </c>
      <c r="Y44" s="3">
        <v>-28.585346999999999</v>
      </c>
      <c r="Z44" s="3">
        <v>-23.020447000000001</v>
      </c>
      <c r="AA44" s="3">
        <v>-23.259181999999999</v>
      </c>
      <c r="AB44" s="3">
        <v>-22.631338999999997</v>
      </c>
      <c r="AC44" s="3">
        <v>-24.335540999999999</v>
      </c>
      <c r="AD44" s="3">
        <v>-23.961346000000002</v>
      </c>
      <c r="AE44" s="3">
        <v>-24.65117</v>
      </c>
      <c r="AF44" s="3">
        <v>-27.195727999999999</v>
      </c>
      <c r="AG44" s="3">
        <v>-26.208057825712551</v>
      </c>
      <c r="AH44" s="3">
        <v>-26.208057825712551</v>
      </c>
      <c r="AI44" s="3">
        <v>-24.266720208993107</v>
      </c>
      <c r="AJ44" s="3">
        <v>-24.266720208993107</v>
      </c>
      <c r="AK44" s="3">
        <v>-24.266720208993107</v>
      </c>
      <c r="AL44" s="3">
        <v>-23.020447000000001</v>
      </c>
      <c r="AM44" s="3">
        <v>-23.259181999999999</v>
      </c>
      <c r="AN44" s="3">
        <v>-22.631338999999997</v>
      </c>
      <c r="AO44" s="3">
        <v>-24.335540999999999</v>
      </c>
      <c r="AP44" s="3">
        <v>-23.961346000000002</v>
      </c>
      <c r="AQ44" s="3">
        <v>-24.65117</v>
      </c>
      <c r="AR44" s="3">
        <v>-26.148864036220175</v>
      </c>
      <c r="AS44" s="3">
        <v>-26.148864036220175</v>
      </c>
      <c r="AT44" s="3">
        <v>-26.148864036220175</v>
      </c>
      <c r="AU44" s="3">
        <v>-24.211911144648312</v>
      </c>
      <c r="AV44" s="3">
        <v>-24.211911144648312</v>
      </c>
      <c r="AW44" s="3">
        <v>-24.211911144648312</v>
      </c>
      <c r="AX44" s="3">
        <v>-20.776863525798401</v>
      </c>
      <c r="AY44" s="3">
        <v>-20.776863525798401</v>
      </c>
      <c r="AZ44" s="3">
        <v>-20.776863525798401</v>
      </c>
      <c r="BA44" s="3">
        <v>-22.583547310650424</v>
      </c>
      <c r="BB44" s="3">
        <v>-22.583547310650424</v>
      </c>
      <c r="BC44" s="3">
        <v>-22.583547310650424</v>
      </c>
      <c r="BD44" s="3">
        <v>-24.390231095502457</v>
      </c>
      <c r="BE44" s="3">
        <v>-24.390231095502457</v>
      </c>
      <c r="BF44" s="3">
        <v>-24.390231095502457</v>
      </c>
      <c r="BG44" s="3">
        <v>-22.583547310650424</v>
      </c>
      <c r="BH44" s="3">
        <v>-22.583547310650424</v>
      </c>
      <c r="BI44" s="3">
        <v>-22.583547310650424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-14.14944</v>
      </c>
      <c r="C46" s="3">
        <v>-11.09904</v>
      </c>
      <c r="D46" s="3">
        <v>-10.34599</v>
      </c>
      <c r="E46" s="3">
        <v>-7.1448799999999997</v>
      </c>
      <c r="F46" s="3">
        <v>-2.1850200000000002</v>
      </c>
      <c r="G46" s="3">
        <v>-3.5020000000000003E-2</v>
      </c>
      <c r="H46" s="3">
        <v>-3.5020000000000003E-2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-1.8359299999999998</v>
      </c>
      <c r="O46" s="3">
        <v>-4.7175799999999999</v>
      </c>
      <c r="P46" s="3">
        <v>-5.6750299999999996</v>
      </c>
      <c r="Q46" s="3">
        <v>-6.1069599999999999</v>
      </c>
      <c r="R46" s="3">
        <v>-3.3348599999999999</v>
      </c>
      <c r="S46" s="3">
        <v>-3.67502</v>
      </c>
      <c r="T46" s="3">
        <v>-8.1708499999999997</v>
      </c>
      <c r="U46" s="3">
        <v>-8.5150199999999998</v>
      </c>
      <c r="V46" s="3">
        <v>-9.3520299999999992</v>
      </c>
      <c r="W46" s="3">
        <v>-10.642659999999999</v>
      </c>
      <c r="X46" s="3">
        <v>-15.04876</v>
      </c>
      <c r="Y46" s="3">
        <v>-16.087420000000002</v>
      </c>
      <c r="Z46" s="3">
        <v>-14.14944</v>
      </c>
      <c r="AA46" s="3">
        <v>-11.09904</v>
      </c>
      <c r="AB46" s="3">
        <v>-10.34599</v>
      </c>
      <c r="AC46" s="3">
        <v>-7.1448799999999997</v>
      </c>
      <c r="AD46" s="3">
        <v>-2.1850200000000002</v>
      </c>
      <c r="AE46" s="3">
        <v>-3.5020000000000003E-2</v>
      </c>
      <c r="AF46" s="3">
        <v>-3.5020000000000003E-2</v>
      </c>
      <c r="AG46" s="3">
        <v>-10</v>
      </c>
      <c r="AH46" s="3">
        <v>-10</v>
      </c>
      <c r="AI46" s="3">
        <v>-10</v>
      </c>
      <c r="AJ46" s="3">
        <v>-10</v>
      </c>
      <c r="AK46" s="3">
        <v>-10</v>
      </c>
      <c r="AL46" s="3">
        <v>-14.14944</v>
      </c>
      <c r="AM46" s="3">
        <v>-11.09904</v>
      </c>
      <c r="AN46" s="3">
        <v>-10.34599</v>
      </c>
      <c r="AO46" s="3">
        <v>-7.1448799999999997</v>
      </c>
      <c r="AP46" s="3">
        <v>-2.1850200000000002</v>
      </c>
      <c r="AQ46" s="3">
        <v>-3.5020000000000003E-2</v>
      </c>
      <c r="AR46" s="3">
        <v>-10</v>
      </c>
      <c r="AS46" s="3">
        <v>-10</v>
      </c>
      <c r="AT46" s="3">
        <v>-10</v>
      </c>
      <c r="AU46" s="3">
        <v>-10</v>
      </c>
      <c r="AV46" s="3">
        <v>-10</v>
      </c>
      <c r="AW46" s="3">
        <v>-10</v>
      </c>
      <c r="AX46" s="3">
        <v>-10</v>
      </c>
      <c r="AY46" s="3">
        <v>-10</v>
      </c>
      <c r="AZ46" s="3">
        <v>-10</v>
      </c>
      <c r="BA46" s="3">
        <v>-10</v>
      </c>
      <c r="BB46" s="3">
        <v>-10</v>
      </c>
      <c r="BC46" s="3">
        <v>-10</v>
      </c>
      <c r="BD46" s="3">
        <v>-10</v>
      </c>
      <c r="BE46" s="3">
        <v>-10</v>
      </c>
      <c r="BF46" s="3">
        <v>-10</v>
      </c>
      <c r="BG46" s="3">
        <v>-10</v>
      </c>
      <c r="BH46" s="3">
        <v>-10</v>
      </c>
      <c r="BI46" s="3">
        <v>-10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1" t="s">
        <v>44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</row>
    <row r="50" spans="1:61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1" t="s">
        <v>121</v>
      </c>
      <c r="B51" s="3">
        <v>-507.46034500000007</v>
      </c>
      <c r="C51" s="3">
        <v>-349.99270499999994</v>
      </c>
      <c r="D51" s="3">
        <v>-513.67467599999998</v>
      </c>
      <c r="E51" s="3">
        <v>-388.20623000000001</v>
      </c>
      <c r="F51" s="3">
        <v>-375.22514400000006</v>
      </c>
      <c r="G51" s="3">
        <v>-448.32840499999998</v>
      </c>
      <c r="H51" s="3">
        <v>-371.08957200000003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-257.85336999999998</v>
      </c>
      <c r="O51" s="3">
        <v>-253.75650000000005</v>
      </c>
      <c r="P51" s="3">
        <v>-372.1518989999999</v>
      </c>
      <c r="Q51" s="3">
        <v>-333.25803999999999</v>
      </c>
      <c r="R51" s="3">
        <v>-313.14888499999995</v>
      </c>
      <c r="S51" s="3">
        <v>-357.97100999999998</v>
      </c>
      <c r="T51" s="3">
        <v>-323.34029599999997</v>
      </c>
      <c r="U51" s="3">
        <v>-347.12984699999998</v>
      </c>
      <c r="V51" s="3">
        <v>-388.37953399999998</v>
      </c>
      <c r="W51" s="3">
        <v>-419.55911400000002</v>
      </c>
      <c r="X51" s="3">
        <v>-345.86173600000001</v>
      </c>
      <c r="Y51" s="3">
        <v>-379.60316999999998</v>
      </c>
      <c r="Z51" s="3">
        <v>-507.46034500000007</v>
      </c>
      <c r="AA51" s="3">
        <v>-349.99270499999994</v>
      </c>
      <c r="AB51" s="3">
        <v>-513.67467599999998</v>
      </c>
      <c r="AC51" s="3">
        <v>-388.20623000000001</v>
      </c>
      <c r="AD51" s="3">
        <v>-375.22514400000006</v>
      </c>
      <c r="AE51" s="3">
        <v>-448.32840499999998</v>
      </c>
      <c r="AF51" s="3">
        <v>-371.08957200000003</v>
      </c>
      <c r="AG51" s="3">
        <v>-418.66934608525003</v>
      </c>
      <c r="AH51" s="3">
        <v>-418.66934608525003</v>
      </c>
      <c r="AI51" s="3">
        <v>-387.99888806482244</v>
      </c>
      <c r="AJ51" s="3">
        <v>-387.99888806482244</v>
      </c>
      <c r="AK51" s="3">
        <v>-387.99888806482244</v>
      </c>
      <c r="AL51" s="3">
        <v>-507.46034500000007</v>
      </c>
      <c r="AM51" s="3">
        <v>-349.99270499999994</v>
      </c>
      <c r="AN51" s="3">
        <v>-513.67467599999998</v>
      </c>
      <c r="AO51" s="3">
        <v>-388.20623000000001</v>
      </c>
      <c r="AP51" s="3">
        <v>-375.22514400000006</v>
      </c>
      <c r="AQ51" s="3">
        <v>-448.32840499999998</v>
      </c>
      <c r="AR51" s="3">
        <v>-417.72373518558356</v>
      </c>
      <c r="AS51" s="3">
        <v>-417.72373518558356</v>
      </c>
      <c r="AT51" s="3">
        <v>-417.72373518558356</v>
      </c>
      <c r="AU51" s="3">
        <v>-387.12254977771539</v>
      </c>
      <c r="AV51" s="3">
        <v>-387.12254977771539</v>
      </c>
      <c r="AW51" s="3">
        <v>-387.12254977771539</v>
      </c>
      <c r="AX51" s="3">
        <v>-332.54364149125871</v>
      </c>
      <c r="AY51" s="3">
        <v>-332.54364149125871</v>
      </c>
      <c r="AZ51" s="3">
        <v>-332.54364149125871</v>
      </c>
      <c r="BA51" s="3">
        <v>-361.0867546016533</v>
      </c>
      <c r="BB51" s="3">
        <v>-361.0867546016533</v>
      </c>
      <c r="BC51" s="3">
        <v>-361.0867546016533</v>
      </c>
      <c r="BD51" s="3">
        <v>-389.62986771205027</v>
      </c>
      <c r="BE51" s="3">
        <v>-389.62986771205027</v>
      </c>
      <c r="BF51" s="3">
        <v>-389.62986771205027</v>
      </c>
      <c r="BG51" s="3">
        <v>-361.0867546016533</v>
      </c>
      <c r="BH51" s="3">
        <v>-361.0867546016533</v>
      </c>
      <c r="BI51" s="3">
        <v>-361.0867546016533</v>
      </c>
    </row>
    <row r="52" spans="1:61" x14ac:dyDescent="0.25">
      <c r="A52" s="1" t="s">
        <v>76</v>
      </c>
      <c r="B52" s="3">
        <v>-14.14944</v>
      </c>
      <c r="C52" s="3">
        <v>-11.09904</v>
      </c>
      <c r="D52" s="3">
        <v>-10.34599</v>
      </c>
      <c r="E52" s="3">
        <v>-7.1448799999999997</v>
      </c>
      <c r="F52" s="3">
        <v>-2.1850200000000002</v>
      </c>
      <c r="G52" s="3">
        <v>-3.5020000000000003E-2</v>
      </c>
      <c r="H52" s="3">
        <v>-3.5020000000000003E-2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-1.8359299999999998</v>
      </c>
      <c r="O52" s="3">
        <v>-4.7175799999999999</v>
      </c>
      <c r="P52" s="3">
        <v>-5.6750299999999996</v>
      </c>
      <c r="Q52" s="3">
        <v>-6.1069599999999999</v>
      </c>
      <c r="R52" s="3">
        <v>-3.3348599999999999</v>
      </c>
      <c r="S52" s="3">
        <v>-3.67502</v>
      </c>
      <c r="T52" s="3">
        <v>-8.1708499999999997</v>
      </c>
      <c r="U52" s="3">
        <v>-8.5150199999999998</v>
      </c>
      <c r="V52" s="3">
        <v>-9.3520299999999992</v>
      </c>
      <c r="W52" s="3">
        <v>-10.642659999999999</v>
      </c>
      <c r="X52" s="3">
        <v>-15.04876</v>
      </c>
      <c r="Y52" s="3">
        <v>-16.087420000000002</v>
      </c>
      <c r="Z52" s="3">
        <v>-14.14944</v>
      </c>
      <c r="AA52" s="3">
        <v>-11.09904</v>
      </c>
      <c r="AB52" s="3">
        <v>-10.34599</v>
      </c>
      <c r="AC52" s="3">
        <v>-7.1448799999999997</v>
      </c>
      <c r="AD52" s="3">
        <v>-2.1850200000000002</v>
      </c>
      <c r="AE52" s="3">
        <v>-3.5020000000000003E-2</v>
      </c>
      <c r="AF52" s="3">
        <v>-3.5020000000000003E-2</v>
      </c>
      <c r="AG52" s="3">
        <v>-10</v>
      </c>
      <c r="AH52" s="3">
        <v>-10</v>
      </c>
      <c r="AI52" s="3">
        <v>-10</v>
      </c>
      <c r="AJ52" s="3">
        <v>-10</v>
      </c>
      <c r="AK52" s="3">
        <v>-10</v>
      </c>
      <c r="AL52" s="3">
        <v>-14.14944</v>
      </c>
      <c r="AM52" s="3">
        <v>-11.09904</v>
      </c>
      <c r="AN52" s="3">
        <v>-10.34599</v>
      </c>
      <c r="AO52" s="3">
        <v>-7.1448799999999997</v>
      </c>
      <c r="AP52" s="3">
        <v>-2.1850200000000002</v>
      </c>
      <c r="AQ52" s="3">
        <v>-3.5020000000000003E-2</v>
      </c>
      <c r="AR52" s="3">
        <v>-10</v>
      </c>
      <c r="AS52" s="3">
        <v>-10</v>
      </c>
      <c r="AT52" s="3">
        <v>-10</v>
      </c>
      <c r="AU52" s="3">
        <v>-10</v>
      </c>
      <c r="AV52" s="3">
        <v>-10</v>
      </c>
      <c r="AW52" s="3">
        <v>-10</v>
      </c>
      <c r="AX52" s="3">
        <v>-10</v>
      </c>
      <c r="AY52" s="3">
        <v>-10</v>
      </c>
      <c r="AZ52" s="3">
        <v>-10</v>
      </c>
      <c r="BA52" s="3">
        <v>-10</v>
      </c>
      <c r="BB52" s="3">
        <v>-10</v>
      </c>
      <c r="BC52" s="3">
        <v>-10</v>
      </c>
      <c r="BD52" s="3">
        <v>-10</v>
      </c>
      <c r="BE52" s="3">
        <v>-10</v>
      </c>
      <c r="BF52" s="3">
        <v>-10</v>
      </c>
      <c r="BG52" s="3">
        <v>-10</v>
      </c>
      <c r="BH52" s="3">
        <v>-10</v>
      </c>
      <c r="BI52" s="3">
        <v>-10</v>
      </c>
    </row>
    <row r="53" spans="1:6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1" t="s">
        <v>105</v>
      </c>
      <c r="B54" s="7">
        <v>-544.63023200000021</v>
      </c>
      <c r="C54" s="7">
        <v>-384.35092700000001</v>
      </c>
      <c r="D54" s="7">
        <v>-546.65200500000003</v>
      </c>
      <c r="E54" s="7">
        <v>-419.68665099999998</v>
      </c>
      <c r="F54" s="7">
        <v>-401.37151000000006</v>
      </c>
      <c r="G54" s="7">
        <v>-473.01459499999993</v>
      </c>
      <c r="H54" s="7">
        <v>-398.32032000000004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-289.17736100000002</v>
      </c>
      <c r="O54" s="7">
        <v>-286.98931200000004</v>
      </c>
      <c r="P54" s="7">
        <v>-425.30405399999989</v>
      </c>
      <c r="Q54" s="7">
        <v>-348.30827400000004</v>
      </c>
      <c r="R54" s="7">
        <v>-344.01286699999997</v>
      </c>
      <c r="S54" s="7">
        <v>-389.117681</v>
      </c>
      <c r="T54" s="7">
        <v>-358.80336699999992</v>
      </c>
      <c r="U54" s="7">
        <v>-382.71207199999998</v>
      </c>
      <c r="V54" s="7">
        <v>-424.13027599999998</v>
      </c>
      <c r="W54" s="7">
        <v>-459.01320700000002</v>
      </c>
      <c r="X54" s="7">
        <v>-390.02339900000004</v>
      </c>
      <c r="Y54" s="7">
        <v>-424.275937</v>
      </c>
      <c r="Z54" s="7">
        <v>-544.63023200000021</v>
      </c>
      <c r="AA54" s="7">
        <v>-384.35092700000001</v>
      </c>
      <c r="AB54" s="7">
        <v>-546.65200500000003</v>
      </c>
      <c r="AC54" s="7">
        <v>-419.68665099999998</v>
      </c>
      <c r="AD54" s="7">
        <v>-401.37151000000006</v>
      </c>
      <c r="AE54" s="7">
        <v>-473.01459499999993</v>
      </c>
      <c r="AF54" s="7">
        <v>-398.32032000000004</v>
      </c>
      <c r="AG54" s="7">
        <v>-454.87740391096258</v>
      </c>
      <c r="AH54" s="7">
        <v>-454.87740391096258</v>
      </c>
      <c r="AI54" s="7">
        <v>-422.26560827381553</v>
      </c>
      <c r="AJ54" s="7">
        <v>-422.26560827381553</v>
      </c>
      <c r="AK54" s="7">
        <v>-422.26560827381553</v>
      </c>
      <c r="AL54" s="7">
        <v>-544.63023200000021</v>
      </c>
      <c r="AM54" s="7">
        <v>-384.35092700000001</v>
      </c>
      <c r="AN54" s="7">
        <v>-546.65200500000003</v>
      </c>
      <c r="AO54" s="7">
        <v>-419.68665099999998</v>
      </c>
      <c r="AP54" s="7">
        <v>-401.37151000000006</v>
      </c>
      <c r="AQ54" s="7">
        <v>-473.01459499999993</v>
      </c>
      <c r="AR54" s="7">
        <v>-453.87259922180374</v>
      </c>
      <c r="AS54" s="7">
        <v>-453.87259922180374</v>
      </c>
      <c r="AT54" s="7">
        <v>-453.87259922180374</v>
      </c>
      <c r="AU54" s="7">
        <v>-421.33446092236369</v>
      </c>
      <c r="AV54" s="7">
        <v>-421.33446092236369</v>
      </c>
      <c r="AW54" s="7">
        <v>-421.33446092236369</v>
      </c>
      <c r="AX54" s="7">
        <v>-363.32050501705709</v>
      </c>
      <c r="AY54" s="7">
        <v>-363.32050501705709</v>
      </c>
      <c r="AZ54" s="7">
        <v>-363.32050501705709</v>
      </c>
      <c r="BA54" s="7">
        <v>-393.67030191230373</v>
      </c>
      <c r="BB54" s="7">
        <v>-393.67030191230373</v>
      </c>
      <c r="BC54" s="7">
        <v>-393.67030191230373</v>
      </c>
      <c r="BD54" s="7">
        <v>-424.02009880755276</v>
      </c>
      <c r="BE54" s="7">
        <v>-424.02009880755276</v>
      </c>
      <c r="BF54" s="7">
        <v>-424.02009880755276</v>
      </c>
      <c r="BG54" s="7">
        <v>-393.67030191230373</v>
      </c>
      <c r="BH54" s="7">
        <v>-393.67030191230373</v>
      </c>
      <c r="BI54" s="7">
        <v>-393.67030191230373</v>
      </c>
    </row>
    <row r="56" spans="1:61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1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</row>
    <row r="59" spans="1:61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</row>
    <row r="60" spans="1:61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0</v>
      </c>
      <c r="D60" s="244">
        <f t="shared" si="5"/>
        <v>0</v>
      </c>
      <c r="E60" s="244">
        <f t="shared" si="5"/>
        <v>0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0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0</v>
      </c>
      <c r="U60" s="244">
        <f t="shared" si="5"/>
        <v>0</v>
      </c>
      <c r="V60" s="244">
        <f t="shared" si="5"/>
        <v>0</v>
      </c>
      <c r="W60" s="244">
        <f t="shared" si="5"/>
        <v>0</v>
      </c>
      <c r="X60" s="244">
        <f t="shared" si="5"/>
        <v>0</v>
      </c>
      <c r="Y60" s="244">
        <f t="shared" si="5"/>
        <v>0</v>
      </c>
      <c r="Z60" s="244">
        <f t="shared" si="5"/>
        <v>0</v>
      </c>
      <c r="AA60" s="244">
        <f t="shared" si="5"/>
        <v>0</v>
      </c>
      <c r="AB60" s="244">
        <f t="shared" si="5"/>
        <v>0</v>
      </c>
      <c r="AC60" s="244">
        <f t="shared" si="5"/>
        <v>0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0</v>
      </c>
      <c r="AM60" s="244">
        <f t="shared" si="5"/>
        <v>0</v>
      </c>
      <c r="AN60" s="244">
        <f t="shared" si="5"/>
        <v>0</v>
      </c>
      <c r="AO60" s="244">
        <f t="shared" si="5"/>
        <v>0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</row>
    <row r="61" spans="1:61" x14ac:dyDescent="0.25">
      <c r="A61" s="1" t="s">
        <v>110</v>
      </c>
      <c r="B61" s="244">
        <f>SUM(B12:B23,B43:B44,B52)-B54</f>
        <v>0</v>
      </c>
      <c r="C61" s="244">
        <f t="shared" ref="C61:BI61" si="6">SUM(C12:C23,C43:C44,C52)-C54</f>
        <v>0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0</v>
      </c>
      <c r="O61" s="244">
        <f t="shared" si="6"/>
        <v>0</v>
      </c>
      <c r="P61" s="244">
        <f t="shared" si="6"/>
        <v>0</v>
      </c>
      <c r="Q61" s="244">
        <f t="shared" si="6"/>
        <v>0</v>
      </c>
      <c r="R61" s="244">
        <f t="shared" si="6"/>
        <v>0</v>
      </c>
      <c r="S61" s="244">
        <f t="shared" si="6"/>
        <v>0</v>
      </c>
      <c r="T61" s="244">
        <f t="shared" si="6"/>
        <v>0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0</v>
      </c>
      <c r="Y61" s="244">
        <f t="shared" si="6"/>
        <v>0</v>
      </c>
      <c r="Z61" s="244">
        <f t="shared" si="6"/>
        <v>0</v>
      </c>
      <c r="AA61" s="244">
        <f t="shared" si="6"/>
        <v>0</v>
      </c>
      <c r="AB61" s="244">
        <f t="shared" si="6"/>
        <v>0</v>
      </c>
      <c r="AC61" s="244">
        <f t="shared" si="6"/>
        <v>0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0</v>
      </c>
      <c r="AM61" s="244">
        <f t="shared" si="6"/>
        <v>0</v>
      </c>
      <c r="AN61" s="244">
        <f t="shared" si="6"/>
        <v>0</v>
      </c>
      <c r="AO61" s="244">
        <f t="shared" si="6"/>
        <v>0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</row>
    <row r="62" spans="1:61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0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0</v>
      </c>
      <c r="O62" s="244">
        <f t="shared" si="7"/>
        <v>0</v>
      </c>
      <c r="P62" s="244">
        <f t="shared" si="7"/>
        <v>0</v>
      </c>
      <c r="Q62" s="244">
        <f t="shared" si="7"/>
        <v>0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0</v>
      </c>
      <c r="V62" s="244">
        <f t="shared" si="7"/>
        <v>0</v>
      </c>
      <c r="W62" s="244">
        <f t="shared" si="7"/>
        <v>0</v>
      </c>
      <c r="X62" s="244">
        <f t="shared" si="7"/>
        <v>0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</row>
    <row r="63" spans="1:61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0</v>
      </c>
      <c r="O63" s="244">
        <f t="shared" si="9"/>
        <v>0</v>
      </c>
      <c r="P63" s="244">
        <f t="shared" si="9"/>
        <v>0</v>
      </c>
      <c r="Q63" s="244">
        <f t="shared" si="9"/>
        <v>0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0</v>
      </c>
      <c r="V63" s="244">
        <f t="shared" si="9"/>
        <v>0</v>
      </c>
      <c r="W63" s="244">
        <f t="shared" si="9"/>
        <v>0</v>
      </c>
      <c r="X63" s="244">
        <f t="shared" si="9"/>
        <v>0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  <row r="64" spans="1:61" x14ac:dyDescent="0.25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x14ac:dyDescent="0.25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x14ac:dyDescent="0.2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BI67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5" width="11.28515625" bestFit="1" customWidth="1"/>
    <col min="6" max="6" width="10.140625" bestFit="1" customWidth="1"/>
    <col min="7" max="7" width="10.5703125" bestFit="1" customWidth="1"/>
    <col min="8" max="8" width="10.140625" bestFit="1" customWidth="1"/>
    <col min="9" max="9" width="11.28515625" bestFit="1" customWidth="1"/>
    <col min="10" max="18" width="10.140625" bestFit="1" customWidth="1"/>
    <col min="19" max="21" width="11.28515625" bestFit="1" customWidth="1"/>
    <col min="22" max="23" width="10.140625" bestFit="1" customWidth="1"/>
    <col min="24" max="24" width="11.28515625" bestFit="1" customWidth="1"/>
    <col min="25" max="25" width="10.140625" bestFit="1" customWidth="1"/>
    <col min="26" max="30" width="11.28515625" bestFit="1" customWidth="1"/>
    <col min="31" max="33" width="10.140625" bestFit="1" customWidth="1"/>
    <col min="34" max="34" width="11.28515625" bestFit="1" customWidth="1"/>
    <col min="35" max="37" width="10.140625" bestFit="1" customWidth="1"/>
    <col min="38" max="38" width="11.28515625" bestFit="1" customWidth="1"/>
    <col min="50" max="61" width="11.28515625" bestFit="1" customWidth="1"/>
  </cols>
  <sheetData>
    <row r="1" spans="1:61" ht="14.45" x14ac:dyDescent="0.35">
      <c r="A1" s="1" t="s">
        <v>5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-6.7907520000000261</v>
      </c>
      <c r="C12" s="3">
        <v>-26.79944299999994</v>
      </c>
      <c r="D12" s="3">
        <v>660.3582550000001</v>
      </c>
      <c r="E12" s="3">
        <v>-95.603324000000015</v>
      </c>
      <c r="F12" s="3">
        <v>168.49933800000008</v>
      </c>
      <c r="G12" s="3">
        <v>726.08103200000016</v>
      </c>
      <c r="H12" s="3">
        <v>-182.44030699999999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5.3271299999999968</v>
      </c>
      <c r="O12" s="3">
        <v>223.64491099999998</v>
      </c>
      <c r="P12" s="3">
        <v>241.65670299999999</v>
      </c>
      <c r="Q12" s="3">
        <v>112.13970599999999</v>
      </c>
      <c r="R12" s="3">
        <v>321.47381299999995</v>
      </c>
      <c r="S12" s="3">
        <v>560.33763199999999</v>
      </c>
      <c r="T12" s="3">
        <v>73.128884000000028</v>
      </c>
      <c r="U12" s="3">
        <v>-10.49432299999998</v>
      </c>
      <c r="V12" s="3">
        <v>730.52151500000002</v>
      </c>
      <c r="W12" s="3">
        <v>123.64712399999996</v>
      </c>
      <c r="X12" s="3">
        <v>108.71212799999998</v>
      </c>
      <c r="Y12" s="3">
        <v>447.60803300000003</v>
      </c>
      <c r="Z12" s="3">
        <v>-6.7907520000000261</v>
      </c>
      <c r="AA12" s="3">
        <v>-26.799442999999968</v>
      </c>
      <c r="AB12" s="3">
        <v>660.35825499999987</v>
      </c>
      <c r="AC12" s="3">
        <v>-95.603324000000015</v>
      </c>
      <c r="AD12" s="3">
        <v>168.49933799999997</v>
      </c>
      <c r="AE12" s="3">
        <v>726.08103200000016</v>
      </c>
      <c r="AF12" s="3">
        <v>-182.44030699999999</v>
      </c>
      <c r="AG12" s="3">
        <v>324.37827196841943</v>
      </c>
      <c r="AH12" s="3">
        <v>408.50300914581328</v>
      </c>
      <c r="AI12" s="3">
        <v>279.88363490120292</v>
      </c>
      <c r="AJ12" s="3">
        <v>355.39202760047857</v>
      </c>
      <c r="AK12" s="3">
        <v>270.86106722004382</v>
      </c>
      <c r="AL12" s="3">
        <v>-6.7907520000000261</v>
      </c>
      <c r="AM12" s="3">
        <v>-26.799442999999968</v>
      </c>
      <c r="AN12" s="3">
        <v>660.35825499999987</v>
      </c>
      <c r="AO12" s="3">
        <v>-95.603324000000015</v>
      </c>
      <c r="AP12" s="3">
        <v>168.49933799999997</v>
      </c>
      <c r="AQ12" s="3">
        <v>726.08103200000016</v>
      </c>
      <c r="AR12" s="3">
        <v>272.26192598182888</v>
      </c>
      <c r="AS12" s="3">
        <v>324.11316086018178</v>
      </c>
      <c r="AT12" s="3">
        <v>408.15924067858759</v>
      </c>
      <c r="AU12" s="3">
        <v>279.65404897541873</v>
      </c>
      <c r="AV12" s="3">
        <v>355.09116385377149</v>
      </c>
      <c r="AW12" s="3">
        <v>270.65548078078336</v>
      </c>
      <c r="AX12" s="3">
        <v>178.66343906821618</v>
      </c>
      <c r="AY12" s="3">
        <v>217.6463141956653</v>
      </c>
      <c r="AZ12" s="3">
        <v>297.59059983291098</v>
      </c>
      <c r="BA12" s="3">
        <v>264.05168073227691</v>
      </c>
      <c r="BB12" s="3">
        <v>287.89916842345048</v>
      </c>
      <c r="BC12" s="3">
        <v>334.67922867834881</v>
      </c>
      <c r="BD12" s="3">
        <v>258.3397893228165</v>
      </c>
      <c r="BE12" s="3">
        <v>304.1900570139901</v>
      </c>
      <c r="BF12" s="3">
        <v>362.29575214143927</v>
      </c>
      <c r="BG12" s="3">
        <v>268.83888406069622</v>
      </c>
      <c r="BH12" s="3">
        <v>343.60033175186982</v>
      </c>
      <c r="BI12" s="3">
        <v>261.39291836657412</v>
      </c>
    </row>
    <row r="13" spans="1:61" ht="14.45" x14ac:dyDescent="0.35">
      <c r="A13" s="1" t="s">
        <v>125</v>
      </c>
      <c r="B13" s="3">
        <v>48.415490000000005</v>
      </c>
      <c r="C13" s="3">
        <v>82.835747000000026</v>
      </c>
      <c r="D13" s="3">
        <v>116.98542499999999</v>
      </c>
      <c r="E13" s="3">
        <v>145.972114</v>
      </c>
      <c r="F13" s="3">
        <v>61.549588999999997</v>
      </c>
      <c r="G13" s="3">
        <v>98.870840000000001</v>
      </c>
      <c r="H13" s="3">
        <v>0.80235599999999963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-11.689374000000001</v>
      </c>
      <c r="O13" s="3">
        <v>56.693810999999997</v>
      </c>
      <c r="P13" s="3">
        <v>-1.2281019999999998</v>
      </c>
      <c r="Q13" s="3">
        <v>-4.7776770000000006</v>
      </c>
      <c r="R13" s="3">
        <v>64.045996000000002</v>
      </c>
      <c r="S13" s="3">
        <v>153.62809199999998</v>
      </c>
      <c r="T13" s="3">
        <v>29.233340999999999</v>
      </c>
      <c r="U13" s="3">
        <v>40.739879999999999</v>
      </c>
      <c r="V13" s="3">
        <v>93.680893999999981</v>
      </c>
      <c r="W13" s="3">
        <v>45.560375000000008</v>
      </c>
      <c r="X13" s="3">
        <v>84.159214000000006</v>
      </c>
      <c r="Y13" s="3">
        <v>169.87801899999999</v>
      </c>
      <c r="Z13" s="3">
        <v>48.415490000000005</v>
      </c>
      <c r="AA13" s="3">
        <v>82.835747000000026</v>
      </c>
      <c r="AB13" s="3">
        <v>116.98542499999999</v>
      </c>
      <c r="AC13" s="3">
        <v>145.972114</v>
      </c>
      <c r="AD13" s="3">
        <v>61.549588999999983</v>
      </c>
      <c r="AE13" s="3">
        <v>98.87084000000003</v>
      </c>
      <c r="AF13" s="3">
        <v>0.80235599999999963</v>
      </c>
      <c r="AG13" s="3">
        <v>166.20913257540136</v>
      </c>
      <c r="AH13" s="3">
        <v>173.73076997050481</v>
      </c>
      <c r="AI13" s="3">
        <v>80.652302534522377</v>
      </c>
      <c r="AJ13" s="3">
        <v>155.73023362717765</v>
      </c>
      <c r="AK13" s="3">
        <v>23.34329628277073</v>
      </c>
      <c r="AL13" s="3">
        <v>48.415490000000005</v>
      </c>
      <c r="AM13" s="3">
        <v>82.835747000000026</v>
      </c>
      <c r="AN13" s="3">
        <v>116.98542499999999</v>
      </c>
      <c r="AO13" s="3">
        <v>145.972114</v>
      </c>
      <c r="AP13" s="3">
        <v>61.549588999999983</v>
      </c>
      <c r="AQ13" s="3">
        <v>98.87084000000003</v>
      </c>
      <c r="AR13" s="3">
        <v>82.86236595195345</v>
      </c>
      <c r="AS13" s="3">
        <v>166.05794428095805</v>
      </c>
      <c r="AT13" s="3">
        <v>173.69851316696116</v>
      </c>
      <c r="AU13" s="3">
        <v>80.493545702934711</v>
      </c>
      <c r="AV13" s="3">
        <v>155.51051403193935</v>
      </c>
      <c r="AW13" s="3">
        <v>23.317651029342112</v>
      </c>
      <c r="AX13" s="3">
        <v>49.127017222428861</v>
      </c>
      <c r="AY13" s="3">
        <v>55.330410085492773</v>
      </c>
      <c r="AZ13" s="3">
        <v>76.266214400812302</v>
      </c>
      <c r="BA13" s="3">
        <v>29.536233170644305</v>
      </c>
      <c r="BB13" s="3">
        <v>189.14227746524014</v>
      </c>
      <c r="BC13" s="3">
        <v>32.888563191367972</v>
      </c>
      <c r="BD13" s="3">
        <v>57.874476235072166</v>
      </c>
      <c r="BE13" s="3">
        <v>116.104460529668</v>
      </c>
      <c r="BF13" s="3">
        <v>61.256263392731938</v>
      </c>
      <c r="BG13" s="3">
        <v>72.852721780559691</v>
      </c>
      <c r="BH13" s="3">
        <v>145.44284607515556</v>
      </c>
      <c r="BI13" s="3">
        <v>22.657864651913084</v>
      </c>
    </row>
    <row r="14" spans="1:61" ht="14.45" x14ac:dyDescent="0.35">
      <c r="A14" s="1" t="s">
        <v>40</v>
      </c>
      <c r="B14" s="3">
        <v>23.059443999999999</v>
      </c>
      <c r="C14" s="3">
        <v>9.2146519999999992</v>
      </c>
      <c r="D14" s="3">
        <v>56.526271000000001</v>
      </c>
      <c r="E14" s="3">
        <v>4.6149309999999986</v>
      </c>
      <c r="F14" s="3">
        <v>27.370991</v>
      </c>
      <c r="G14" s="3">
        <v>3.6564940000000021</v>
      </c>
      <c r="H14" s="3">
        <v>0.53771500000000216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1.7421320000000007</v>
      </c>
      <c r="O14" s="3">
        <v>26.128754999999998</v>
      </c>
      <c r="P14" s="3">
        <v>32.608592999999999</v>
      </c>
      <c r="Q14" s="3">
        <v>4.1910450000000008</v>
      </c>
      <c r="R14" s="3">
        <v>0.26306000000000029</v>
      </c>
      <c r="S14" s="3">
        <v>27.182015999999994</v>
      </c>
      <c r="T14" s="3">
        <v>4.7258529999999999</v>
      </c>
      <c r="U14" s="3">
        <v>14.268034</v>
      </c>
      <c r="V14" s="3">
        <v>94.887946999999983</v>
      </c>
      <c r="W14" s="3">
        <v>8.7681950000000004</v>
      </c>
      <c r="X14" s="3">
        <v>15.817932999999996</v>
      </c>
      <c r="Y14" s="3">
        <v>36.535170999999998</v>
      </c>
      <c r="Z14" s="3">
        <v>23.059443999999999</v>
      </c>
      <c r="AA14" s="3">
        <v>9.2146519999999992</v>
      </c>
      <c r="AB14" s="3">
        <v>56.526271000000008</v>
      </c>
      <c r="AC14" s="3">
        <v>4.6149309999999986</v>
      </c>
      <c r="AD14" s="3">
        <v>27.370991</v>
      </c>
      <c r="AE14" s="3">
        <v>3.6564940000000021</v>
      </c>
      <c r="AF14" s="3">
        <v>0.53771500000000216</v>
      </c>
      <c r="AG14" s="3">
        <v>31.621997127145125</v>
      </c>
      <c r="AH14" s="3">
        <v>16.089948486323458</v>
      </c>
      <c r="AI14" s="3">
        <v>34.577217737134205</v>
      </c>
      <c r="AJ14" s="3">
        <v>31.948594775901704</v>
      </c>
      <c r="AK14" s="3">
        <v>21.378058999162207</v>
      </c>
      <c r="AL14" s="3">
        <v>23.059443999999999</v>
      </c>
      <c r="AM14" s="3">
        <v>9.2146519999999992</v>
      </c>
      <c r="AN14" s="3">
        <v>56.526271000000008</v>
      </c>
      <c r="AO14" s="3">
        <v>4.6149309999999986</v>
      </c>
      <c r="AP14" s="3">
        <v>27.370991</v>
      </c>
      <c r="AQ14" s="3">
        <v>3.6564940000000021</v>
      </c>
      <c r="AR14" s="3">
        <v>32.461769684307519</v>
      </c>
      <c r="AS14" s="3">
        <v>31.588075289896349</v>
      </c>
      <c r="AT14" s="3">
        <v>16.075382360288895</v>
      </c>
      <c r="AU14" s="3">
        <v>34.539799676248869</v>
      </c>
      <c r="AV14" s="3">
        <v>31.913935281837691</v>
      </c>
      <c r="AW14" s="3">
        <v>21.348384645190983</v>
      </c>
      <c r="AX14" s="3">
        <v>32.587970109267744</v>
      </c>
      <c r="AY14" s="3">
        <v>15.597336858431369</v>
      </c>
      <c r="AZ14" s="3">
        <v>18.038880604249506</v>
      </c>
      <c r="BA14" s="3">
        <v>32.258139960849853</v>
      </c>
      <c r="BB14" s="3">
        <v>15.266330084595298</v>
      </c>
      <c r="BC14" s="3">
        <v>23.106883582922556</v>
      </c>
      <c r="BD14" s="3">
        <v>31.938899441195645</v>
      </c>
      <c r="BE14" s="3">
        <v>30.938429564941089</v>
      </c>
      <c r="BF14" s="3">
        <v>15.869906314104714</v>
      </c>
      <c r="BG14" s="3">
        <v>33.770983830413442</v>
      </c>
      <c r="BH14" s="3">
        <v>31.242373954158882</v>
      </c>
      <c r="BI14" s="3">
        <v>20.321246028406147</v>
      </c>
    </row>
    <row r="15" spans="1:61" ht="14.45" x14ac:dyDescent="0.35">
      <c r="A15" s="1" t="s">
        <v>41</v>
      </c>
      <c r="B15" s="3">
        <v>0.18241100000000005</v>
      </c>
      <c r="C15" s="3">
        <v>-0.40401600000000004</v>
      </c>
      <c r="D15" s="3">
        <v>0.31165299999999996</v>
      </c>
      <c r="E15" s="3">
        <v>-0.41740699999999992</v>
      </c>
      <c r="F15" s="3">
        <v>1.188917</v>
      </c>
      <c r="G15" s="3">
        <v>2.8076430000000001</v>
      </c>
      <c r="H15" s="3">
        <v>-0.49499899999999997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1.3238669999999997</v>
      </c>
      <c r="O15" s="3">
        <v>-0.61183700000000008</v>
      </c>
      <c r="P15" s="3">
        <v>-1.2590640000000002</v>
      </c>
      <c r="Q15" s="3">
        <v>1.4673560000000001</v>
      </c>
      <c r="R15" s="3">
        <v>-0.41125500000000004</v>
      </c>
      <c r="S15" s="3">
        <v>-0.50582399999999994</v>
      </c>
      <c r="T15" s="3">
        <v>-0.17152400000000001</v>
      </c>
      <c r="U15" s="3">
        <v>-0.24525600000000009</v>
      </c>
      <c r="V15" s="3">
        <v>2.7612750000000004</v>
      </c>
      <c r="W15" s="3">
        <v>-0.60092000000000001</v>
      </c>
      <c r="X15" s="3">
        <v>-0.59044699999999994</v>
      </c>
      <c r="Y15" s="3">
        <v>23.279950999999997</v>
      </c>
      <c r="Z15" s="3">
        <v>0.18241100000000005</v>
      </c>
      <c r="AA15" s="3">
        <v>-0.40401600000000004</v>
      </c>
      <c r="AB15" s="3">
        <v>0.31165299999999996</v>
      </c>
      <c r="AC15" s="3">
        <v>-0.41740699999999997</v>
      </c>
      <c r="AD15" s="3">
        <v>1.1889170000000002</v>
      </c>
      <c r="AE15" s="3">
        <v>2.8076429999999997</v>
      </c>
      <c r="AF15" s="3">
        <v>-0.49499899999999997</v>
      </c>
      <c r="AG15" s="3">
        <v>9.5835530487042853</v>
      </c>
      <c r="AH15" s="3">
        <v>0.3468378015141701</v>
      </c>
      <c r="AI15" s="3">
        <v>4.6479841056489466</v>
      </c>
      <c r="AJ15" s="3">
        <v>0.3993462348637753</v>
      </c>
      <c r="AK15" s="3">
        <v>-0.59986448760732736</v>
      </c>
      <c r="AL15" s="3">
        <v>0.18241100000000005</v>
      </c>
      <c r="AM15" s="3">
        <v>-0.40401600000000004</v>
      </c>
      <c r="AN15" s="3">
        <v>0.31165299999999996</v>
      </c>
      <c r="AO15" s="3">
        <v>-0.41740699999999997</v>
      </c>
      <c r="AP15" s="3">
        <v>1.1889170000000002</v>
      </c>
      <c r="AQ15" s="3">
        <v>2.8076429999999997</v>
      </c>
      <c r="AR15" s="3">
        <v>-0.6382642269887796</v>
      </c>
      <c r="AS15" s="3">
        <v>9.5619714434351621</v>
      </c>
      <c r="AT15" s="3">
        <v>0.34718855705112373</v>
      </c>
      <c r="AU15" s="3">
        <v>4.6375232998279809</v>
      </c>
      <c r="AV15" s="3">
        <v>0.3995989702519227</v>
      </c>
      <c r="AW15" s="3">
        <v>-0.59850962749371206</v>
      </c>
      <c r="AX15" s="3">
        <v>-0.4994838816136844</v>
      </c>
      <c r="AY15" s="3">
        <v>0.20126337097067937</v>
      </c>
      <c r="AZ15" s="3">
        <v>4.0780096338924983</v>
      </c>
      <c r="BA15" s="3">
        <v>-0.5495996144353319</v>
      </c>
      <c r="BB15" s="3">
        <v>9.4446112644412139</v>
      </c>
      <c r="BC15" s="3">
        <v>0.4018057696099413</v>
      </c>
      <c r="BD15" s="3">
        <v>-0.59533798388661641</v>
      </c>
      <c r="BE15" s="3">
        <v>8.5511328949899301</v>
      </c>
      <c r="BF15" s="3">
        <v>0.31754014757429294</v>
      </c>
      <c r="BG15" s="3">
        <v>3.9675675273630322</v>
      </c>
      <c r="BH15" s="3">
        <v>0.14433840623957817</v>
      </c>
      <c r="BI15" s="3">
        <v>-0.55825706643449446</v>
      </c>
    </row>
    <row r="16" spans="1:61" ht="14.45" x14ac:dyDescent="0.35">
      <c r="A16" s="1" t="s">
        <v>43</v>
      </c>
      <c r="B16" s="3">
        <v>105.58192499999998</v>
      </c>
      <c r="C16" s="3">
        <v>39.236587999999976</v>
      </c>
      <c r="D16" s="3">
        <v>194.55338700000001</v>
      </c>
      <c r="E16" s="3">
        <v>71.17071399999999</v>
      </c>
      <c r="F16" s="3">
        <v>168.74570499999999</v>
      </c>
      <c r="G16" s="3">
        <v>45.980222999999995</v>
      </c>
      <c r="H16" s="3">
        <v>-10.473172999999999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-6.9482309999999998</v>
      </c>
      <c r="O16" s="3">
        <v>1.2020830000000053</v>
      </c>
      <c r="P16" s="3">
        <v>-30.950657</v>
      </c>
      <c r="Q16" s="3">
        <v>35.583219</v>
      </c>
      <c r="R16" s="3">
        <v>-10.146207</v>
      </c>
      <c r="S16" s="3">
        <v>-20.047038999999998</v>
      </c>
      <c r="T16" s="3">
        <v>-13.490466999999995</v>
      </c>
      <c r="U16" s="3">
        <v>-13.134716000000001</v>
      </c>
      <c r="V16" s="3">
        <v>11.700415</v>
      </c>
      <c r="W16" s="3">
        <v>-17.667037000000001</v>
      </c>
      <c r="X16" s="3">
        <v>-0.55694500000000247</v>
      </c>
      <c r="Y16" s="3">
        <v>202.64091899999997</v>
      </c>
      <c r="Z16" s="3">
        <v>105.58192499999998</v>
      </c>
      <c r="AA16" s="3">
        <v>39.236587999999983</v>
      </c>
      <c r="AB16" s="3">
        <v>194.55338700000001</v>
      </c>
      <c r="AC16" s="3">
        <v>71.17071399999999</v>
      </c>
      <c r="AD16" s="3">
        <v>168.74570499999999</v>
      </c>
      <c r="AE16" s="3">
        <v>45.980222999999995</v>
      </c>
      <c r="AF16" s="3">
        <v>-10.473172999999999</v>
      </c>
      <c r="AG16" s="3">
        <v>69.449225586987581</v>
      </c>
      <c r="AH16" s="3">
        <v>207.8794879289604</v>
      </c>
      <c r="AI16" s="3">
        <v>93.362452270636197</v>
      </c>
      <c r="AJ16" s="3">
        <v>174.79675078359543</v>
      </c>
      <c r="AK16" s="3">
        <v>75.10148589137097</v>
      </c>
      <c r="AL16" s="3">
        <v>105.58192499999998</v>
      </c>
      <c r="AM16" s="3">
        <v>39.236587999999983</v>
      </c>
      <c r="AN16" s="3">
        <v>194.55338700000001</v>
      </c>
      <c r="AO16" s="3">
        <v>71.17071399999999</v>
      </c>
      <c r="AP16" s="3">
        <v>168.74570499999999</v>
      </c>
      <c r="AQ16" s="3">
        <v>45.980222999999995</v>
      </c>
      <c r="AR16" s="3">
        <v>83.038255819211471</v>
      </c>
      <c r="AS16" s="3">
        <v>69.376533889439472</v>
      </c>
      <c r="AT16" s="3">
        <v>207.6323892695915</v>
      </c>
      <c r="AU16" s="3">
        <v>93.261587588890634</v>
      </c>
      <c r="AV16" s="3">
        <v>174.57810565911865</v>
      </c>
      <c r="AW16" s="3">
        <v>75.040830501255428</v>
      </c>
      <c r="AX16" s="3">
        <v>45.201745016750429</v>
      </c>
      <c r="AY16" s="3">
        <v>90.801131953087292</v>
      </c>
      <c r="AZ16" s="3">
        <v>64.020416634771607</v>
      </c>
      <c r="BA16" s="3">
        <v>60.490944841738504</v>
      </c>
      <c r="BB16" s="3">
        <v>77.667165246243798</v>
      </c>
      <c r="BC16" s="3">
        <v>118.37527911891755</v>
      </c>
      <c r="BD16" s="3">
        <v>70.992273453210672</v>
      </c>
      <c r="BE16" s="3">
        <v>60.865233857715978</v>
      </c>
      <c r="BF16" s="3">
        <v>167.88106079405287</v>
      </c>
      <c r="BG16" s="3">
        <v>77.599099927928137</v>
      </c>
      <c r="BH16" s="3">
        <v>143.91833033243341</v>
      </c>
      <c r="BI16" s="3">
        <v>60.945688575136622</v>
      </c>
    </row>
    <row r="17" spans="1:61" ht="14.45" x14ac:dyDescent="0.35">
      <c r="A17" s="1" t="s">
        <v>126</v>
      </c>
      <c r="B17" s="3">
        <v>-4.3065119999999997</v>
      </c>
      <c r="C17" s="3">
        <v>7.5594430000000017</v>
      </c>
      <c r="D17" s="3">
        <v>70.511105999999998</v>
      </c>
      <c r="E17" s="3">
        <v>-5.8043600000000009</v>
      </c>
      <c r="F17" s="3">
        <v>11.606350999999997</v>
      </c>
      <c r="G17" s="3">
        <v>39.694062999999993</v>
      </c>
      <c r="H17" s="3">
        <v>-15.706538000000002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0.49373799999999957</v>
      </c>
      <c r="O17" s="3">
        <v>15.445967999999997</v>
      </c>
      <c r="P17" s="3">
        <v>3.875766999999998</v>
      </c>
      <c r="Q17" s="3">
        <v>-1.7288070000000002</v>
      </c>
      <c r="R17" s="3">
        <v>15.448786999999996</v>
      </c>
      <c r="S17" s="3">
        <v>15.775790000000001</v>
      </c>
      <c r="T17" s="3">
        <v>18.443187000000002</v>
      </c>
      <c r="U17" s="3">
        <v>11.688641000000004</v>
      </c>
      <c r="V17" s="3">
        <v>12.030941000000002</v>
      </c>
      <c r="W17" s="3">
        <v>2.4670570000000005</v>
      </c>
      <c r="X17" s="3">
        <v>3.2214990000000023</v>
      </c>
      <c r="Y17" s="3">
        <v>67.014037999999999</v>
      </c>
      <c r="Z17" s="3">
        <v>-4.3065119999999997</v>
      </c>
      <c r="AA17" s="3">
        <v>7.5594430000000017</v>
      </c>
      <c r="AB17" s="3">
        <v>70.511105999999998</v>
      </c>
      <c r="AC17" s="3">
        <v>-5.8043600000000009</v>
      </c>
      <c r="AD17" s="3">
        <v>11.606350999999997</v>
      </c>
      <c r="AE17" s="3">
        <v>39.694062999999993</v>
      </c>
      <c r="AF17" s="3">
        <v>-15.706538000000002</v>
      </c>
      <c r="AG17" s="3">
        <v>25.347014423029758</v>
      </c>
      <c r="AH17" s="3">
        <v>33.606054620661219</v>
      </c>
      <c r="AI17" s="3">
        <v>25.707604031727907</v>
      </c>
      <c r="AJ17" s="3">
        <v>27.948574328175088</v>
      </c>
      <c r="AK17" s="3">
        <v>23.374770506043394</v>
      </c>
      <c r="AL17" s="3">
        <v>-4.3065119999999997</v>
      </c>
      <c r="AM17" s="3">
        <v>7.5594430000000017</v>
      </c>
      <c r="AN17" s="3">
        <v>70.511105999999998</v>
      </c>
      <c r="AO17" s="3">
        <v>-5.8043600000000009</v>
      </c>
      <c r="AP17" s="3">
        <v>11.606350999999997</v>
      </c>
      <c r="AQ17" s="3">
        <v>39.694062999999993</v>
      </c>
      <c r="AR17" s="3">
        <v>35.125221765389171</v>
      </c>
      <c r="AS17" s="3">
        <v>25.321868023898006</v>
      </c>
      <c r="AT17" s="3">
        <v>33.567552196237216</v>
      </c>
      <c r="AU17" s="3">
        <v>25.678128390326961</v>
      </c>
      <c r="AV17" s="3">
        <v>27.916754648835791</v>
      </c>
      <c r="AW17" s="3">
        <v>23.349154403941085</v>
      </c>
      <c r="AX17" s="3">
        <v>5.730405269924697</v>
      </c>
      <c r="AY17" s="3">
        <v>22.409857529854953</v>
      </c>
      <c r="AZ17" s="3">
        <v>19.132398829506251</v>
      </c>
      <c r="BA17" s="3">
        <v>18.48150907900428</v>
      </c>
      <c r="BB17" s="3">
        <v>31.031862468899664</v>
      </c>
      <c r="BC17" s="3">
        <v>34.08636698876019</v>
      </c>
      <c r="BD17" s="3">
        <v>33.578072718397685</v>
      </c>
      <c r="BE17" s="3">
        <v>24.381576108293082</v>
      </c>
      <c r="BF17" s="3">
        <v>32.107518368223339</v>
      </c>
      <c r="BG17" s="3">
        <v>24.540343768550962</v>
      </c>
      <c r="BH17" s="3">
        <v>26.652797158446354</v>
      </c>
      <c r="BI17" s="3">
        <v>22.390093192383581</v>
      </c>
    </row>
    <row r="18" spans="1:61" ht="14.45" x14ac:dyDescent="0.35">
      <c r="A18" s="1" t="s">
        <v>127</v>
      </c>
      <c r="B18" s="3">
        <v>-9.8530119999999997</v>
      </c>
      <c r="C18" s="3">
        <v>-7.1641360000000009</v>
      </c>
      <c r="D18" s="3">
        <v>35.852688000000008</v>
      </c>
      <c r="E18" s="3">
        <v>-14.679193</v>
      </c>
      <c r="F18" s="3">
        <v>4.3099719999999975</v>
      </c>
      <c r="G18" s="3">
        <v>0.99502199999999519</v>
      </c>
      <c r="H18" s="3">
        <v>-25.374307999999999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11.923917000000001</v>
      </c>
      <c r="O18" s="3">
        <v>27.135946000000001</v>
      </c>
      <c r="P18" s="3">
        <v>-1.5655140000000021</v>
      </c>
      <c r="Q18" s="3">
        <v>22.796141000000006</v>
      </c>
      <c r="R18" s="3">
        <v>18.006617000000002</v>
      </c>
      <c r="S18" s="3">
        <v>29.238309000000001</v>
      </c>
      <c r="T18" s="3">
        <v>-5.5321290000000012</v>
      </c>
      <c r="U18" s="3">
        <v>-12.977627999999999</v>
      </c>
      <c r="V18" s="3">
        <v>18.754922999999998</v>
      </c>
      <c r="W18" s="3">
        <v>8.0946830000000052</v>
      </c>
      <c r="X18" s="3">
        <v>7.4922130000000031</v>
      </c>
      <c r="Y18" s="3">
        <v>44.47750700000001</v>
      </c>
      <c r="Z18" s="3">
        <v>-9.8530119999999997</v>
      </c>
      <c r="AA18" s="3">
        <v>-7.1641360000000009</v>
      </c>
      <c r="AB18" s="3">
        <v>35.852688000000008</v>
      </c>
      <c r="AC18" s="3">
        <v>-14.679193</v>
      </c>
      <c r="AD18" s="3">
        <v>4.3099719999999975</v>
      </c>
      <c r="AE18" s="3">
        <v>0.99502199999999519</v>
      </c>
      <c r="AF18" s="3">
        <v>-25.374307999999999</v>
      </c>
      <c r="AG18" s="3">
        <v>39.758851798022569</v>
      </c>
      <c r="AH18" s="3">
        <v>37.421344481412795</v>
      </c>
      <c r="AI18" s="3">
        <v>43.693161598672624</v>
      </c>
      <c r="AJ18" s="3">
        <v>38.905665623757962</v>
      </c>
      <c r="AK18" s="3">
        <v>16.004730038809171</v>
      </c>
      <c r="AL18" s="3">
        <v>-9.8530119999999997</v>
      </c>
      <c r="AM18" s="3">
        <v>-7.1641360000000009</v>
      </c>
      <c r="AN18" s="3">
        <v>35.852688000000008</v>
      </c>
      <c r="AO18" s="3">
        <v>-14.679193</v>
      </c>
      <c r="AP18" s="3">
        <v>4.3099719999999975</v>
      </c>
      <c r="AQ18" s="3">
        <v>0.99502199999999519</v>
      </c>
      <c r="AR18" s="3">
        <v>33.936690077498668</v>
      </c>
      <c r="AS18" s="3">
        <v>39.718278729287697</v>
      </c>
      <c r="AT18" s="3">
        <v>37.378231163813716</v>
      </c>
      <c r="AU18" s="3">
        <v>43.641734386142566</v>
      </c>
      <c r="AV18" s="3">
        <v>38.859513037931592</v>
      </c>
      <c r="AW18" s="3">
        <v>15.993916229005</v>
      </c>
      <c r="AX18" s="3">
        <v>11.797772314733272</v>
      </c>
      <c r="AY18" s="3">
        <v>40.527794453107475</v>
      </c>
      <c r="AZ18" s="3">
        <v>29.586125144978471</v>
      </c>
      <c r="BA18" s="3">
        <v>25.622762423106749</v>
      </c>
      <c r="BB18" s="3">
        <v>42.470395630668051</v>
      </c>
      <c r="BC18" s="3">
        <v>30.013369907416454</v>
      </c>
      <c r="BD18" s="3">
        <v>32.063022908796334</v>
      </c>
      <c r="BE18" s="3">
        <v>37.853386116357626</v>
      </c>
      <c r="BF18" s="3">
        <v>35.057438254731821</v>
      </c>
      <c r="BG18" s="3">
        <v>41.274956322539033</v>
      </c>
      <c r="BH18" s="3">
        <v>36.437149530100342</v>
      </c>
      <c r="BI18" s="3">
        <v>15.25828345463712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-0.24450900000000009</v>
      </c>
      <c r="C20" s="3">
        <v>-0.36906099999999997</v>
      </c>
      <c r="D20" s="3">
        <v>13.182966999999998</v>
      </c>
      <c r="E20" s="3">
        <v>-0.8446499999999999</v>
      </c>
      <c r="F20" s="3">
        <v>38.96944899999999</v>
      </c>
      <c r="G20" s="3">
        <v>55.379054000000004</v>
      </c>
      <c r="H20" s="3">
        <v>-1.5229739999999994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3.8402200000000004</v>
      </c>
      <c r="R20" s="3">
        <v>3.2683399999999998</v>
      </c>
      <c r="S20" s="3">
        <v>16.601120000000002</v>
      </c>
      <c r="T20" s="3">
        <v>5.9407999999999994</v>
      </c>
      <c r="U20" s="3">
        <v>2.5000000000000001E-3</v>
      </c>
      <c r="V20" s="3">
        <v>0.35287000000000002</v>
      </c>
      <c r="W20" s="3">
        <v>0</v>
      </c>
      <c r="X20" s="3">
        <v>3.81135</v>
      </c>
      <c r="Y20" s="3">
        <v>0.64081999999999995</v>
      </c>
      <c r="Z20" s="3">
        <v>-0.24450900000000009</v>
      </c>
      <c r="AA20" s="3">
        <v>-0.36906099999999997</v>
      </c>
      <c r="AB20" s="3">
        <v>13.182966999999998</v>
      </c>
      <c r="AC20" s="3">
        <v>-0.8446499999999999</v>
      </c>
      <c r="AD20" s="3">
        <v>38.96944899999999</v>
      </c>
      <c r="AE20" s="3">
        <v>55.379054000000004</v>
      </c>
      <c r="AF20" s="3">
        <v>-1.5229739999999994</v>
      </c>
      <c r="AG20" s="3">
        <v>6.1441315374163663</v>
      </c>
      <c r="AH20" s="3">
        <v>51.724182485241244</v>
      </c>
      <c r="AI20" s="3">
        <v>17.398489855896685</v>
      </c>
      <c r="AJ20" s="3">
        <v>19.256721277634004</v>
      </c>
      <c r="AK20" s="3">
        <v>19.255300130676392</v>
      </c>
      <c r="AL20" s="3">
        <v>-0.24450900000000009</v>
      </c>
      <c r="AM20" s="3">
        <v>-0.36906099999999997</v>
      </c>
      <c r="AN20" s="3">
        <v>13.182966999999998</v>
      </c>
      <c r="AO20" s="3">
        <v>-0.8446499999999999</v>
      </c>
      <c r="AP20" s="3">
        <v>38.96944899999999</v>
      </c>
      <c r="AQ20" s="3">
        <v>55.379054000000004</v>
      </c>
      <c r="AR20" s="3">
        <v>6.1411970485126748</v>
      </c>
      <c r="AS20" s="3">
        <v>6.1388338199452672</v>
      </c>
      <c r="AT20" s="3">
        <v>51.616248334233667</v>
      </c>
      <c r="AU20" s="3">
        <v>17.380637150752154</v>
      </c>
      <c r="AV20" s="3">
        <v>19.236813922184748</v>
      </c>
      <c r="AW20" s="3">
        <v>19.235395985044303</v>
      </c>
      <c r="AX20" s="3">
        <v>6.0318300394665636</v>
      </c>
      <c r="AY20" s="3">
        <v>6.0303605125096569</v>
      </c>
      <c r="AZ20" s="3">
        <v>17.222952877725124</v>
      </c>
      <c r="BA20" s="3">
        <v>5.9334063359770788</v>
      </c>
      <c r="BB20" s="3">
        <v>54.717222045541718</v>
      </c>
      <c r="BC20" s="3">
        <v>17.128202991627909</v>
      </c>
      <c r="BD20" s="3">
        <v>5.841595503793676</v>
      </c>
      <c r="BE20" s="3">
        <v>51.573321213358319</v>
      </c>
      <c r="BF20" s="3">
        <v>22.855351686401406</v>
      </c>
      <c r="BG20" s="3">
        <v>34.676084410757191</v>
      </c>
      <c r="BH20" s="3">
        <v>18.352690120321828</v>
      </c>
      <c r="BI20" s="3">
        <v>17.120267546060614</v>
      </c>
    </row>
    <row r="21" spans="1:61" ht="14.45" x14ac:dyDescent="0.35">
      <c r="A21" s="1" t="s">
        <v>130</v>
      </c>
      <c r="B21" s="3">
        <v>-243.65607300000011</v>
      </c>
      <c r="C21" s="3">
        <v>-19.976890999999995</v>
      </c>
      <c r="D21" s="3">
        <v>-16.368310000000093</v>
      </c>
      <c r="E21" s="3">
        <v>13.405955000000006</v>
      </c>
      <c r="F21" s="3">
        <v>81.208169999999967</v>
      </c>
      <c r="G21" s="3">
        <v>648.71939799999996</v>
      </c>
      <c r="H21" s="3">
        <v>214.93444100000002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-39.190312000000034</v>
      </c>
      <c r="O21" s="3">
        <v>41.691509999999937</v>
      </c>
      <c r="P21" s="3">
        <v>-35.373424999999955</v>
      </c>
      <c r="Q21" s="3">
        <v>-201.24485199999992</v>
      </c>
      <c r="R21" s="3">
        <v>-62.397109999999955</v>
      </c>
      <c r="S21" s="3">
        <v>114.09540299999998</v>
      </c>
      <c r="T21" s="3">
        <v>-55.552638999999999</v>
      </c>
      <c r="U21" s="3">
        <v>1.3073800000000801</v>
      </c>
      <c r="V21" s="3">
        <v>-44.817487999999912</v>
      </c>
      <c r="W21" s="3">
        <v>48.103550000000013</v>
      </c>
      <c r="X21" s="3">
        <v>-19.306237000000039</v>
      </c>
      <c r="Y21" s="3">
        <v>215.6593849999999</v>
      </c>
      <c r="Z21" s="3">
        <v>-243.65607300000008</v>
      </c>
      <c r="AA21" s="3">
        <v>-19.976890999999995</v>
      </c>
      <c r="AB21" s="3">
        <v>-16.368310000000093</v>
      </c>
      <c r="AC21" s="3">
        <v>13.405955000000034</v>
      </c>
      <c r="AD21" s="3">
        <v>81.208169999999967</v>
      </c>
      <c r="AE21" s="3">
        <v>648.71939799999996</v>
      </c>
      <c r="AF21" s="3">
        <v>214.93444100000002</v>
      </c>
      <c r="AG21" s="3">
        <v>-24.475902944025023</v>
      </c>
      <c r="AH21" s="3">
        <v>309.46752310641045</v>
      </c>
      <c r="AI21" s="3">
        <v>79.058625490729696</v>
      </c>
      <c r="AJ21" s="3">
        <v>96.33039956638288</v>
      </c>
      <c r="AK21" s="3">
        <v>106.69346801177483</v>
      </c>
      <c r="AL21" s="3">
        <v>-243.65607300000008</v>
      </c>
      <c r="AM21" s="3">
        <v>-19.976890999999995</v>
      </c>
      <c r="AN21" s="3">
        <v>-16.368310000000093</v>
      </c>
      <c r="AO21" s="3">
        <v>13.405955000000034</v>
      </c>
      <c r="AP21" s="3">
        <v>81.208169999999967</v>
      </c>
      <c r="AQ21" s="3">
        <v>648.71939799999996</v>
      </c>
      <c r="AR21" s="3">
        <v>54.556570106372902</v>
      </c>
      <c r="AS21" s="3">
        <v>-24.419058791694283</v>
      </c>
      <c r="AT21" s="3">
        <v>309.75051194292746</v>
      </c>
      <c r="AU21" s="3">
        <v>78.882188648376967</v>
      </c>
      <c r="AV21" s="3">
        <v>96.115059750309825</v>
      </c>
      <c r="AW21" s="3">
        <v>106.45479241146941</v>
      </c>
      <c r="AX21" s="3">
        <v>-70.460708528349954</v>
      </c>
      <c r="AY21" s="3">
        <v>-59.745026676844788</v>
      </c>
      <c r="AZ21" s="3">
        <v>-6.166557419319048</v>
      </c>
      <c r="BA21" s="3">
        <v>0.2875095142766213</v>
      </c>
      <c r="BB21" s="3">
        <v>16.361062291534381</v>
      </c>
      <c r="BC21" s="3">
        <v>37.792445994544693</v>
      </c>
      <c r="BD21" s="3">
        <v>23.352325852971177</v>
      </c>
      <c r="BE21" s="3">
        <v>39.425868630228933</v>
      </c>
      <c r="BF21" s="3">
        <v>50.141560481734075</v>
      </c>
      <c r="BG21" s="3">
        <v>73.570676719602943</v>
      </c>
      <c r="BH21" s="3">
        <v>89.644219496860671</v>
      </c>
      <c r="BI21" s="3">
        <v>99.288345163215354</v>
      </c>
    </row>
    <row r="22" spans="1:61" ht="14.45" x14ac:dyDescent="0.35">
      <c r="A22" s="1" t="s">
        <v>30</v>
      </c>
      <c r="B22" s="3">
        <v>2.8380000000000001</v>
      </c>
      <c r="C22" s="3">
        <v>2.4339970000000002</v>
      </c>
      <c r="D22" s="3">
        <v>192.29272</v>
      </c>
      <c r="E22" s="3">
        <v>-175.40059600000001</v>
      </c>
      <c r="F22" s="3">
        <v>5.260345</v>
      </c>
      <c r="G22" s="3">
        <v>-116.03575199999999</v>
      </c>
      <c r="H22" s="3">
        <v>-218.93991199999999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39.806882000000002</v>
      </c>
      <c r="O22" s="3">
        <v>17.381713999999999</v>
      </c>
      <c r="P22" s="3">
        <v>10.219268999999999</v>
      </c>
      <c r="Q22" s="3">
        <v>9.0593929999999983</v>
      </c>
      <c r="R22" s="3">
        <v>8.7676439999999989</v>
      </c>
      <c r="S22" s="3">
        <v>14.387221999999998</v>
      </c>
      <c r="T22" s="3">
        <v>8.7811379999999986</v>
      </c>
      <c r="U22" s="3">
        <v>14.811022999999999</v>
      </c>
      <c r="V22" s="3">
        <v>16.805658000000005</v>
      </c>
      <c r="W22" s="3">
        <v>-5.8990080000000003</v>
      </c>
      <c r="X22" s="3">
        <v>0.2970549999999994</v>
      </c>
      <c r="Y22" s="3">
        <v>-182.17138099999997</v>
      </c>
      <c r="Z22" s="3">
        <v>2.8380000000000001</v>
      </c>
      <c r="AA22" s="3">
        <v>2.4339970000000002</v>
      </c>
      <c r="AB22" s="3">
        <v>192.29272</v>
      </c>
      <c r="AC22" s="3">
        <v>-175.40059600000001</v>
      </c>
      <c r="AD22" s="3">
        <v>5.260345</v>
      </c>
      <c r="AE22" s="3">
        <v>-116.03575199999999</v>
      </c>
      <c r="AF22" s="3">
        <v>-218.93991199999999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2.8380000000000001</v>
      </c>
      <c r="AM22" s="3">
        <v>2.4339970000000002</v>
      </c>
      <c r="AN22" s="3">
        <v>192.29272</v>
      </c>
      <c r="AO22" s="3">
        <v>-175.40059600000001</v>
      </c>
      <c r="AP22" s="3">
        <v>5.260345</v>
      </c>
      <c r="AQ22" s="3">
        <v>-116.03575199999999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-94.017116000000215</v>
      </c>
      <c r="C27" s="3">
        <v>56.121258999999952</v>
      </c>
      <c r="D27" s="3">
        <v>1311.0502219999998</v>
      </c>
      <c r="E27" s="3">
        <v>10.487706999999943</v>
      </c>
      <c r="F27" s="3">
        <v>582.31411999999978</v>
      </c>
      <c r="G27" s="3">
        <v>1443.2138709999999</v>
      </c>
      <c r="H27" s="3">
        <v>-201.09196500000004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4.164874999999995</v>
      </c>
      <c r="O27" s="3">
        <v>467.46579000000008</v>
      </c>
      <c r="P27" s="3">
        <v>380.00569700000011</v>
      </c>
      <c r="Q27" s="3">
        <v>-23.294240999999943</v>
      </c>
      <c r="R27" s="3">
        <v>345.33150499999988</v>
      </c>
      <c r="S27" s="3">
        <v>845.53632800000014</v>
      </c>
      <c r="T27" s="3">
        <v>53.594482000000085</v>
      </c>
      <c r="U27" s="3">
        <v>25.407459000000017</v>
      </c>
      <c r="V27" s="3">
        <v>1595.4467940000004</v>
      </c>
      <c r="W27" s="3">
        <v>190.08197399999989</v>
      </c>
      <c r="X27" s="3">
        <v>218.80995099999984</v>
      </c>
      <c r="Y27" s="3">
        <v>1483.0360709999998</v>
      </c>
      <c r="Z27" s="3">
        <v>-94.017116000000215</v>
      </c>
      <c r="AA27" s="3">
        <v>56.121259000000066</v>
      </c>
      <c r="AB27" s="3">
        <v>1311.0502219999998</v>
      </c>
      <c r="AC27" s="3">
        <v>10.487707</v>
      </c>
      <c r="AD27" s="3">
        <v>582.31411999999966</v>
      </c>
      <c r="AE27" s="3">
        <v>1443.2138709999999</v>
      </c>
      <c r="AF27" s="3">
        <v>-201.09196500000007</v>
      </c>
      <c r="AG27" s="3">
        <v>845.47763273276428</v>
      </c>
      <c r="AH27" s="3">
        <v>1260.7115554507939</v>
      </c>
      <c r="AI27" s="3">
        <v>652.30150475919277</v>
      </c>
      <c r="AJ27" s="3">
        <v>894.02834605098815</v>
      </c>
      <c r="AK27" s="3">
        <v>586.81450036202341</v>
      </c>
      <c r="AL27" s="3">
        <v>-94.017116000000215</v>
      </c>
      <c r="AM27" s="3">
        <v>56.121259000000066</v>
      </c>
      <c r="AN27" s="3">
        <v>1311.0502219999998</v>
      </c>
      <c r="AO27" s="3">
        <v>10.487707</v>
      </c>
      <c r="AP27" s="3">
        <v>582.31411999999966</v>
      </c>
      <c r="AQ27" s="3">
        <v>1443.2138709999999</v>
      </c>
      <c r="AR27" s="3">
        <v>623.29524129035417</v>
      </c>
      <c r="AS27" s="3">
        <v>844.74580662761559</v>
      </c>
      <c r="AT27" s="3">
        <v>1260.1885723266432</v>
      </c>
      <c r="AU27" s="3">
        <v>651.53850852472328</v>
      </c>
      <c r="AV27" s="3">
        <v>892.99077386198474</v>
      </c>
      <c r="AW27" s="3">
        <v>586.20645854443046</v>
      </c>
      <c r="AX27" s="3">
        <v>255.96822486375999</v>
      </c>
      <c r="AY27" s="3">
        <v>386.58768051521048</v>
      </c>
      <c r="AZ27" s="3">
        <v>1724.5507972101357</v>
      </c>
      <c r="BA27" s="3">
        <v>431.21259253892214</v>
      </c>
      <c r="BB27" s="3">
        <v>1337.095961016098</v>
      </c>
      <c r="BC27" s="3">
        <v>752.57086075667098</v>
      </c>
      <c r="BD27" s="3">
        <v>505.77843123548911</v>
      </c>
      <c r="BE27" s="3">
        <v>666.27677971266462</v>
      </c>
      <c r="BF27" s="3">
        <v>777.17527380178717</v>
      </c>
      <c r="BG27" s="3">
        <v>626.19132444389356</v>
      </c>
      <c r="BH27" s="3">
        <v>830.53508292106926</v>
      </c>
      <c r="BI27" s="3">
        <v>550.91602444504724</v>
      </c>
    </row>
    <row r="28" spans="1:61" x14ac:dyDescent="0.25">
      <c r="A28" s="1" t="s">
        <v>97</v>
      </c>
      <c r="B28" s="3">
        <v>-84.773588000000188</v>
      </c>
      <c r="C28" s="3">
        <v>86.566880000000083</v>
      </c>
      <c r="D28" s="3">
        <v>1324.2061619999999</v>
      </c>
      <c r="E28" s="3">
        <v>-57.585816000000079</v>
      </c>
      <c r="F28" s="3">
        <v>568.7088269999997</v>
      </c>
      <c r="G28" s="3">
        <v>1506.1480170000002</v>
      </c>
      <c r="H28" s="3">
        <v>-238.67769900000008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2.7897489999999721</v>
      </c>
      <c r="O28" s="3">
        <v>408.71286099999998</v>
      </c>
      <c r="P28" s="3">
        <v>217.98356999999999</v>
      </c>
      <c r="Q28" s="3">
        <v>-18.674255999999957</v>
      </c>
      <c r="R28" s="3">
        <v>358.31968499999994</v>
      </c>
      <c r="S28" s="3">
        <v>910.69272100000012</v>
      </c>
      <c r="T28" s="3">
        <v>65.506443999999988</v>
      </c>
      <c r="U28" s="3">
        <v>45.965534999999988</v>
      </c>
      <c r="V28" s="3">
        <v>936.67894999999999</v>
      </c>
      <c r="W28" s="3">
        <v>212.47401899999994</v>
      </c>
      <c r="X28" s="3">
        <v>203.05776299999991</v>
      </c>
      <c r="Y28" s="3">
        <v>1025.5624619999996</v>
      </c>
      <c r="Z28" s="3">
        <v>-84.773588000000188</v>
      </c>
      <c r="AA28" s="3">
        <v>86.566880000000083</v>
      </c>
      <c r="AB28" s="3">
        <v>1324.2061619999999</v>
      </c>
      <c r="AC28" s="3">
        <v>-57.585816000000023</v>
      </c>
      <c r="AD28" s="3">
        <v>568.7088269999997</v>
      </c>
      <c r="AE28" s="3">
        <v>1506.1480170000002</v>
      </c>
      <c r="AF28" s="3">
        <v>-238.67769900000008</v>
      </c>
      <c r="AG28" s="3">
        <v>648.01627512110122</v>
      </c>
      <c r="AH28" s="3">
        <v>1238.7691580268418</v>
      </c>
      <c r="AI28" s="3">
        <v>658.9814725261715</v>
      </c>
      <c r="AJ28" s="3">
        <v>900.70831381796688</v>
      </c>
      <c r="AK28" s="3">
        <v>555.41231259304436</v>
      </c>
      <c r="AL28" s="3">
        <v>-84.773588000000188</v>
      </c>
      <c r="AM28" s="3">
        <v>86.566880000000083</v>
      </c>
      <c r="AN28" s="3">
        <v>1324.2061619999999</v>
      </c>
      <c r="AO28" s="3">
        <v>-57.585816000000023</v>
      </c>
      <c r="AP28" s="3">
        <v>568.7088269999997</v>
      </c>
      <c r="AQ28" s="3">
        <v>1506.1480170000002</v>
      </c>
      <c r="AR28" s="3">
        <v>599.745732208086</v>
      </c>
      <c r="AS28" s="3">
        <v>647.45760754534763</v>
      </c>
      <c r="AT28" s="3">
        <v>1238.2252576696926</v>
      </c>
      <c r="AU28" s="3">
        <v>658.16919381891967</v>
      </c>
      <c r="AV28" s="3">
        <v>899.62145915618112</v>
      </c>
      <c r="AW28" s="3">
        <v>554.79709635853783</v>
      </c>
      <c r="AX28" s="3">
        <v>258.17998663082415</v>
      </c>
      <c r="AY28" s="3">
        <v>388.79944228227464</v>
      </c>
      <c r="AZ28" s="3">
        <v>519.76904053952774</v>
      </c>
      <c r="BA28" s="3">
        <v>436.112586443439</v>
      </c>
      <c r="BB28" s="3">
        <v>724.00009492061463</v>
      </c>
      <c r="BC28" s="3">
        <v>628.47214622351612</v>
      </c>
      <c r="BD28" s="3">
        <v>513.38511745236724</v>
      </c>
      <c r="BE28" s="3">
        <v>673.88346592954281</v>
      </c>
      <c r="BF28" s="3">
        <v>747.78239158099359</v>
      </c>
      <c r="BG28" s="3">
        <v>631.09131834841071</v>
      </c>
      <c r="BH28" s="3">
        <v>835.43507682558629</v>
      </c>
      <c r="BI28" s="3">
        <v>518.81644991189228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16.451102999999961</v>
      </c>
      <c r="C30" s="3">
        <v>-17.988806999999952</v>
      </c>
      <c r="D30" s="3">
        <v>717.1961789999998</v>
      </c>
      <c r="E30" s="3">
        <v>-91.405799999999999</v>
      </c>
      <c r="F30" s="3">
        <v>197.05924600000009</v>
      </c>
      <c r="G30" s="3">
        <v>732.54516899999999</v>
      </c>
      <c r="H30" s="3">
        <v>-182.39759099999998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8.3931289999999876</v>
      </c>
      <c r="O30" s="3">
        <v>249.16182900000004</v>
      </c>
      <c r="P30" s="3">
        <v>273.00623199999995</v>
      </c>
      <c r="Q30" s="3">
        <v>117.79810699999994</v>
      </c>
      <c r="R30" s="3">
        <v>321.32561799999985</v>
      </c>
      <c r="S30" s="3">
        <v>587.01382400000011</v>
      </c>
      <c r="T30" s="3">
        <v>77.683212999999967</v>
      </c>
      <c r="U30" s="3">
        <v>3.5284550000000081</v>
      </c>
      <c r="V30" s="3">
        <v>828.17073700000003</v>
      </c>
      <c r="W30" s="3">
        <v>131.81439900000004</v>
      </c>
      <c r="X30" s="3">
        <v>123.93961400000001</v>
      </c>
      <c r="Y30" s="3">
        <v>507.42315500000007</v>
      </c>
      <c r="Z30" s="3">
        <v>16.451102999999961</v>
      </c>
      <c r="AA30" s="3">
        <v>-17.98880699999998</v>
      </c>
      <c r="AB30" s="3">
        <v>717.1961789999998</v>
      </c>
      <c r="AC30" s="3">
        <v>-91.405799999999999</v>
      </c>
      <c r="AD30" s="3">
        <v>197.05924599999997</v>
      </c>
      <c r="AE30" s="3">
        <v>732.54516899999999</v>
      </c>
      <c r="AF30" s="3">
        <v>-182.39759099999998</v>
      </c>
      <c r="AG30" s="3">
        <v>365.58382214426877</v>
      </c>
      <c r="AH30" s="3">
        <v>424.939795433651</v>
      </c>
      <c r="AI30" s="3">
        <v>319.1088367439861</v>
      </c>
      <c r="AJ30" s="3">
        <v>387.73996861124402</v>
      </c>
      <c r="AK30" s="3">
        <v>291.63926173159871</v>
      </c>
      <c r="AL30" s="3">
        <v>16.451102999999961</v>
      </c>
      <c r="AM30" s="3">
        <v>-17.98880699999998</v>
      </c>
      <c r="AN30" s="3">
        <v>717.1961789999998</v>
      </c>
      <c r="AO30" s="3">
        <v>-91.405799999999999</v>
      </c>
      <c r="AP30" s="3">
        <v>197.05924599999997</v>
      </c>
      <c r="AQ30" s="3">
        <v>732.54516899999999</v>
      </c>
      <c r="AR30" s="3">
        <v>304.08543143914761</v>
      </c>
      <c r="AS30" s="3">
        <v>365.26320759351324</v>
      </c>
      <c r="AT30" s="3">
        <v>424.58181159592766</v>
      </c>
      <c r="AU30" s="3">
        <v>318.83137195149556</v>
      </c>
      <c r="AV30" s="3">
        <v>387.40469810586114</v>
      </c>
      <c r="AW30" s="3">
        <v>291.40535579848063</v>
      </c>
      <c r="AX30" s="3">
        <v>210.75192529587025</v>
      </c>
      <c r="AY30" s="3">
        <v>233.44491442506734</v>
      </c>
      <c r="AZ30" s="3">
        <v>319.70749007105297</v>
      </c>
      <c r="BA30" s="3">
        <v>295.76022107869147</v>
      </c>
      <c r="BB30" s="3">
        <v>312.61010977248708</v>
      </c>
      <c r="BC30" s="3">
        <v>358.18791803088135</v>
      </c>
      <c r="BD30" s="3">
        <v>289.68335078012558</v>
      </c>
      <c r="BE30" s="3">
        <v>343.67961947392109</v>
      </c>
      <c r="BF30" s="3">
        <v>378.48319860311824</v>
      </c>
      <c r="BG30" s="3">
        <v>306.57743541847265</v>
      </c>
      <c r="BH30" s="3">
        <v>374.98704411226834</v>
      </c>
      <c r="BI30" s="3">
        <v>281.15590732854577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" t="s">
        <v>37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" t="s">
        <v>118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" t="s">
        <v>131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-8.0873409999999986</v>
      </c>
      <c r="C43" s="3">
        <v>-8.4313060000000011</v>
      </c>
      <c r="D43" s="3">
        <v>-8.5250000000000004</v>
      </c>
      <c r="E43" s="3">
        <v>2.0218779999999992</v>
      </c>
      <c r="F43" s="3">
        <v>-9.5155080000000005</v>
      </c>
      <c r="G43" s="3">
        <v>-27.537402000000004</v>
      </c>
      <c r="H43" s="3">
        <v>-11.721279999999998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-4.2008220000000005</v>
      </c>
      <c r="O43" s="3">
        <v>-4.2054549999999997</v>
      </c>
      <c r="P43" s="3">
        <v>-7.5027439999999999</v>
      </c>
      <c r="Q43" s="3">
        <v>-0.79926199999999969</v>
      </c>
      <c r="R43" s="3">
        <v>-4.0148720000000004</v>
      </c>
      <c r="S43" s="3">
        <v>-0.19908200000000059</v>
      </c>
      <c r="T43" s="3">
        <v>-4.0146159999999993</v>
      </c>
      <c r="U43" s="3">
        <v>-4.3058780000000061</v>
      </c>
      <c r="V43" s="3">
        <v>-4.2016559999999998</v>
      </c>
      <c r="W43" s="3">
        <v>-4.5739259999999975</v>
      </c>
      <c r="X43" s="3">
        <v>-4.927861</v>
      </c>
      <c r="Y43" s="3">
        <v>468.71126999999996</v>
      </c>
      <c r="Z43" s="3">
        <v>-8.0873409999999986</v>
      </c>
      <c r="AA43" s="3">
        <v>-8.4313060000000011</v>
      </c>
      <c r="AB43" s="3">
        <v>-8.5250000000000004</v>
      </c>
      <c r="AC43" s="3">
        <v>2.0218779999999992</v>
      </c>
      <c r="AD43" s="3">
        <v>-9.5155080000000005</v>
      </c>
      <c r="AE43" s="3">
        <v>-27.537402000000004</v>
      </c>
      <c r="AF43" s="3">
        <v>-11.721279999999998</v>
      </c>
      <c r="AG43" s="3">
        <v>164.50799543737568</v>
      </c>
      <c r="AH43" s="3">
        <v>-11.0109647503352</v>
      </c>
      <c r="AI43" s="3">
        <v>-12.088587557985502</v>
      </c>
      <c r="AJ43" s="3">
        <v>-12.088587557985502</v>
      </c>
      <c r="AK43" s="3">
        <v>25.993567977972294</v>
      </c>
      <c r="AL43" s="3">
        <v>-8.0873409999999986</v>
      </c>
      <c r="AM43" s="3">
        <v>-8.4313060000000011</v>
      </c>
      <c r="AN43" s="3">
        <v>-8.5250000000000004</v>
      </c>
      <c r="AO43" s="3">
        <v>2.0218779999999992</v>
      </c>
      <c r="AP43" s="3">
        <v>-9.5155080000000005</v>
      </c>
      <c r="AQ43" s="3">
        <v>-27.537402000000004</v>
      </c>
      <c r="AR43" s="3">
        <v>-9.3976068815118872</v>
      </c>
      <c r="AS43" s="3">
        <v>164.34108311848811</v>
      </c>
      <c r="AT43" s="3">
        <v>-10.983801306829317</v>
      </c>
      <c r="AU43" s="3">
        <v>-12.061284149548058</v>
      </c>
      <c r="AV43" s="3">
        <v>-12.061284149548058</v>
      </c>
      <c r="AW43" s="3">
        <v>25.978763330540872</v>
      </c>
      <c r="AX43" s="3">
        <v>-10.368558241265823</v>
      </c>
      <c r="AY43" s="3">
        <v>-10.368558241265823</v>
      </c>
      <c r="AZ43" s="3">
        <v>26.631010196406088</v>
      </c>
      <c r="BA43" s="3">
        <v>-11.250106593866454</v>
      </c>
      <c r="BB43" s="3">
        <v>435.74713340613351</v>
      </c>
      <c r="BC43" s="3">
        <v>117.74860184380545</v>
      </c>
      <c r="BD43" s="3">
        <v>-12.150115121375755</v>
      </c>
      <c r="BE43" s="3">
        <v>-12.150115121375755</v>
      </c>
      <c r="BF43" s="3">
        <v>24.849453316296156</v>
      </c>
      <c r="BG43" s="3">
        <v>-11.250106593866454</v>
      </c>
      <c r="BH43" s="3">
        <v>-11.250106593866454</v>
      </c>
      <c r="BI43" s="3">
        <v>25.749461843805456</v>
      </c>
    </row>
    <row r="44" spans="1:61" x14ac:dyDescent="0.25">
      <c r="A44" s="1" t="s">
        <v>133</v>
      </c>
      <c r="B44" s="3">
        <v>-1.1561870000000027</v>
      </c>
      <c r="C44" s="3">
        <v>-22.014315</v>
      </c>
      <c r="D44" s="3">
        <v>-4.6309399999999918</v>
      </c>
      <c r="E44" s="3">
        <v>66.051645000000008</v>
      </c>
      <c r="F44" s="3">
        <v>23.120801000000004</v>
      </c>
      <c r="G44" s="3">
        <v>-35.396743999999998</v>
      </c>
      <c r="H44" s="3">
        <v>49.307013999999981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5.5759480000000003</v>
      </c>
      <c r="O44" s="3">
        <v>62.958383999999995</v>
      </c>
      <c r="P44" s="3">
        <v>169.52487100000002</v>
      </c>
      <c r="Q44" s="3">
        <v>-3.8207229999999983</v>
      </c>
      <c r="R44" s="3">
        <v>-8.9733079999999994</v>
      </c>
      <c r="S44" s="3">
        <v>-64.95731099999999</v>
      </c>
      <c r="T44" s="3">
        <v>-7.8973459999999989</v>
      </c>
      <c r="U44" s="3">
        <v>-16.252198</v>
      </c>
      <c r="V44" s="3">
        <v>662.96950000000015</v>
      </c>
      <c r="W44" s="3">
        <v>-17.818118999999996</v>
      </c>
      <c r="X44" s="3">
        <v>20.680049000000004</v>
      </c>
      <c r="Y44" s="3">
        <v>-11.237661000000003</v>
      </c>
      <c r="Z44" s="3">
        <v>-1.1561870000000027</v>
      </c>
      <c r="AA44" s="3">
        <v>-22.014315</v>
      </c>
      <c r="AB44" s="3">
        <v>-4.6309399999999918</v>
      </c>
      <c r="AC44" s="3">
        <v>66.051645000000008</v>
      </c>
      <c r="AD44" s="3">
        <v>23.120801000000004</v>
      </c>
      <c r="AE44" s="3">
        <v>-35.396743999999998</v>
      </c>
      <c r="AF44" s="3">
        <v>49.307013999999981</v>
      </c>
      <c r="AG44" s="3">
        <v>32.953362174287449</v>
      </c>
      <c r="AH44" s="3">
        <v>32.953362174287449</v>
      </c>
      <c r="AI44" s="3">
        <v>5.4086197910068954</v>
      </c>
      <c r="AJ44" s="3">
        <v>5.4086197910068954</v>
      </c>
      <c r="AK44" s="3">
        <v>5.4086197910068954</v>
      </c>
      <c r="AL44" s="3">
        <v>-1.1561870000000027</v>
      </c>
      <c r="AM44" s="3">
        <v>-22.014315</v>
      </c>
      <c r="AN44" s="3">
        <v>-4.6309399999999918</v>
      </c>
      <c r="AO44" s="3">
        <v>66.051645000000008</v>
      </c>
      <c r="AP44" s="3">
        <v>23.120801000000004</v>
      </c>
      <c r="AQ44" s="3">
        <v>-35.396743999999998</v>
      </c>
      <c r="AR44" s="3">
        <v>32.947115963779822</v>
      </c>
      <c r="AS44" s="3">
        <v>32.947115963779822</v>
      </c>
      <c r="AT44" s="3">
        <v>32.947115963779822</v>
      </c>
      <c r="AU44" s="3">
        <v>5.4305988553516897</v>
      </c>
      <c r="AV44" s="3">
        <v>5.4305988553516897</v>
      </c>
      <c r="AW44" s="3">
        <v>5.4305988553516897</v>
      </c>
      <c r="AX44" s="3">
        <v>8.1567964742016024</v>
      </c>
      <c r="AY44" s="3">
        <v>8.1567964742016024</v>
      </c>
      <c r="AZ44" s="3">
        <v>1178.1507464742015</v>
      </c>
      <c r="BA44" s="3">
        <v>6.3501126893495794</v>
      </c>
      <c r="BB44" s="3">
        <v>177.34873268934956</v>
      </c>
      <c r="BC44" s="3">
        <v>6.3501126893495794</v>
      </c>
      <c r="BD44" s="3">
        <v>4.5434289044975458</v>
      </c>
      <c r="BE44" s="3">
        <v>4.5434289044975458</v>
      </c>
      <c r="BF44" s="3">
        <v>4.5434289044975458</v>
      </c>
      <c r="BG44" s="3">
        <v>6.3501126893495794</v>
      </c>
      <c r="BH44" s="3">
        <v>6.3501126893495794</v>
      </c>
      <c r="BI44" s="3">
        <v>6.3501126893495794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-12.945740000000001</v>
      </c>
      <c r="C46" s="3">
        <v>-7.6097610000000007</v>
      </c>
      <c r="D46" s="3">
        <v>25.438621999999995</v>
      </c>
      <c r="E46" s="3">
        <v>20.076806000000001</v>
      </c>
      <c r="F46" s="3">
        <v>20.850855999999993</v>
      </c>
      <c r="G46" s="3">
        <v>23.628451000000005</v>
      </c>
      <c r="H46" s="3">
        <v>18.044333000000005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13.057309999999998</v>
      </c>
      <c r="O46" s="3">
        <v>-3.7348299999999997</v>
      </c>
      <c r="P46" s="3">
        <v>42.612769999999998</v>
      </c>
      <c r="Q46" s="3">
        <v>-5.4711800000000004</v>
      </c>
      <c r="R46" s="3">
        <v>11.068006</v>
      </c>
      <c r="S46" s="3">
        <v>18.518256000000001</v>
      </c>
      <c r="T46" s="3">
        <v>5.820700000000123E-2</v>
      </c>
      <c r="U46" s="3">
        <v>2.0280570000000004</v>
      </c>
      <c r="V46" s="3">
        <v>4.492287000000001</v>
      </c>
      <c r="W46" s="3">
        <v>-6.7902319999999996</v>
      </c>
      <c r="X46" s="3">
        <v>-13.526304</v>
      </c>
      <c r="Y46" s="3">
        <v>20.192635000000003</v>
      </c>
      <c r="Z46" s="3">
        <v>-12.945740000000001</v>
      </c>
      <c r="AA46" s="3">
        <v>-7.6097610000000007</v>
      </c>
      <c r="AB46" s="3">
        <v>25.438622000000002</v>
      </c>
      <c r="AC46" s="3">
        <v>20.076806000000005</v>
      </c>
      <c r="AD46" s="3">
        <v>20.850855999999997</v>
      </c>
      <c r="AE46" s="3">
        <v>23.628451000000005</v>
      </c>
      <c r="AF46" s="3">
        <v>18.044333000000002</v>
      </c>
      <c r="AG46" s="3">
        <v>-21.738533333333336</v>
      </c>
      <c r="AH46" s="3">
        <v>78.56610666666667</v>
      </c>
      <c r="AI46" s="3">
        <v>8.7397999999999989</v>
      </c>
      <c r="AJ46" s="3">
        <v>-8.4052000000000007</v>
      </c>
      <c r="AK46" s="3">
        <v>84.909859999999995</v>
      </c>
      <c r="AL46" s="3">
        <v>-12.945740000000001</v>
      </c>
      <c r="AM46" s="3">
        <v>-7.6097610000000007</v>
      </c>
      <c r="AN46" s="3">
        <v>25.438622000000002</v>
      </c>
      <c r="AO46" s="3">
        <v>20.076806000000005</v>
      </c>
      <c r="AP46" s="3">
        <v>20.850855999999997</v>
      </c>
      <c r="AQ46" s="3">
        <v>23.628451000000005</v>
      </c>
      <c r="AR46" s="3">
        <v>-4.702433333333337</v>
      </c>
      <c r="AS46" s="3">
        <v>-21.740293333333334</v>
      </c>
      <c r="AT46" s="3">
        <v>78.453396666666677</v>
      </c>
      <c r="AU46" s="3">
        <v>8.7190799999999982</v>
      </c>
      <c r="AV46" s="3">
        <v>-8.4069599999999998</v>
      </c>
      <c r="AW46" s="3">
        <v>84.80489</v>
      </c>
      <c r="AX46" s="3">
        <v>16.337199999999999</v>
      </c>
      <c r="AY46" s="3">
        <v>-10</v>
      </c>
      <c r="AZ46" s="3">
        <v>75.081500000000005</v>
      </c>
      <c r="BA46" s="3">
        <v>6.0017999999999994</v>
      </c>
      <c r="BB46" s="3">
        <v>-8.4450599999999998</v>
      </c>
      <c r="BC46" s="3">
        <v>82.982600000000005</v>
      </c>
      <c r="BD46" s="3">
        <v>7.5567399999999978</v>
      </c>
      <c r="BE46" s="3">
        <v>-8.4450599999999998</v>
      </c>
      <c r="BF46" s="3">
        <v>81.322859999999991</v>
      </c>
      <c r="BG46" s="3">
        <v>7.5567399999999978</v>
      </c>
      <c r="BH46" s="3">
        <v>-8.4450599999999998</v>
      </c>
      <c r="BI46" s="3">
        <v>74.487259999999992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1" t="s">
        <v>44</v>
      </c>
      <c r="B49" s="3">
        <v>5.0907439999999999</v>
      </c>
      <c r="C49" s="3">
        <v>0.45276299999999997</v>
      </c>
      <c r="D49" s="3">
        <v>2.3569439999999999</v>
      </c>
      <c r="E49" s="3">
        <v>0.56072600000000006</v>
      </c>
      <c r="F49" s="3">
        <v>0.96749600000000013</v>
      </c>
      <c r="G49" s="3">
        <v>3.3251050000000006</v>
      </c>
      <c r="H49" s="3">
        <v>1.9237720000000005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0.78373999999999988</v>
      </c>
      <c r="O49" s="3">
        <v>0.92873000000000006</v>
      </c>
      <c r="P49" s="3">
        <v>4.5923739999999995</v>
      </c>
      <c r="Q49" s="3">
        <v>-1.9611909999999997</v>
      </c>
      <c r="R49" s="3">
        <v>6.365024</v>
      </c>
      <c r="S49" s="3">
        <v>1.5091080000000001</v>
      </c>
      <c r="T49" s="3">
        <v>1.2266740000000003</v>
      </c>
      <c r="U49" s="3">
        <v>1.2695610000000002</v>
      </c>
      <c r="V49" s="3">
        <v>2.2764009999999999</v>
      </c>
      <c r="W49" s="3">
        <v>1.0359959999999999</v>
      </c>
      <c r="X49" s="3">
        <v>1.388477</v>
      </c>
      <c r="Y49" s="3">
        <v>13.806439000000001</v>
      </c>
      <c r="Z49" s="3">
        <v>5.0907439999999999</v>
      </c>
      <c r="AA49" s="3">
        <v>0.45276299999999997</v>
      </c>
      <c r="AB49" s="3">
        <v>2.3569439999999999</v>
      </c>
      <c r="AC49" s="3">
        <v>0.56072600000000006</v>
      </c>
      <c r="AD49" s="3">
        <v>0.96749600000000013</v>
      </c>
      <c r="AE49" s="3">
        <v>3.3251050000000002</v>
      </c>
      <c r="AF49" s="3">
        <v>1.923772</v>
      </c>
      <c r="AG49" s="3">
        <v>1.1074999999999999</v>
      </c>
      <c r="AH49" s="3">
        <v>5.1513400000000003</v>
      </c>
      <c r="AI49" s="3">
        <v>1.1074999999999999</v>
      </c>
      <c r="AJ49" s="3">
        <v>1.1074999999999999</v>
      </c>
      <c r="AK49" s="3">
        <v>4.8582099999999997</v>
      </c>
      <c r="AL49" s="3">
        <v>5.0907439999999999</v>
      </c>
      <c r="AM49" s="3">
        <v>0.45276299999999997</v>
      </c>
      <c r="AN49" s="3">
        <v>2.3569439999999999</v>
      </c>
      <c r="AO49" s="3">
        <v>0.56072600000000006</v>
      </c>
      <c r="AP49" s="3">
        <v>0.96749600000000013</v>
      </c>
      <c r="AQ49" s="3">
        <v>3.3251050000000002</v>
      </c>
      <c r="AR49" s="3">
        <v>1.1062799999999999</v>
      </c>
      <c r="AS49" s="3">
        <v>1.1062799999999999</v>
      </c>
      <c r="AT49" s="3">
        <v>5.1456400000000002</v>
      </c>
      <c r="AU49" s="3">
        <v>1.1062799999999999</v>
      </c>
      <c r="AV49" s="3">
        <v>1.1062799999999999</v>
      </c>
      <c r="AW49" s="3">
        <v>4.8528500000000001</v>
      </c>
      <c r="AX49" s="3">
        <v>1.07982</v>
      </c>
      <c r="AY49" s="3">
        <v>1.07982</v>
      </c>
      <c r="AZ49" s="3">
        <v>4.0983200000000002</v>
      </c>
      <c r="BA49" s="3">
        <v>1.07982</v>
      </c>
      <c r="BB49" s="3">
        <v>1.07982</v>
      </c>
      <c r="BC49" s="3">
        <v>4.0983200000000002</v>
      </c>
      <c r="BD49" s="3">
        <v>1.07982</v>
      </c>
      <c r="BE49" s="3">
        <v>1.07982</v>
      </c>
      <c r="BF49" s="3">
        <v>4.0983200000000002</v>
      </c>
      <c r="BG49" s="3">
        <v>1.07982</v>
      </c>
      <c r="BH49" s="3">
        <v>1.07982</v>
      </c>
      <c r="BI49" s="3">
        <v>3.8195699999999997</v>
      </c>
    </row>
    <row r="50" spans="1:61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1" t="s">
        <v>121</v>
      </c>
      <c r="B51" s="3">
        <v>-92.860929000000169</v>
      </c>
      <c r="C51" s="3">
        <v>78.135574000000076</v>
      </c>
      <c r="D51" s="3">
        <v>1315.6811619999999</v>
      </c>
      <c r="E51" s="3">
        <v>-55.563938000000064</v>
      </c>
      <c r="F51" s="3">
        <v>559.19331899999997</v>
      </c>
      <c r="G51" s="3">
        <v>1478.6106150000001</v>
      </c>
      <c r="H51" s="3">
        <v>-250.39897900000005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-1.4110730000000444</v>
      </c>
      <c r="O51" s="3">
        <v>404.50740599999983</v>
      </c>
      <c r="P51" s="3">
        <v>210.48082599999992</v>
      </c>
      <c r="Q51" s="3">
        <v>-19.473517999999956</v>
      </c>
      <c r="R51" s="3">
        <v>354.30481299999985</v>
      </c>
      <c r="S51" s="3">
        <v>910.49363900000026</v>
      </c>
      <c r="T51" s="3">
        <v>61.491828000000055</v>
      </c>
      <c r="U51" s="3">
        <v>41.659657000000038</v>
      </c>
      <c r="V51" s="3">
        <v>932.47729400000003</v>
      </c>
      <c r="W51" s="3">
        <v>207.90009299999997</v>
      </c>
      <c r="X51" s="3">
        <v>198.12990199999984</v>
      </c>
      <c r="Y51" s="3">
        <v>1494.2737320000001</v>
      </c>
      <c r="Z51" s="3">
        <v>-92.860929000000169</v>
      </c>
      <c r="AA51" s="3">
        <v>78.135574000000076</v>
      </c>
      <c r="AB51" s="3">
        <v>1315.6811619999999</v>
      </c>
      <c r="AC51" s="3">
        <v>-55.563938000000007</v>
      </c>
      <c r="AD51" s="3">
        <v>559.19331899999975</v>
      </c>
      <c r="AE51" s="3">
        <v>1478.6106150000003</v>
      </c>
      <c r="AF51" s="3">
        <v>-250.39897900000005</v>
      </c>
      <c r="AG51" s="3">
        <v>812.52427055847693</v>
      </c>
      <c r="AH51" s="3">
        <v>1227.7581932765065</v>
      </c>
      <c r="AI51" s="3">
        <v>646.89288496818585</v>
      </c>
      <c r="AJ51" s="3">
        <v>888.61972625998123</v>
      </c>
      <c r="AK51" s="3">
        <v>581.4058805710165</v>
      </c>
      <c r="AL51" s="3">
        <v>-92.860929000000169</v>
      </c>
      <c r="AM51" s="3">
        <v>78.135574000000076</v>
      </c>
      <c r="AN51" s="3">
        <v>1315.6811619999999</v>
      </c>
      <c r="AO51" s="3">
        <v>-55.563938000000007</v>
      </c>
      <c r="AP51" s="3">
        <v>559.19331899999975</v>
      </c>
      <c r="AQ51" s="3">
        <v>1478.6106150000003</v>
      </c>
      <c r="AR51" s="3">
        <v>590.34812532657418</v>
      </c>
      <c r="AS51" s="3">
        <v>811.79869066383571</v>
      </c>
      <c r="AT51" s="3">
        <v>1227.2414563628633</v>
      </c>
      <c r="AU51" s="3">
        <v>646.10790966937157</v>
      </c>
      <c r="AV51" s="3">
        <v>887.56017500663302</v>
      </c>
      <c r="AW51" s="3">
        <v>580.77585968907874</v>
      </c>
      <c r="AX51" s="3">
        <v>247.81142838955833</v>
      </c>
      <c r="AY51" s="3">
        <v>378.43088404100882</v>
      </c>
      <c r="AZ51" s="3">
        <v>546.40005073593397</v>
      </c>
      <c r="BA51" s="3">
        <v>424.86247984957254</v>
      </c>
      <c r="BB51" s="3">
        <v>1159.7472283267484</v>
      </c>
      <c r="BC51" s="3">
        <v>746.22074806732132</v>
      </c>
      <c r="BD51" s="3">
        <v>501.23500233099156</v>
      </c>
      <c r="BE51" s="3">
        <v>661.73335080816696</v>
      </c>
      <c r="BF51" s="3">
        <v>772.63184489728951</v>
      </c>
      <c r="BG51" s="3">
        <v>619.84121175454425</v>
      </c>
      <c r="BH51" s="3">
        <v>824.18497023171983</v>
      </c>
      <c r="BI51" s="3">
        <v>544.5659117556977</v>
      </c>
    </row>
    <row r="52" spans="1:61" x14ac:dyDescent="0.25">
      <c r="A52" s="1" t="s">
        <v>76</v>
      </c>
      <c r="B52" s="3">
        <v>-7.854995999999999</v>
      </c>
      <c r="C52" s="3">
        <v>-7.1569979999999997</v>
      </c>
      <c r="D52" s="3">
        <v>27.795565999999994</v>
      </c>
      <c r="E52" s="3">
        <v>20.637532</v>
      </c>
      <c r="F52" s="3">
        <v>21.818351999999994</v>
      </c>
      <c r="G52" s="3">
        <v>26.953556000000003</v>
      </c>
      <c r="H52" s="3">
        <v>19.968105000000005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13.841049999999997</v>
      </c>
      <c r="O52" s="3">
        <v>-2.8060999999999998</v>
      </c>
      <c r="P52" s="3">
        <v>47.205143999999997</v>
      </c>
      <c r="Q52" s="3">
        <v>-7.4323709999999998</v>
      </c>
      <c r="R52" s="3">
        <v>17.433030000000002</v>
      </c>
      <c r="S52" s="3">
        <v>20.027364000000002</v>
      </c>
      <c r="T52" s="3">
        <v>1.2848810000000022</v>
      </c>
      <c r="U52" s="3">
        <v>3.2976180000000035</v>
      </c>
      <c r="V52" s="3">
        <v>6.7686880000000009</v>
      </c>
      <c r="W52" s="3">
        <v>-5.7542359999999988</v>
      </c>
      <c r="X52" s="3">
        <v>-12.137827</v>
      </c>
      <c r="Y52" s="3">
        <v>33.999073999999993</v>
      </c>
      <c r="Z52" s="3">
        <v>-7.8549959999999999</v>
      </c>
      <c r="AA52" s="3">
        <v>-7.1569979999999997</v>
      </c>
      <c r="AB52" s="3">
        <v>27.795565999999994</v>
      </c>
      <c r="AC52" s="3">
        <v>20.637532000000004</v>
      </c>
      <c r="AD52" s="3">
        <v>21.818351999999997</v>
      </c>
      <c r="AE52" s="3">
        <v>26.953556000000003</v>
      </c>
      <c r="AF52" s="3">
        <v>19.968104999999998</v>
      </c>
      <c r="AG52" s="3">
        <v>-20.631033333333335</v>
      </c>
      <c r="AH52" s="3">
        <v>83.717446666666675</v>
      </c>
      <c r="AI52" s="3">
        <v>9.8472999999999971</v>
      </c>
      <c r="AJ52" s="3">
        <v>-7.2976999999999999</v>
      </c>
      <c r="AK52" s="3">
        <v>89.768069999999994</v>
      </c>
      <c r="AL52" s="3">
        <v>-7.8549959999999999</v>
      </c>
      <c r="AM52" s="3">
        <v>-7.1569979999999997</v>
      </c>
      <c r="AN52" s="3">
        <v>27.795565999999994</v>
      </c>
      <c r="AO52" s="3">
        <v>20.637532000000004</v>
      </c>
      <c r="AP52" s="3">
        <v>21.818351999999997</v>
      </c>
      <c r="AQ52" s="3">
        <v>26.953556000000003</v>
      </c>
      <c r="AR52" s="3">
        <v>-3.5961533333333389</v>
      </c>
      <c r="AS52" s="3">
        <v>-20.634013333333336</v>
      </c>
      <c r="AT52" s="3">
        <v>83.599036666666677</v>
      </c>
      <c r="AU52" s="3">
        <v>9.8253599999999963</v>
      </c>
      <c r="AV52" s="3">
        <v>-7.3006799999999998</v>
      </c>
      <c r="AW52" s="3">
        <v>89.657740000000004</v>
      </c>
      <c r="AX52" s="3">
        <v>17.417020000000001</v>
      </c>
      <c r="AY52" s="3">
        <v>-8.9201800000000002</v>
      </c>
      <c r="AZ52" s="3">
        <v>79.179820000000007</v>
      </c>
      <c r="BA52" s="3">
        <v>7.0816200000000009</v>
      </c>
      <c r="BB52" s="3">
        <v>-7.36524</v>
      </c>
      <c r="BC52" s="3">
        <v>87.080920000000006</v>
      </c>
      <c r="BD52" s="3">
        <v>8.6365599999999993</v>
      </c>
      <c r="BE52" s="3">
        <v>-7.36524</v>
      </c>
      <c r="BF52" s="3">
        <v>85.421179999999993</v>
      </c>
      <c r="BG52" s="3">
        <v>8.6365599999999993</v>
      </c>
      <c r="BH52" s="3">
        <v>-7.36524</v>
      </c>
      <c r="BI52" s="3">
        <v>78.306829999999991</v>
      </c>
    </row>
    <row r="53" spans="1:6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1" t="s">
        <v>105</v>
      </c>
      <c r="B54" s="7">
        <v>-101.8721120000003</v>
      </c>
      <c r="C54" s="7">
        <v>48.964260999999908</v>
      </c>
      <c r="D54" s="7">
        <v>1338.8457880000001</v>
      </c>
      <c r="E54" s="7">
        <v>31.125238999999965</v>
      </c>
      <c r="F54" s="7">
        <v>604.13247199999989</v>
      </c>
      <c r="G54" s="7">
        <v>1470.1674269999999</v>
      </c>
      <c r="H54" s="7">
        <v>-181.12386000000004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18.005924999999991</v>
      </c>
      <c r="O54" s="7">
        <v>464.65969000000007</v>
      </c>
      <c r="P54" s="7">
        <v>427.21084100000002</v>
      </c>
      <c r="Q54" s="7">
        <v>-30.726611999999989</v>
      </c>
      <c r="R54" s="7">
        <v>362.76453499999997</v>
      </c>
      <c r="S54" s="7">
        <v>865.56369199999995</v>
      </c>
      <c r="T54" s="7">
        <v>54.879363000000126</v>
      </c>
      <c r="U54" s="7">
        <v>28.705077000000131</v>
      </c>
      <c r="V54" s="7">
        <v>1602.2154820000001</v>
      </c>
      <c r="W54" s="7">
        <v>184.32773800000001</v>
      </c>
      <c r="X54" s="7">
        <v>206.67212399999983</v>
      </c>
      <c r="Y54" s="7">
        <v>1517.0351449999998</v>
      </c>
      <c r="Z54" s="7">
        <v>-101.87211200000024</v>
      </c>
      <c r="AA54" s="7">
        <v>48.964261000000022</v>
      </c>
      <c r="AB54" s="7">
        <v>1338.8457880000001</v>
      </c>
      <c r="AC54" s="7">
        <v>31.125238999999965</v>
      </c>
      <c r="AD54" s="7">
        <v>604.13247199999967</v>
      </c>
      <c r="AE54" s="7">
        <v>1470.1674269999999</v>
      </c>
      <c r="AF54" s="7">
        <v>-181.12386000000004</v>
      </c>
      <c r="AG54" s="7">
        <v>824.84659939943094</v>
      </c>
      <c r="AH54" s="7">
        <v>1344.4290021174604</v>
      </c>
      <c r="AI54" s="7">
        <v>662.14880475919267</v>
      </c>
      <c r="AJ54" s="7">
        <v>886.73064605098807</v>
      </c>
      <c r="AK54" s="7">
        <v>676.58257036202349</v>
      </c>
      <c r="AL54" s="7">
        <v>-101.87211200000024</v>
      </c>
      <c r="AM54" s="7">
        <v>48.964261000000022</v>
      </c>
      <c r="AN54" s="7">
        <v>1338.8457880000001</v>
      </c>
      <c r="AO54" s="7">
        <v>31.125238999999965</v>
      </c>
      <c r="AP54" s="7">
        <v>604.13247199999967</v>
      </c>
      <c r="AQ54" s="7">
        <v>1470.1674269999999</v>
      </c>
      <c r="AR54" s="7">
        <v>619.69908795702099</v>
      </c>
      <c r="AS54" s="7">
        <v>824.11179329428228</v>
      </c>
      <c r="AT54" s="7">
        <v>1343.7876089933097</v>
      </c>
      <c r="AU54" s="7">
        <v>661.36386852472333</v>
      </c>
      <c r="AV54" s="7">
        <v>885.69009386198468</v>
      </c>
      <c r="AW54" s="7">
        <v>675.86419854443056</v>
      </c>
      <c r="AX54" s="7">
        <v>273.38524486375997</v>
      </c>
      <c r="AY54" s="7">
        <v>377.66750051521052</v>
      </c>
      <c r="AZ54" s="7">
        <v>1803.730617210136</v>
      </c>
      <c r="BA54" s="7">
        <v>438.29421253892218</v>
      </c>
      <c r="BB54" s="7">
        <v>1329.730721016098</v>
      </c>
      <c r="BC54" s="7">
        <v>839.65178075667086</v>
      </c>
      <c r="BD54" s="7">
        <v>514.4149912354892</v>
      </c>
      <c r="BE54" s="7">
        <v>658.91153971266453</v>
      </c>
      <c r="BF54" s="7">
        <v>862.59645380178745</v>
      </c>
      <c r="BG54" s="7">
        <v>634.82788444389371</v>
      </c>
      <c r="BH54" s="7">
        <v>823.16984292106918</v>
      </c>
      <c r="BI54" s="7">
        <v>629.22285444504746</v>
      </c>
    </row>
    <row r="56" spans="1:61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8.8817841970012523E-15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1.1990408665951691E-14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1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</row>
    <row r="59" spans="1:61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</row>
    <row r="60" spans="1:61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1.1368683772161603E-13</v>
      </c>
      <c r="D60" s="244">
        <f t="shared" si="5"/>
        <v>0</v>
      </c>
      <c r="E60" s="244">
        <f t="shared" si="5"/>
        <v>4.2632564145606011E-14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-3.0198066269804258E-14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-6.3948846218409017E-14</v>
      </c>
      <c r="U60" s="244">
        <f t="shared" si="5"/>
        <v>8.5265128291212022E-14</v>
      </c>
      <c r="V60" s="244">
        <f t="shared" si="5"/>
        <v>0</v>
      </c>
      <c r="W60" s="244">
        <f t="shared" si="5"/>
        <v>0</v>
      </c>
      <c r="X60" s="244">
        <f t="shared" si="5"/>
        <v>0</v>
      </c>
      <c r="Y60" s="244">
        <f t="shared" si="5"/>
        <v>0</v>
      </c>
      <c r="Z60" s="244">
        <f t="shared" si="5"/>
        <v>1.1368683772161603E-13</v>
      </c>
      <c r="AA60" s="244">
        <f t="shared" si="5"/>
        <v>0</v>
      </c>
      <c r="AB60" s="244">
        <f t="shared" si="5"/>
        <v>0</v>
      </c>
      <c r="AC60" s="244">
        <f t="shared" si="5"/>
        <v>1.4210854715202004E-14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1.1368683772161603E-13</v>
      </c>
      <c r="AM60" s="244">
        <f t="shared" si="5"/>
        <v>0</v>
      </c>
      <c r="AN60" s="244">
        <f t="shared" si="5"/>
        <v>0</v>
      </c>
      <c r="AO60" s="244">
        <f t="shared" si="5"/>
        <v>1.4210854715202004E-14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</row>
    <row r="61" spans="1:61" x14ac:dyDescent="0.25">
      <c r="A61" s="1" t="s">
        <v>110</v>
      </c>
      <c r="B61" s="244">
        <f>SUM(B12:B23,B43:B44,B52)-B54</f>
        <v>1.7053025658242404E-13</v>
      </c>
      <c r="C61" s="244">
        <f t="shared" ref="C61:BI61" si="6">SUM(C12:C23,C43:C44,C52)-C54</f>
        <v>1.5631940186722204E-13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-2.8421709430404007E-14</v>
      </c>
      <c r="O61" s="244">
        <f t="shared" si="6"/>
        <v>0</v>
      </c>
      <c r="P61" s="244">
        <f t="shared" si="6"/>
        <v>0</v>
      </c>
      <c r="Q61" s="244">
        <f t="shared" si="6"/>
        <v>6.3948846218409017E-14</v>
      </c>
      <c r="R61" s="244">
        <f t="shared" si="6"/>
        <v>0</v>
      </c>
      <c r="S61" s="244">
        <f t="shared" si="6"/>
        <v>0</v>
      </c>
      <c r="T61" s="244">
        <f t="shared" si="6"/>
        <v>-9.9475983006414026E-14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0</v>
      </c>
      <c r="Y61" s="244">
        <f t="shared" si="6"/>
        <v>0</v>
      </c>
      <c r="Z61" s="244">
        <f t="shared" si="6"/>
        <v>1.4210854715202004E-13</v>
      </c>
      <c r="AA61" s="244">
        <f t="shared" si="6"/>
        <v>0</v>
      </c>
      <c r="AB61" s="244">
        <f t="shared" si="6"/>
        <v>0</v>
      </c>
      <c r="AC61" s="244">
        <f t="shared" si="6"/>
        <v>5.3290705182007514E-14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1.4210854715202004E-13</v>
      </c>
      <c r="AM61" s="244">
        <f t="shared" si="6"/>
        <v>0</v>
      </c>
      <c r="AN61" s="244">
        <f t="shared" si="6"/>
        <v>0</v>
      </c>
      <c r="AO61" s="244">
        <f t="shared" si="6"/>
        <v>5.3290705182007514E-14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</row>
    <row r="62" spans="1:61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5.6843418860808015E-14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-7.1054273576010019E-15</v>
      </c>
      <c r="O62" s="244">
        <f t="shared" si="7"/>
        <v>0</v>
      </c>
      <c r="P62" s="244">
        <f t="shared" si="7"/>
        <v>0</v>
      </c>
      <c r="Q62" s="244">
        <f t="shared" si="7"/>
        <v>2.8421709430404007E-14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1.2079226507921703E-13</v>
      </c>
      <c r="V62" s="244">
        <f t="shared" si="7"/>
        <v>0</v>
      </c>
      <c r="W62" s="244">
        <f t="shared" si="7"/>
        <v>0</v>
      </c>
      <c r="X62" s="244">
        <f t="shared" si="7"/>
        <v>0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</row>
    <row r="63" spans="1:61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8.8817841970012523E-15</v>
      </c>
      <c r="O63" s="244">
        <f t="shared" si="9"/>
        <v>0</v>
      </c>
      <c r="P63" s="244">
        <f t="shared" si="9"/>
        <v>0</v>
      </c>
      <c r="Q63" s="244">
        <f t="shared" si="9"/>
        <v>2.8421709430404007E-14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6.3948846218409017E-14</v>
      </c>
      <c r="V63" s="244">
        <f t="shared" si="9"/>
        <v>0</v>
      </c>
      <c r="W63" s="244">
        <f t="shared" si="9"/>
        <v>0</v>
      </c>
      <c r="X63" s="244">
        <f t="shared" si="9"/>
        <v>0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  <row r="64" spans="1:61" x14ac:dyDescent="0.25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x14ac:dyDescent="0.25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x14ac:dyDescent="0.2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</sheetData>
  <pageMargins left="0.511811024" right="0.511811024" top="0.78740157499999996" bottom="0.78740157499999996" header="0.31496062000000002" footer="0.31496062000000002"/>
  <ignoredErrors>
    <ignoredError sqref="BJ5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BJ63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3" width="10.5703125" bestFit="1" customWidth="1"/>
    <col min="4" max="4" width="12.85546875" bestFit="1" customWidth="1"/>
    <col min="5" max="61" width="10.5703125" bestFit="1" customWidth="1"/>
  </cols>
  <sheetData>
    <row r="1" spans="1:61" ht="14.45" x14ac:dyDescent="0.35">
      <c r="A1" s="1" t="s">
        <v>0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100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58.64273</v>
      </c>
      <c r="C12" s="3">
        <v>26.291680000000003</v>
      </c>
      <c r="D12" s="3">
        <v>128.10854999999998</v>
      </c>
      <c r="E12" s="3">
        <v>64.398970000000006</v>
      </c>
      <c r="F12" s="3">
        <v>121.26450000000003</v>
      </c>
      <c r="G12" s="3">
        <v>274.57119</v>
      </c>
      <c r="H12" s="3">
        <v>130.96919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104.21467</v>
      </c>
      <c r="O12" s="3">
        <v>31.503670000000003</v>
      </c>
      <c r="P12" s="3">
        <v>58.251320000000007</v>
      </c>
      <c r="Q12" s="3">
        <v>68.343099999999993</v>
      </c>
      <c r="R12" s="3">
        <v>66.619519999999994</v>
      </c>
      <c r="S12" s="3">
        <v>36.499320000000004</v>
      </c>
      <c r="T12" s="3">
        <v>100.23682000000002</v>
      </c>
      <c r="U12" s="3">
        <v>25.385070000000002</v>
      </c>
      <c r="V12" s="3">
        <v>49.003659999999996</v>
      </c>
      <c r="W12" s="3">
        <v>39.492719999999991</v>
      </c>
      <c r="X12" s="3">
        <v>28.665859999999999</v>
      </c>
      <c r="Y12" s="3">
        <v>48.045750000000005</v>
      </c>
      <c r="Z12" s="3">
        <v>58.64273</v>
      </c>
      <c r="AA12" s="3">
        <v>26.291679999999999</v>
      </c>
      <c r="AB12" s="3">
        <v>128.10855000000001</v>
      </c>
      <c r="AC12" s="3">
        <v>64.398970000000006</v>
      </c>
      <c r="AD12" s="3">
        <v>121.2645</v>
      </c>
      <c r="AE12" s="3">
        <v>274.57119</v>
      </c>
      <c r="AF12" s="3">
        <v>130.96919</v>
      </c>
      <c r="AG12" s="3">
        <v>106.68385000000001</v>
      </c>
      <c r="AH12" s="3">
        <v>99.879109999999997</v>
      </c>
      <c r="AI12" s="3">
        <v>86.963530000000006</v>
      </c>
      <c r="AJ12" s="3">
        <v>55.631270000000001</v>
      </c>
      <c r="AK12" s="3">
        <v>50.032340000000012</v>
      </c>
      <c r="AL12" s="3">
        <v>58.64273</v>
      </c>
      <c r="AM12" s="3">
        <v>26.291679999999999</v>
      </c>
      <c r="AN12" s="3">
        <v>128.10855000000001</v>
      </c>
      <c r="AO12" s="3">
        <v>64.398970000000006</v>
      </c>
      <c r="AP12" s="3">
        <v>121.2645</v>
      </c>
      <c r="AQ12" s="3">
        <v>274.57119</v>
      </c>
      <c r="AR12" s="3">
        <v>59.406109999999998</v>
      </c>
      <c r="AS12" s="3">
        <v>106.44359</v>
      </c>
      <c r="AT12" s="3">
        <v>99.65419</v>
      </c>
      <c r="AU12" s="3">
        <v>86.767679999999999</v>
      </c>
      <c r="AV12" s="3">
        <v>55.505979999999994</v>
      </c>
      <c r="AW12" s="3">
        <v>49.91968</v>
      </c>
      <c r="AX12" s="3">
        <v>28.351550000000003</v>
      </c>
      <c r="AY12" s="3">
        <v>39.326050000000002</v>
      </c>
      <c r="AZ12" s="3">
        <v>93.60175000000001</v>
      </c>
      <c r="BA12" s="3">
        <v>93.19556</v>
      </c>
      <c r="BB12" s="3">
        <v>64.679079999999999</v>
      </c>
      <c r="BC12" s="3">
        <v>62.818199999999997</v>
      </c>
      <c r="BD12" s="3">
        <v>55.40959999999999</v>
      </c>
      <c r="BE12" s="3">
        <v>99.282640000000001</v>
      </c>
      <c r="BF12" s="3">
        <v>56.528689999999997</v>
      </c>
      <c r="BG12" s="3">
        <v>80.930420000000012</v>
      </c>
      <c r="BH12" s="3">
        <v>51.771839999999997</v>
      </c>
      <c r="BI12" s="3">
        <v>46.561350000000004</v>
      </c>
    </row>
    <row r="13" spans="1:61" ht="14.45" x14ac:dyDescent="0.35">
      <c r="A13" s="1" t="s">
        <v>125</v>
      </c>
      <c r="B13" s="3">
        <v>96.336209999999994</v>
      </c>
      <c r="C13" s="3">
        <v>120.72145</v>
      </c>
      <c r="D13" s="3">
        <v>96.462310000000002</v>
      </c>
      <c r="E13" s="3">
        <v>15.297229999999999</v>
      </c>
      <c r="F13" s="3">
        <v>70.130040000000008</v>
      </c>
      <c r="G13" s="3">
        <v>133.66078999999999</v>
      </c>
      <c r="H13" s="3">
        <v>14.507630000000001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5.953879999999999</v>
      </c>
      <c r="O13" s="3">
        <v>123.73199000000001</v>
      </c>
      <c r="P13" s="3">
        <v>2.0234700000000001</v>
      </c>
      <c r="Q13" s="3">
        <v>1.84293</v>
      </c>
      <c r="R13" s="3">
        <v>61.131160000000008</v>
      </c>
      <c r="S13" s="3">
        <v>6.8634800000000009</v>
      </c>
      <c r="T13" s="3">
        <v>49.183170000000011</v>
      </c>
      <c r="U13" s="3">
        <v>25.23696</v>
      </c>
      <c r="V13" s="3">
        <v>91.219169999999991</v>
      </c>
      <c r="W13" s="3">
        <v>35.162790000000001</v>
      </c>
      <c r="X13" s="3">
        <v>126.61856</v>
      </c>
      <c r="Y13" s="3">
        <v>15.193329999999998</v>
      </c>
      <c r="Z13" s="3">
        <v>96.336210000000008</v>
      </c>
      <c r="AA13" s="3">
        <v>120.72145</v>
      </c>
      <c r="AB13" s="3">
        <v>96.462310000000002</v>
      </c>
      <c r="AC13" s="3">
        <v>15.297230000000003</v>
      </c>
      <c r="AD13" s="3">
        <v>70.130040000000008</v>
      </c>
      <c r="AE13" s="3">
        <v>133.66078999999999</v>
      </c>
      <c r="AF13" s="3">
        <v>14.507630000000001</v>
      </c>
      <c r="AG13" s="3">
        <v>99.776210000000006</v>
      </c>
      <c r="AH13" s="3">
        <v>39.843520000000005</v>
      </c>
      <c r="AI13" s="3">
        <v>120.43111</v>
      </c>
      <c r="AJ13" s="3">
        <v>99.776210000000006</v>
      </c>
      <c r="AK13" s="3">
        <v>9.7559500000000003</v>
      </c>
      <c r="AL13" s="3">
        <v>96.336210000000008</v>
      </c>
      <c r="AM13" s="3">
        <v>120.72145</v>
      </c>
      <c r="AN13" s="3">
        <v>96.462310000000002</v>
      </c>
      <c r="AO13" s="3">
        <v>15.297230000000003</v>
      </c>
      <c r="AP13" s="3">
        <v>70.130040000000008</v>
      </c>
      <c r="AQ13" s="3">
        <v>133.66078999999999</v>
      </c>
      <c r="AR13" s="3">
        <v>39.753799999999998</v>
      </c>
      <c r="AS13" s="3">
        <v>99.551519999999996</v>
      </c>
      <c r="AT13" s="3">
        <v>39.753799999999998</v>
      </c>
      <c r="AU13" s="3">
        <v>120.15990999999998</v>
      </c>
      <c r="AV13" s="3">
        <v>99.551519999999996</v>
      </c>
      <c r="AW13" s="3">
        <v>9.733979999999999</v>
      </c>
      <c r="AX13" s="3">
        <v>9.0791299999999993</v>
      </c>
      <c r="AY13" s="3">
        <v>92.854230000000001</v>
      </c>
      <c r="AZ13" s="3">
        <v>37.079369999999997</v>
      </c>
      <c r="BA13" s="3">
        <v>37.079369999999997</v>
      </c>
      <c r="BB13" s="3">
        <v>167.85106000000002</v>
      </c>
      <c r="BC13" s="3">
        <v>37.079369999999997</v>
      </c>
      <c r="BD13" s="3">
        <v>37.079369999999997</v>
      </c>
      <c r="BE13" s="3">
        <v>92.854230000000001</v>
      </c>
      <c r="BF13" s="3">
        <v>37.079369999999997</v>
      </c>
      <c r="BG13" s="3">
        <v>112.07620000000001</v>
      </c>
      <c r="BH13" s="3">
        <v>92.854230000000001</v>
      </c>
      <c r="BI13" s="3">
        <v>9.0791299999999993</v>
      </c>
    </row>
    <row r="14" spans="1:61" ht="14.45" x14ac:dyDescent="0.35">
      <c r="A14" s="1" t="s">
        <v>40</v>
      </c>
      <c r="B14" s="3">
        <v>2.7874600000000003</v>
      </c>
      <c r="C14" s="3">
        <v>1.0137799999999999</v>
      </c>
      <c r="D14" s="3">
        <v>6.6573500000000001</v>
      </c>
      <c r="E14" s="3">
        <v>2.1831100000000001</v>
      </c>
      <c r="F14" s="3">
        <v>18.686540000000001</v>
      </c>
      <c r="G14" s="3">
        <v>20.732389999999995</v>
      </c>
      <c r="H14" s="3">
        <v>13.92854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2.5293299999999999</v>
      </c>
      <c r="O14" s="3">
        <v>1.69486</v>
      </c>
      <c r="P14" s="3">
        <v>2.0743200000000002</v>
      </c>
      <c r="Q14" s="3">
        <v>1.9358200000000001</v>
      </c>
      <c r="R14" s="3">
        <v>2.3519600000000001</v>
      </c>
      <c r="S14" s="3">
        <v>1.7470500000000002</v>
      </c>
      <c r="T14" s="3">
        <v>1.02701</v>
      </c>
      <c r="U14" s="3">
        <v>1.1114299999999999</v>
      </c>
      <c r="V14" s="3">
        <v>0.74334</v>
      </c>
      <c r="W14" s="3">
        <v>1.1819600000000001</v>
      </c>
      <c r="X14" s="3">
        <v>1.34799</v>
      </c>
      <c r="Y14" s="3">
        <v>1.3546500000000001</v>
      </c>
      <c r="Z14" s="3">
        <v>2.7874599999999998</v>
      </c>
      <c r="AA14" s="3">
        <v>1.0137800000000001</v>
      </c>
      <c r="AB14" s="3">
        <v>6.6573500000000001</v>
      </c>
      <c r="AC14" s="3">
        <v>2.1831100000000001</v>
      </c>
      <c r="AD14" s="3">
        <v>18.686540000000001</v>
      </c>
      <c r="AE14" s="3">
        <v>20.732389999999999</v>
      </c>
      <c r="AF14" s="3">
        <v>13.928540000000002</v>
      </c>
      <c r="AG14" s="3">
        <v>5.2777500000000002</v>
      </c>
      <c r="AH14" s="3">
        <v>1.78955</v>
      </c>
      <c r="AI14" s="3">
        <v>5.0247999999999999</v>
      </c>
      <c r="AJ14" s="3">
        <v>5.2777500000000002</v>
      </c>
      <c r="AK14" s="3">
        <v>13.575620000000001</v>
      </c>
      <c r="AL14" s="3">
        <v>2.7874599999999998</v>
      </c>
      <c r="AM14" s="3">
        <v>1.0137800000000001</v>
      </c>
      <c r="AN14" s="3">
        <v>6.6573500000000001</v>
      </c>
      <c r="AO14" s="3">
        <v>2.1831100000000001</v>
      </c>
      <c r="AP14" s="3">
        <v>18.686540000000001</v>
      </c>
      <c r="AQ14" s="3">
        <v>20.732389999999999</v>
      </c>
      <c r="AR14" s="3">
        <v>1.78552</v>
      </c>
      <c r="AS14" s="3">
        <v>5.2658699999999996</v>
      </c>
      <c r="AT14" s="3">
        <v>1.78552</v>
      </c>
      <c r="AU14" s="3">
        <v>5.01349</v>
      </c>
      <c r="AV14" s="3">
        <v>5.2658699999999996</v>
      </c>
      <c r="AW14" s="3">
        <v>13.54504</v>
      </c>
      <c r="AX14" s="3">
        <v>1.6654</v>
      </c>
      <c r="AY14" s="3">
        <v>4.9116200000000001</v>
      </c>
      <c r="AZ14" s="3">
        <v>4.6762100000000002</v>
      </c>
      <c r="BA14" s="3">
        <v>1.6654</v>
      </c>
      <c r="BB14" s="3">
        <v>4.9116200000000001</v>
      </c>
      <c r="BC14" s="3">
        <v>12.63381</v>
      </c>
      <c r="BD14" s="3">
        <v>1.6654</v>
      </c>
      <c r="BE14" s="3">
        <v>4.9116200000000001</v>
      </c>
      <c r="BF14" s="3">
        <v>1.6654</v>
      </c>
      <c r="BG14" s="3">
        <v>4.6762100000000002</v>
      </c>
      <c r="BH14" s="3">
        <v>4.9116200000000001</v>
      </c>
      <c r="BI14" s="3">
        <v>12.63381</v>
      </c>
    </row>
    <row r="15" spans="1:61" ht="14.45" x14ac:dyDescent="0.35">
      <c r="A15" s="1" t="s">
        <v>41</v>
      </c>
      <c r="B15" s="3">
        <v>0.14343</v>
      </c>
      <c r="C15" s="3">
        <v>7.5800000000000006E-2</v>
      </c>
      <c r="D15" s="3">
        <v>0</v>
      </c>
      <c r="E15" s="3">
        <v>0</v>
      </c>
      <c r="F15" s="3">
        <v>7.2340000000000002E-2</v>
      </c>
      <c r="G15" s="3">
        <v>7.1669999999999998E-2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2.0999999999999998E-2</v>
      </c>
      <c r="O15" s="3">
        <v>1.265E-2</v>
      </c>
      <c r="P15" s="3">
        <v>1.235862</v>
      </c>
      <c r="Q15" s="3">
        <v>9.9810000000000003E-3</v>
      </c>
      <c r="R15" s="3">
        <v>8.2236000000000004E-2</v>
      </c>
      <c r="S15" s="3">
        <v>1.1022910000000001</v>
      </c>
      <c r="T15" s="3">
        <v>6.0590000000000001E-3</v>
      </c>
      <c r="U15" s="3">
        <v>6.5690000000000002E-3</v>
      </c>
      <c r="V15" s="3">
        <v>8.8326130000000003</v>
      </c>
      <c r="W15" s="3">
        <v>0.19017900000000001</v>
      </c>
      <c r="X15" s="3">
        <v>4.751E-3</v>
      </c>
      <c r="Y15" s="3">
        <v>3.0070000000000001E-3</v>
      </c>
      <c r="Z15" s="3">
        <v>0.14343</v>
      </c>
      <c r="AA15" s="3">
        <v>7.5800000000000006E-2</v>
      </c>
      <c r="AB15" s="3">
        <v>0</v>
      </c>
      <c r="AC15" s="3">
        <v>0</v>
      </c>
      <c r="AD15" s="3">
        <v>7.2340000000000002E-2</v>
      </c>
      <c r="AE15" s="3">
        <v>7.1669999999999998E-2</v>
      </c>
      <c r="AF15" s="3">
        <v>0</v>
      </c>
      <c r="AG15" s="3">
        <v>16.072990000000001</v>
      </c>
      <c r="AH15" s="3">
        <v>0</v>
      </c>
      <c r="AI15" s="3">
        <v>10.967560000000001</v>
      </c>
      <c r="AJ15" s="3">
        <v>0</v>
      </c>
      <c r="AK15" s="3">
        <v>0</v>
      </c>
      <c r="AL15" s="3">
        <v>0.14343</v>
      </c>
      <c r="AM15" s="3">
        <v>7.5800000000000006E-2</v>
      </c>
      <c r="AN15" s="3">
        <v>0</v>
      </c>
      <c r="AO15" s="3">
        <v>0</v>
      </c>
      <c r="AP15" s="3">
        <v>7.2340000000000002E-2</v>
      </c>
      <c r="AQ15" s="3">
        <v>7.1669999999999998E-2</v>
      </c>
      <c r="AR15" s="3">
        <v>0</v>
      </c>
      <c r="AS15" s="3">
        <v>16.03679</v>
      </c>
      <c r="AT15" s="3">
        <v>0</v>
      </c>
      <c r="AU15" s="3">
        <v>10.94286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14.957929999999999</v>
      </c>
      <c r="BF15" s="3">
        <v>0</v>
      </c>
      <c r="BG15" s="3">
        <v>10.20668</v>
      </c>
      <c r="BH15" s="3">
        <v>0</v>
      </c>
      <c r="BI15" s="3">
        <v>0</v>
      </c>
    </row>
    <row r="16" spans="1:61" ht="14.45" x14ac:dyDescent="0.35">
      <c r="A16" s="1" t="s">
        <v>43</v>
      </c>
      <c r="B16" s="3">
        <v>1.302E-2</v>
      </c>
      <c r="C16" s="3">
        <v>1.176E-2</v>
      </c>
      <c r="D16" s="3">
        <v>2.7086410000000005</v>
      </c>
      <c r="E16" s="3">
        <v>3.4799999999999998E-2</v>
      </c>
      <c r="F16" s="3">
        <v>3.5824000000000002E-2</v>
      </c>
      <c r="G16" s="3">
        <v>3.4809999999999994E-2</v>
      </c>
      <c r="H16" s="3">
        <v>3.6063999999999999E-2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4.1769959999999999</v>
      </c>
      <c r="O16" s="3">
        <v>9.6187000000000009E-2</v>
      </c>
      <c r="P16" s="3">
        <v>11.844056</v>
      </c>
      <c r="Q16" s="3">
        <v>4.3704259999999993</v>
      </c>
      <c r="R16" s="3">
        <v>-7.9819999999999926E-3</v>
      </c>
      <c r="S16" s="3">
        <v>8.6296999999999999E-2</v>
      </c>
      <c r="T16" s="3">
        <v>3.5377000000000006E-2</v>
      </c>
      <c r="U16" s="3">
        <v>3.4299999999999997E-2</v>
      </c>
      <c r="V16" s="3">
        <v>31.352170000000005</v>
      </c>
      <c r="W16" s="3">
        <v>3.5497000000000001E-2</v>
      </c>
      <c r="X16" s="3">
        <v>-3.6487999999999986E-2</v>
      </c>
      <c r="Y16" s="3">
        <v>1.5361999999999999E-2</v>
      </c>
      <c r="Z16" s="3">
        <v>1.302E-2</v>
      </c>
      <c r="AA16" s="3">
        <v>1.176E-2</v>
      </c>
      <c r="AB16" s="3">
        <v>2.7086410000000001</v>
      </c>
      <c r="AC16" s="3">
        <v>3.4799999999999998E-2</v>
      </c>
      <c r="AD16" s="3">
        <v>3.5824000000000002E-2</v>
      </c>
      <c r="AE16" s="3">
        <v>3.4809999999999994E-2</v>
      </c>
      <c r="AF16" s="3">
        <v>3.6063999999999999E-2</v>
      </c>
      <c r="AG16" s="3">
        <v>30.370830000000002</v>
      </c>
      <c r="AH16" s="3">
        <v>60.021329999999999</v>
      </c>
      <c r="AI16" s="3">
        <v>30.370830000000002</v>
      </c>
      <c r="AJ16" s="3">
        <v>71.832519999999988</v>
      </c>
      <c r="AK16" s="3">
        <v>0</v>
      </c>
      <c r="AL16" s="3">
        <v>1.302E-2</v>
      </c>
      <c r="AM16" s="3">
        <v>1.176E-2</v>
      </c>
      <c r="AN16" s="3">
        <v>2.7086410000000001</v>
      </c>
      <c r="AO16" s="3">
        <v>3.4799999999999998E-2</v>
      </c>
      <c r="AP16" s="3">
        <v>3.5824000000000002E-2</v>
      </c>
      <c r="AQ16" s="3">
        <v>3.4809999999999994E-2</v>
      </c>
      <c r="AR16" s="3">
        <v>31.073939999999997</v>
      </c>
      <c r="AS16" s="3">
        <v>30.302439999999997</v>
      </c>
      <c r="AT16" s="3">
        <v>59.886160000000004</v>
      </c>
      <c r="AU16" s="3">
        <v>30.302439999999997</v>
      </c>
      <c r="AV16" s="3">
        <v>71.670750000000012</v>
      </c>
      <c r="AW16" s="3">
        <v>0</v>
      </c>
      <c r="AX16" s="3">
        <v>0</v>
      </c>
      <c r="AY16" s="3">
        <v>29.704789999999999</v>
      </c>
      <c r="AZ16" s="3">
        <v>32.081269999999996</v>
      </c>
      <c r="BA16" s="3">
        <v>13.896100000000001</v>
      </c>
      <c r="BB16" s="3">
        <v>28.263859999999998</v>
      </c>
      <c r="BC16" s="3">
        <v>40.001149999999996</v>
      </c>
      <c r="BD16" s="3">
        <v>28.983450000000001</v>
      </c>
      <c r="BE16" s="3">
        <v>28.263859999999998</v>
      </c>
      <c r="BF16" s="3">
        <v>55.857360000000007</v>
      </c>
      <c r="BG16" s="3">
        <v>28.263859999999998</v>
      </c>
      <c r="BH16" s="3">
        <v>66.849140000000006</v>
      </c>
      <c r="BI16" s="3">
        <v>0</v>
      </c>
    </row>
    <row r="17" spans="1:61" ht="14.45" x14ac:dyDescent="0.35">
      <c r="A17" s="1" t="s">
        <v>126</v>
      </c>
      <c r="B17" s="3">
        <v>1.9476499999999999</v>
      </c>
      <c r="C17" s="3">
        <v>1.2388399999999999</v>
      </c>
      <c r="D17" s="3">
        <v>9.230360000000001</v>
      </c>
      <c r="E17" s="3">
        <v>0</v>
      </c>
      <c r="F17" s="3">
        <v>1.65863</v>
      </c>
      <c r="G17" s="3">
        <v>58.379489999999997</v>
      </c>
      <c r="H17" s="3">
        <v>0.77444000000000002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1.4054800000000001</v>
      </c>
      <c r="O17" s="3">
        <v>3.1852399999999998</v>
      </c>
      <c r="P17" s="3">
        <v>-1.9820000000000001E-2</v>
      </c>
      <c r="Q17" s="3">
        <v>0.24879000000000001</v>
      </c>
      <c r="R17" s="3">
        <v>5.8649399999999998</v>
      </c>
      <c r="S17" s="3">
        <v>2.5284299999999997</v>
      </c>
      <c r="T17" s="3">
        <v>4.3038999999999996</v>
      </c>
      <c r="U17" s="3">
        <v>0</v>
      </c>
      <c r="V17" s="3">
        <v>2.1435499999999998</v>
      </c>
      <c r="W17" s="3">
        <v>2.4729999999999999</v>
      </c>
      <c r="X17" s="3">
        <v>0.42365000000000003</v>
      </c>
      <c r="Y17" s="3">
        <v>1.66354</v>
      </c>
      <c r="Z17" s="3">
        <v>1.9476499999999999</v>
      </c>
      <c r="AA17" s="3">
        <v>1.2388399999999999</v>
      </c>
      <c r="AB17" s="3">
        <v>9.230360000000001</v>
      </c>
      <c r="AC17" s="3">
        <v>0</v>
      </c>
      <c r="AD17" s="3">
        <v>1.65863</v>
      </c>
      <c r="AE17" s="3">
        <v>58.379489999999997</v>
      </c>
      <c r="AF17" s="3">
        <v>0.77444000000000002</v>
      </c>
      <c r="AG17" s="3">
        <v>2.7709200000000003</v>
      </c>
      <c r="AH17" s="3">
        <v>8.4632199999999997</v>
      </c>
      <c r="AI17" s="3">
        <v>8.4161800000000007</v>
      </c>
      <c r="AJ17" s="3">
        <v>7.9978199999999999</v>
      </c>
      <c r="AK17" s="3">
        <v>5.5418399999999997</v>
      </c>
      <c r="AL17" s="3">
        <v>1.9476499999999999</v>
      </c>
      <c r="AM17" s="3">
        <v>1.2388399999999999</v>
      </c>
      <c r="AN17" s="3">
        <v>9.230360000000001</v>
      </c>
      <c r="AO17" s="3">
        <v>0</v>
      </c>
      <c r="AP17" s="3">
        <v>1.65863</v>
      </c>
      <c r="AQ17" s="3">
        <v>58.379489999999997</v>
      </c>
      <c r="AR17" s="3">
        <v>11.36003</v>
      </c>
      <c r="AS17" s="3">
        <v>2.7646800000000002</v>
      </c>
      <c r="AT17" s="3">
        <v>8.4441600000000001</v>
      </c>
      <c r="AU17" s="3">
        <v>8.39724</v>
      </c>
      <c r="AV17" s="3">
        <v>7.9798100000000005</v>
      </c>
      <c r="AW17" s="3">
        <v>5.5293600000000005</v>
      </c>
      <c r="AX17" s="3">
        <v>0</v>
      </c>
      <c r="AY17" s="3">
        <v>2.7187099999999997</v>
      </c>
      <c r="AZ17" s="3">
        <v>0</v>
      </c>
      <c r="BA17" s="3">
        <v>7.8323100000000005</v>
      </c>
      <c r="BB17" s="3">
        <v>9.2238299999999995</v>
      </c>
      <c r="BC17" s="3">
        <v>7.1544100000000004</v>
      </c>
      <c r="BD17" s="3">
        <v>10.595780000000001</v>
      </c>
      <c r="BE17" s="3">
        <v>2.5786899999999999</v>
      </c>
      <c r="BF17" s="3">
        <v>7.8760899999999996</v>
      </c>
      <c r="BG17" s="3">
        <v>7.8323100000000005</v>
      </c>
      <c r="BH17" s="3">
        <v>7.4429800000000004</v>
      </c>
      <c r="BI17" s="3">
        <v>5.1573799999999999</v>
      </c>
    </row>
    <row r="18" spans="1:61" ht="14.45" x14ac:dyDescent="0.35">
      <c r="A18" s="1" t="s">
        <v>127</v>
      </c>
      <c r="B18" s="3">
        <v>3.5160000000000004E-2</v>
      </c>
      <c r="C18" s="3">
        <v>1.19722</v>
      </c>
      <c r="D18" s="3">
        <v>0.10277</v>
      </c>
      <c r="E18" s="3">
        <v>3.5520000000000003E-2</v>
      </c>
      <c r="F18" s="3">
        <v>0.80452000000000001</v>
      </c>
      <c r="G18" s="3">
        <v>0.15145999999999998</v>
      </c>
      <c r="H18" s="3">
        <v>0.65628999999999993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0.51763000000000003</v>
      </c>
      <c r="O18" s="3">
        <v>2.4142199999999998</v>
      </c>
      <c r="P18" s="3">
        <v>-9.0100000000000006E-3</v>
      </c>
      <c r="Q18" s="3">
        <v>0.74056</v>
      </c>
      <c r="R18" s="3">
        <v>5.4730099999999995</v>
      </c>
      <c r="S18" s="3">
        <v>1.6725500000000002</v>
      </c>
      <c r="T18" s="3">
        <v>0.23799000000000001</v>
      </c>
      <c r="U18" s="3">
        <v>0.51495000000000002</v>
      </c>
      <c r="V18" s="3">
        <v>0.25359999999999999</v>
      </c>
      <c r="W18" s="3">
        <v>2.4748700000000001</v>
      </c>
      <c r="X18" s="3">
        <v>65.759910000000005</v>
      </c>
      <c r="Y18" s="3">
        <v>2.5942510000000003</v>
      </c>
      <c r="Z18" s="3">
        <v>3.5160000000000004E-2</v>
      </c>
      <c r="AA18" s="3">
        <v>1.19722</v>
      </c>
      <c r="AB18" s="3">
        <v>0.10277</v>
      </c>
      <c r="AC18" s="3">
        <v>3.5520000000000003E-2</v>
      </c>
      <c r="AD18" s="3">
        <v>0.80452000000000001</v>
      </c>
      <c r="AE18" s="3">
        <v>0.15146000000000001</v>
      </c>
      <c r="AF18" s="3">
        <v>0.65628999999999993</v>
      </c>
      <c r="AG18" s="3">
        <v>6.7034899999999995</v>
      </c>
      <c r="AH18" s="3">
        <v>15.39198</v>
      </c>
      <c r="AI18" s="3">
        <v>16.51286</v>
      </c>
      <c r="AJ18" s="3">
        <v>16.01586</v>
      </c>
      <c r="AK18" s="3">
        <v>0.34921000000000002</v>
      </c>
      <c r="AL18" s="3">
        <v>3.5160000000000004E-2</v>
      </c>
      <c r="AM18" s="3">
        <v>1.19722</v>
      </c>
      <c r="AN18" s="3">
        <v>0.10277</v>
      </c>
      <c r="AO18" s="3">
        <v>3.5520000000000003E-2</v>
      </c>
      <c r="AP18" s="3">
        <v>0.80452000000000001</v>
      </c>
      <c r="AQ18" s="3">
        <v>0.15146000000000001</v>
      </c>
      <c r="AR18" s="3">
        <v>12.877000000000001</v>
      </c>
      <c r="AS18" s="3">
        <v>6.6883999999999997</v>
      </c>
      <c r="AT18" s="3">
        <v>15.35732</v>
      </c>
      <c r="AU18" s="3">
        <v>16.475680000000001</v>
      </c>
      <c r="AV18" s="3">
        <v>15.979800000000001</v>
      </c>
      <c r="AW18" s="3">
        <v>0.34843000000000002</v>
      </c>
      <c r="AX18" s="3">
        <v>0.32500000000000001</v>
      </c>
      <c r="AY18" s="3">
        <v>14.384270000000001</v>
      </c>
      <c r="AZ18" s="3">
        <v>6.0077600000000002</v>
      </c>
      <c r="BA18" s="3">
        <v>0.51506000000000007</v>
      </c>
      <c r="BB18" s="3">
        <v>14.44314</v>
      </c>
      <c r="BC18" s="3">
        <v>5.0949100000000005</v>
      </c>
      <c r="BD18" s="3">
        <v>12.01071</v>
      </c>
      <c r="BE18" s="3">
        <v>6.2384599999999999</v>
      </c>
      <c r="BF18" s="3">
        <v>14.32418</v>
      </c>
      <c r="BG18" s="3">
        <v>15.3673</v>
      </c>
      <c r="BH18" s="3">
        <v>14.904780000000001</v>
      </c>
      <c r="BI18" s="3">
        <v>0.32500000000000001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0</v>
      </c>
      <c r="C20" s="3">
        <v>0.52205999999999997</v>
      </c>
      <c r="D20" s="3">
        <v>0</v>
      </c>
      <c r="E20" s="3">
        <v>0</v>
      </c>
      <c r="F20" s="3">
        <v>0</v>
      </c>
      <c r="G20" s="3">
        <v>2.7901600000000002</v>
      </c>
      <c r="H20" s="3">
        <v>1.23882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4.1797800000000001</v>
      </c>
      <c r="S20" s="3">
        <v>3.8298899999999998</v>
      </c>
      <c r="T20" s="3">
        <v>0.50985999999999998</v>
      </c>
      <c r="U20" s="3">
        <v>2.5000000000000001E-3</v>
      </c>
      <c r="V20" s="3">
        <v>1.2079800000000001</v>
      </c>
      <c r="W20" s="3">
        <v>0</v>
      </c>
      <c r="X20" s="3">
        <v>5.7334100000000001</v>
      </c>
      <c r="Y20" s="3">
        <v>0</v>
      </c>
      <c r="Z20" s="3">
        <v>0</v>
      </c>
      <c r="AA20" s="3">
        <v>0.52205999999999997</v>
      </c>
      <c r="AB20" s="3">
        <v>0</v>
      </c>
      <c r="AC20" s="3">
        <v>0</v>
      </c>
      <c r="AD20" s="3">
        <v>0</v>
      </c>
      <c r="AE20" s="3">
        <v>2.7901600000000002</v>
      </c>
      <c r="AF20" s="3">
        <v>1.23882</v>
      </c>
      <c r="AG20" s="3">
        <v>0</v>
      </c>
      <c r="AH20" s="3">
        <v>65.116619999999998</v>
      </c>
      <c r="AI20" s="3">
        <v>0</v>
      </c>
      <c r="AJ20" s="3">
        <v>0</v>
      </c>
      <c r="AK20" s="3">
        <v>0</v>
      </c>
      <c r="AL20" s="3">
        <v>0</v>
      </c>
      <c r="AM20" s="3">
        <v>0.52205999999999997</v>
      </c>
      <c r="AN20" s="3">
        <v>0</v>
      </c>
      <c r="AO20" s="3">
        <v>0</v>
      </c>
      <c r="AP20" s="3">
        <v>0</v>
      </c>
      <c r="AQ20" s="3">
        <v>2.7901600000000002</v>
      </c>
      <c r="AR20" s="3">
        <v>0</v>
      </c>
      <c r="AS20" s="3">
        <v>0</v>
      </c>
      <c r="AT20" s="3">
        <v>64.969980000000007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9.2160299999999999</v>
      </c>
      <c r="BC20" s="3">
        <v>0</v>
      </c>
      <c r="BD20" s="3">
        <v>0</v>
      </c>
      <c r="BE20" s="3">
        <v>14.400040000000001</v>
      </c>
      <c r="BF20" s="3">
        <v>0</v>
      </c>
      <c r="BG20" s="3">
        <v>0</v>
      </c>
      <c r="BH20" s="3">
        <v>14.400040000000001</v>
      </c>
      <c r="BI20" s="3">
        <v>0</v>
      </c>
    </row>
    <row r="21" spans="1:61" ht="14.45" x14ac:dyDescent="0.35">
      <c r="A21" s="1" t="s">
        <v>130</v>
      </c>
      <c r="B21" s="3">
        <v>143.33713599999999</v>
      </c>
      <c r="C21" s="3">
        <v>277.56097900000003</v>
      </c>
      <c r="D21" s="3">
        <v>437.61679500000002</v>
      </c>
      <c r="E21" s="3">
        <v>482.48221000000001</v>
      </c>
      <c r="F21" s="3">
        <v>315.01246400000002</v>
      </c>
      <c r="G21" s="3">
        <v>1172.160122</v>
      </c>
      <c r="H21" s="3">
        <v>680.388915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211.091362</v>
      </c>
      <c r="O21" s="3">
        <v>287.15077700000001</v>
      </c>
      <c r="P21" s="3">
        <v>207.19530700000001</v>
      </c>
      <c r="Q21" s="3">
        <v>283.03735899999998</v>
      </c>
      <c r="R21" s="3">
        <v>234.368628</v>
      </c>
      <c r="S21" s="3">
        <v>521.78882999999996</v>
      </c>
      <c r="T21" s="3">
        <v>212.138295</v>
      </c>
      <c r="U21" s="3">
        <v>319.80098600000002</v>
      </c>
      <c r="V21" s="3">
        <v>307.60000100000002</v>
      </c>
      <c r="W21" s="3">
        <v>367.190652</v>
      </c>
      <c r="X21" s="3">
        <v>274.15443299999998</v>
      </c>
      <c r="Y21" s="3">
        <v>540.67258600000002</v>
      </c>
      <c r="Z21" s="3">
        <v>143.33713599999999</v>
      </c>
      <c r="AA21" s="3">
        <v>277.56097900000003</v>
      </c>
      <c r="AB21" s="3">
        <v>437.61679500000002</v>
      </c>
      <c r="AC21" s="3">
        <v>482.48221000000001</v>
      </c>
      <c r="AD21" s="3">
        <v>315.01246400000002</v>
      </c>
      <c r="AE21" s="3">
        <v>1172.160122</v>
      </c>
      <c r="AF21" s="3">
        <v>680.388915</v>
      </c>
      <c r="AG21" s="3">
        <v>434.97955999999999</v>
      </c>
      <c r="AH21" s="3">
        <v>554.24813999999992</v>
      </c>
      <c r="AI21" s="3">
        <v>591.00237000000004</v>
      </c>
      <c r="AJ21" s="3">
        <v>623.23885999999993</v>
      </c>
      <c r="AK21" s="3">
        <v>642.58077000000003</v>
      </c>
      <c r="AL21" s="3">
        <v>143.33713599999999</v>
      </c>
      <c r="AM21" s="3">
        <v>277.56097900000003</v>
      </c>
      <c r="AN21" s="3">
        <v>437.61679500000002</v>
      </c>
      <c r="AO21" s="3">
        <v>482.48221000000001</v>
      </c>
      <c r="AP21" s="3">
        <v>315.01246400000002</v>
      </c>
      <c r="AQ21" s="3">
        <v>1172.160122</v>
      </c>
      <c r="AR21" s="3">
        <v>580</v>
      </c>
      <c r="AS21" s="3">
        <v>434</v>
      </c>
      <c r="AT21" s="3">
        <v>553</v>
      </c>
      <c r="AU21" s="3">
        <v>589.67146000000002</v>
      </c>
      <c r="AV21" s="3">
        <v>621.83536000000004</v>
      </c>
      <c r="AW21" s="3">
        <v>641.13370000000009</v>
      </c>
      <c r="AX21" s="3">
        <v>260.00076999999999</v>
      </c>
      <c r="AY21" s="3">
        <v>280.00082999999995</v>
      </c>
      <c r="AZ21" s="3">
        <v>380.00112000000001</v>
      </c>
      <c r="BA21" s="3">
        <v>420.00124000000005</v>
      </c>
      <c r="BB21" s="3">
        <v>450.00133000000005</v>
      </c>
      <c r="BC21" s="3">
        <v>490.00144999999998</v>
      </c>
      <c r="BD21" s="3">
        <v>490.00144999999998</v>
      </c>
      <c r="BE21" s="3">
        <v>520.00153</v>
      </c>
      <c r="BF21" s="3">
        <v>540.00157999999999</v>
      </c>
      <c r="BG21" s="3">
        <v>550.00162</v>
      </c>
      <c r="BH21" s="3">
        <v>580.00170000000003</v>
      </c>
      <c r="BI21" s="3">
        <v>598.00175999999999</v>
      </c>
    </row>
    <row r="22" spans="1:61" ht="14.45" x14ac:dyDescent="0.35">
      <c r="A22" s="1" t="s">
        <v>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3.0599999999999998E-3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-153.45744999999999</v>
      </c>
      <c r="C23" s="3">
        <v>-151.42955999999998</v>
      </c>
      <c r="D23" s="3">
        <v>-225.47713100000001</v>
      </c>
      <c r="E23" s="3">
        <v>-82.250800999999996</v>
      </c>
      <c r="F23" s="3">
        <v>-213.01645399999998</v>
      </c>
      <c r="G23" s="3">
        <v>-399.21686999999997</v>
      </c>
      <c r="H23" s="3">
        <v>-162.60046399999999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-118.798286</v>
      </c>
      <c r="O23" s="3">
        <v>-162.63881799999999</v>
      </c>
      <c r="P23" s="3">
        <v>-50.459759999999996</v>
      </c>
      <c r="Q23" s="3">
        <v>-77.273607999999996</v>
      </c>
      <c r="R23" s="3">
        <v>-145.62362400000001</v>
      </c>
      <c r="S23" s="3">
        <v>-54.258310000000009</v>
      </c>
      <c r="T23" s="3">
        <v>-155.08021600000001</v>
      </c>
      <c r="U23" s="3">
        <v>-49.882549000000012</v>
      </c>
      <c r="V23" s="3">
        <v>-184.36644199999992</v>
      </c>
      <c r="W23" s="3">
        <v>-78.512824999999992</v>
      </c>
      <c r="X23" s="3">
        <v>-228.44980099999998</v>
      </c>
      <c r="Y23" s="3">
        <v>-68.804091</v>
      </c>
      <c r="Z23" s="3">
        <v>-153.45744999999999</v>
      </c>
      <c r="AA23" s="3">
        <v>-151.42955999999998</v>
      </c>
      <c r="AB23" s="3">
        <v>-225.47713100000001</v>
      </c>
      <c r="AC23" s="3">
        <v>-82.250800999999996</v>
      </c>
      <c r="AD23" s="3">
        <v>-213.01645399999998</v>
      </c>
      <c r="AE23" s="3">
        <v>-399.21686999999997</v>
      </c>
      <c r="AF23" s="3">
        <v>-162.60046399999999</v>
      </c>
      <c r="AG23" s="3">
        <v>-267.65604999999999</v>
      </c>
      <c r="AH23" s="3">
        <v>-186.25231000000002</v>
      </c>
      <c r="AI23" s="3">
        <v>-278.68687999999997</v>
      </c>
      <c r="AJ23" s="3">
        <v>-256.53143999999998</v>
      </c>
      <c r="AK23" s="3">
        <v>-79.25497</v>
      </c>
      <c r="AL23" s="3">
        <v>-153.45744999999999</v>
      </c>
      <c r="AM23" s="3">
        <v>-151.42955999999998</v>
      </c>
      <c r="AN23" s="3">
        <v>-225.47713100000001</v>
      </c>
      <c r="AO23" s="3">
        <v>-82.250800999999996</v>
      </c>
      <c r="AP23" s="3">
        <v>-213.01645399999998</v>
      </c>
      <c r="AQ23" s="3">
        <v>-399.21686999999997</v>
      </c>
      <c r="AR23" s="3">
        <v>-156.25637999999998</v>
      </c>
      <c r="AS23" s="3">
        <v>-267.05329</v>
      </c>
      <c r="AT23" s="3">
        <v>-185.83286000000004</v>
      </c>
      <c r="AU23" s="3">
        <v>-278.05926999999997</v>
      </c>
      <c r="AV23" s="3">
        <v>-255.95373999999998</v>
      </c>
      <c r="AW23" s="3">
        <v>-79.07650000000001</v>
      </c>
      <c r="AX23" s="3">
        <v>-39.42109</v>
      </c>
      <c r="AY23" s="3">
        <v>-183.89965999999995</v>
      </c>
      <c r="AZ23" s="3">
        <v>-173.44633000000005</v>
      </c>
      <c r="BA23" s="3">
        <v>-153.23828</v>
      </c>
      <c r="BB23" s="3">
        <v>-296.00990999999999</v>
      </c>
      <c r="BC23" s="3">
        <v>-159.62446</v>
      </c>
      <c r="BD23" s="3">
        <v>-144.79881000000003</v>
      </c>
      <c r="BE23" s="3">
        <v>-260.90877</v>
      </c>
      <c r="BF23" s="3">
        <v>-168.17368999999999</v>
      </c>
      <c r="BG23" s="3">
        <v>-258.40746999999999</v>
      </c>
      <c r="BH23" s="3">
        <v>-250.55593999999999</v>
      </c>
      <c r="BI23" s="3">
        <v>-68.599289999999996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181.90709099999998</v>
      </c>
      <c r="C27" s="3">
        <v>278.16290099999998</v>
      </c>
      <c r="D27" s="3">
        <v>455.48263999999995</v>
      </c>
      <c r="E27" s="3">
        <v>482.26338200000009</v>
      </c>
      <c r="F27" s="3">
        <v>314.73121000000003</v>
      </c>
      <c r="G27" s="3">
        <v>1263.3371299999999</v>
      </c>
      <c r="H27" s="3">
        <v>762.19894999999997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211.11206200000001</v>
      </c>
      <c r="O27" s="3">
        <v>287.15077600000001</v>
      </c>
      <c r="P27" s="3">
        <v>568.1924150000001</v>
      </c>
      <c r="Q27" s="3">
        <v>284.195358</v>
      </c>
      <c r="R27" s="3">
        <v>235.37962799999997</v>
      </c>
      <c r="S27" s="3">
        <v>522.79982799999993</v>
      </c>
      <c r="T27" s="3">
        <v>213.538265</v>
      </c>
      <c r="U27" s="3">
        <v>323.15327600000001</v>
      </c>
      <c r="V27" s="3">
        <v>319.76503000000002</v>
      </c>
      <c r="W27" s="3">
        <v>370.67476699999997</v>
      </c>
      <c r="X27" s="3">
        <v>275.20888300000001</v>
      </c>
      <c r="Y27" s="3">
        <v>542.55552599999999</v>
      </c>
      <c r="Z27" s="3">
        <v>181.90709100000001</v>
      </c>
      <c r="AA27" s="3">
        <v>278.16290099999998</v>
      </c>
      <c r="AB27" s="3">
        <v>455.48263999999995</v>
      </c>
      <c r="AC27" s="3">
        <v>482.26338200000009</v>
      </c>
      <c r="AD27" s="3">
        <v>314.73121000000003</v>
      </c>
      <c r="AE27" s="3">
        <v>1263.3371300000001</v>
      </c>
      <c r="AF27" s="3">
        <v>762.19894999999997</v>
      </c>
      <c r="AG27" s="3">
        <v>434.97955000000007</v>
      </c>
      <c r="AH27" s="3">
        <v>658.50115999999991</v>
      </c>
      <c r="AI27" s="3">
        <v>591.00235999999995</v>
      </c>
      <c r="AJ27" s="3">
        <v>623.23884999999996</v>
      </c>
      <c r="AK27" s="3">
        <v>642.58076000000017</v>
      </c>
      <c r="AL27" s="3">
        <v>181.90709100000001</v>
      </c>
      <c r="AM27" s="3">
        <v>278.16290099999998</v>
      </c>
      <c r="AN27" s="3">
        <v>455.48263999999995</v>
      </c>
      <c r="AO27" s="3">
        <v>482.26338200000009</v>
      </c>
      <c r="AP27" s="3">
        <v>314.73121000000003</v>
      </c>
      <c r="AQ27" s="3">
        <v>1263.3371300000001</v>
      </c>
      <c r="AR27" s="3">
        <v>580.00001999999984</v>
      </c>
      <c r="AS27" s="3">
        <v>434.00000000000011</v>
      </c>
      <c r="AT27" s="3">
        <v>657.01826999999992</v>
      </c>
      <c r="AU27" s="3">
        <v>589.67148999999984</v>
      </c>
      <c r="AV27" s="3">
        <v>621.83534999999995</v>
      </c>
      <c r="AW27" s="3">
        <v>641.13369000000023</v>
      </c>
      <c r="AX27" s="3">
        <v>260.00076000000001</v>
      </c>
      <c r="AY27" s="3">
        <v>280.00084000000004</v>
      </c>
      <c r="AZ27" s="3">
        <v>380.00115</v>
      </c>
      <c r="BA27" s="3">
        <v>420.94675999999998</v>
      </c>
      <c r="BB27" s="3">
        <v>452.58004000000017</v>
      </c>
      <c r="BC27" s="3">
        <v>495.15884000000005</v>
      </c>
      <c r="BD27" s="3">
        <v>490.94695000000013</v>
      </c>
      <c r="BE27" s="3">
        <v>522.58023000000003</v>
      </c>
      <c r="BF27" s="3">
        <v>545.15898000000004</v>
      </c>
      <c r="BG27" s="3">
        <v>550.94713000000002</v>
      </c>
      <c r="BH27" s="3">
        <v>582.58038999999997</v>
      </c>
      <c r="BI27" s="3">
        <v>603.15914000000009</v>
      </c>
    </row>
    <row r="28" spans="1:61" x14ac:dyDescent="0.25">
      <c r="A28" s="1" t="s">
        <v>97</v>
      </c>
      <c r="B28" s="3">
        <v>149.785346</v>
      </c>
      <c r="C28" s="3">
        <v>277.20400899999999</v>
      </c>
      <c r="D28" s="3">
        <v>455.40964499999995</v>
      </c>
      <c r="E28" s="3">
        <v>482.18103900000006</v>
      </c>
      <c r="F28" s="3">
        <v>314.64840400000003</v>
      </c>
      <c r="G28" s="3">
        <v>1263.335212</v>
      </c>
      <c r="H28" s="3">
        <v>679.89942500000006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211.11206200000001</v>
      </c>
      <c r="O28" s="3">
        <v>287.15077600000001</v>
      </c>
      <c r="P28" s="3">
        <v>232.13574499999999</v>
      </c>
      <c r="Q28" s="3">
        <v>283.255358</v>
      </c>
      <c r="R28" s="3">
        <v>234.43962799999997</v>
      </c>
      <c r="S28" s="3">
        <v>521.85982799999999</v>
      </c>
      <c r="T28" s="3">
        <v>212.598265</v>
      </c>
      <c r="U28" s="3">
        <v>322.21327600000001</v>
      </c>
      <c r="V28" s="3">
        <v>307.98964199999995</v>
      </c>
      <c r="W28" s="3">
        <v>369.68884300000002</v>
      </c>
      <c r="X28" s="3">
        <v>274.22227500000002</v>
      </c>
      <c r="Y28" s="3">
        <v>540.73838499999999</v>
      </c>
      <c r="Z28" s="3">
        <v>149.785346</v>
      </c>
      <c r="AA28" s="3">
        <v>277.20400899999999</v>
      </c>
      <c r="AB28" s="3">
        <v>455.40964499999995</v>
      </c>
      <c r="AC28" s="3">
        <v>482.18103900000006</v>
      </c>
      <c r="AD28" s="3">
        <v>314.64840400000003</v>
      </c>
      <c r="AE28" s="3">
        <v>1263.3352120000002</v>
      </c>
      <c r="AF28" s="3">
        <v>679.89942500000006</v>
      </c>
      <c r="AG28" s="3">
        <v>434.97955000000007</v>
      </c>
      <c r="AH28" s="3">
        <v>658.50115999999991</v>
      </c>
      <c r="AI28" s="3">
        <v>591.00235999999995</v>
      </c>
      <c r="AJ28" s="3">
        <v>623.23884999999996</v>
      </c>
      <c r="AK28" s="3">
        <v>642.58076000000017</v>
      </c>
      <c r="AL28" s="3">
        <v>149.785346</v>
      </c>
      <c r="AM28" s="3">
        <v>277.20400899999999</v>
      </c>
      <c r="AN28" s="3">
        <v>455.40964499999995</v>
      </c>
      <c r="AO28" s="3">
        <v>482.18103900000006</v>
      </c>
      <c r="AP28" s="3">
        <v>314.64840400000003</v>
      </c>
      <c r="AQ28" s="3">
        <v>1263.3352120000002</v>
      </c>
      <c r="AR28" s="3">
        <v>580.00001999999984</v>
      </c>
      <c r="AS28" s="3">
        <v>434.00000000000011</v>
      </c>
      <c r="AT28" s="3">
        <v>657.01826999999992</v>
      </c>
      <c r="AU28" s="3">
        <v>589.67148999999984</v>
      </c>
      <c r="AV28" s="3">
        <v>621.83534999999995</v>
      </c>
      <c r="AW28" s="3">
        <v>641.13369000000023</v>
      </c>
      <c r="AX28" s="3">
        <v>260.00076000000001</v>
      </c>
      <c r="AY28" s="3">
        <v>280.00084000000004</v>
      </c>
      <c r="AZ28" s="3">
        <v>380.00115</v>
      </c>
      <c r="BA28" s="3">
        <v>420.94675999999998</v>
      </c>
      <c r="BB28" s="3">
        <v>452.58004000000017</v>
      </c>
      <c r="BC28" s="3">
        <v>495.15884000000005</v>
      </c>
      <c r="BD28" s="3">
        <v>490.94695000000013</v>
      </c>
      <c r="BE28" s="3">
        <v>522.58023000000003</v>
      </c>
      <c r="BF28" s="3">
        <v>545.15898000000004</v>
      </c>
      <c r="BG28" s="3">
        <v>550.94713000000002</v>
      </c>
      <c r="BH28" s="3">
        <v>582.58038999999997</v>
      </c>
      <c r="BI28" s="3">
        <v>603.15914000000009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61.573620000000005</v>
      </c>
      <c r="C30" s="3">
        <v>27.381260000000005</v>
      </c>
      <c r="D30" s="3">
        <v>134.76589999999999</v>
      </c>
      <c r="E30" s="3">
        <v>66.582079999999991</v>
      </c>
      <c r="F30" s="3">
        <v>140.02337999999997</v>
      </c>
      <c r="G30" s="3">
        <v>295.37524999999999</v>
      </c>
      <c r="H30" s="3">
        <v>144.89773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106.76500000000003</v>
      </c>
      <c r="O30" s="3">
        <v>33.211179999999999</v>
      </c>
      <c r="P30" s="3">
        <v>61.561502000000004</v>
      </c>
      <c r="Q30" s="3">
        <v>70.288900999999996</v>
      </c>
      <c r="R30" s="3">
        <v>69.053716000000009</v>
      </c>
      <c r="S30" s="3">
        <v>39.348661</v>
      </c>
      <c r="T30" s="3">
        <v>101.26988900000001</v>
      </c>
      <c r="U30" s="3">
        <v>26.503069</v>
      </c>
      <c r="V30" s="3">
        <v>58.579613000000002</v>
      </c>
      <c r="W30" s="3">
        <v>40.864859000000003</v>
      </c>
      <c r="X30" s="3">
        <v>30.018601000000004</v>
      </c>
      <c r="Y30" s="3">
        <v>49.403407000000001</v>
      </c>
      <c r="Z30" s="3">
        <v>61.573620000000005</v>
      </c>
      <c r="AA30" s="3">
        <v>27.381260000000005</v>
      </c>
      <c r="AB30" s="3">
        <v>134.76589999999996</v>
      </c>
      <c r="AC30" s="3">
        <v>66.582080000000005</v>
      </c>
      <c r="AD30" s="3">
        <v>140.02338</v>
      </c>
      <c r="AE30" s="3">
        <v>295.37525000000005</v>
      </c>
      <c r="AF30" s="3">
        <v>144.89773</v>
      </c>
      <c r="AG30" s="3">
        <v>128.03459000000001</v>
      </c>
      <c r="AH30" s="3">
        <v>101.66866</v>
      </c>
      <c r="AI30" s="3">
        <v>102.95589000000001</v>
      </c>
      <c r="AJ30" s="3">
        <v>60.909019999999998</v>
      </c>
      <c r="AK30" s="3">
        <v>63.607960000000013</v>
      </c>
      <c r="AL30" s="3">
        <v>61.573620000000005</v>
      </c>
      <c r="AM30" s="3">
        <v>27.381260000000005</v>
      </c>
      <c r="AN30" s="3">
        <v>134.76589999999996</v>
      </c>
      <c r="AO30" s="3">
        <v>66.582080000000005</v>
      </c>
      <c r="AP30" s="3">
        <v>140.02338</v>
      </c>
      <c r="AQ30" s="3">
        <v>295.37525000000005</v>
      </c>
      <c r="AR30" s="3">
        <v>61.191629999999996</v>
      </c>
      <c r="AS30" s="3">
        <v>127.74625</v>
      </c>
      <c r="AT30" s="3">
        <v>101.43971000000001</v>
      </c>
      <c r="AU30" s="3">
        <v>102.72403</v>
      </c>
      <c r="AV30" s="3">
        <v>60.771849999999993</v>
      </c>
      <c r="AW30" s="3">
        <v>63.46472</v>
      </c>
      <c r="AX30" s="3">
        <v>30.016950000000001</v>
      </c>
      <c r="AY30" s="3">
        <v>44.237670000000001</v>
      </c>
      <c r="AZ30" s="3">
        <v>98.277960000000007</v>
      </c>
      <c r="BA30" s="3">
        <v>94.860959999999992</v>
      </c>
      <c r="BB30" s="3">
        <v>69.590699999999998</v>
      </c>
      <c r="BC30" s="3">
        <v>75.452010000000001</v>
      </c>
      <c r="BD30" s="3">
        <v>57.074999999999989</v>
      </c>
      <c r="BE30" s="3">
        <v>119.15219</v>
      </c>
      <c r="BF30" s="3">
        <v>58.194090000000003</v>
      </c>
      <c r="BG30" s="3">
        <v>95.813310000000016</v>
      </c>
      <c r="BH30" s="3">
        <v>56.683459999999997</v>
      </c>
      <c r="BI30" s="3">
        <v>59.195160000000001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-54.281579999999998</v>
      </c>
      <c r="C32" s="3">
        <v>-26.610970000000002</v>
      </c>
      <c r="D32" s="3">
        <v>-127.80190000000002</v>
      </c>
      <c r="E32" s="3">
        <v>-64.735849999999985</v>
      </c>
      <c r="F32" s="3">
        <v>-121.42956000000002</v>
      </c>
      <c r="G32" s="3">
        <v>-183.37174000000002</v>
      </c>
      <c r="H32" s="3">
        <v>-131.26300999999998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-104.19396999999999</v>
      </c>
      <c r="O32" s="3">
        <v>-31.50367</v>
      </c>
      <c r="P32" s="3">
        <v>-33.310879999999997</v>
      </c>
      <c r="Q32" s="3">
        <v>-68.272099999999995</v>
      </c>
      <c r="R32" s="3">
        <v>-66.548519999999996</v>
      </c>
      <c r="S32" s="3">
        <v>-36.428320000000006</v>
      </c>
      <c r="T32" s="3">
        <v>-99.77685000000001</v>
      </c>
      <c r="U32" s="3">
        <v>-22.975840000000002</v>
      </c>
      <c r="V32" s="3">
        <v>-48.614019999999996</v>
      </c>
      <c r="W32" s="3">
        <v>-36.994529999999997</v>
      </c>
      <c r="X32" s="3">
        <v>-28.598019999999998</v>
      </c>
      <c r="Y32" s="3">
        <v>-47.979950000000002</v>
      </c>
      <c r="Z32" s="3">
        <v>-54.281579999999998</v>
      </c>
      <c r="AA32" s="3">
        <v>-26.610970000000002</v>
      </c>
      <c r="AB32" s="3">
        <v>-127.80190000000002</v>
      </c>
      <c r="AC32" s="3">
        <v>-64.735849999999985</v>
      </c>
      <c r="AD32" s="3">
        <v>-121.42956000000002</v>
      </c>
      <c r="AE32" s="3">
        <v>-183.37174000000002</v>
      </c>
      <c r="AF32" s="3">
        <v>-131.26300999999998</v>
      </c>
      <c r="AG32" s="3">
        <v>-106.68384</v>
      </c>
      <c r="AH32" s="3">
        <v>-60.742710000000002</v>
      </c>
      <c r="AI32" s="3">
        <v>-86.963520000000003</v>
      </c>
      <c r="AJ32" s="3">
        <v>-55.631259999999997</v>
      </c>
      <c r="AK32" s="3">
        <v>-50.032350000000001</v>
      </c>
      <c r="AL32" s="3">
        <v>-54.281579999999998</v>
      </c>
      <c r="AM32" s="3">
        <v>-26.610970000000002</v>
      </c>
      <c r="AN32" s="3">
        <v>-127.80190000000002</v>
      </c>
      <c r="AO32" s="3">
        <v>-64.735849999999985</v>
      </c>
      <c r="AP32" s="3">
        <v>-121.42956000000002</v>
      </c>
      <c r="AQ32" s="3">
        <v>-183.37174000000002</v>
      </c>
      <c r="AR32" s="3">
        <v>-59.406120000000001</v>
      </c>
      <c r="AS32" s="3">
        <v>-106.44359</v>
      </c>
      <c r="AT32" s="3">
        <v>-60.605919999999998</v>
      </c>
      <c r="AU32" s="3">
        <v>-86.767679999999999</v>
      </c>
      <c r="AV32" s="3">
        <v>-55.505989999999997</v>
      </c>
      <c r="AW32" s="3">
        <v>-49.91968</v>
      </c>
      <c r="AX32" s="3">
        <v>-28.351569999999999</v>
      </c>
      <c r="AY32" s="3">
        <v>-39.326059999999998</v>
      </c>
      <c r="AZ32" s="3">
        <v>-93.601740000000007</v>
      </c>
      <c r="BA32" s="3">
        <v>-93.195580000000007</v>
      </c>
      <c r="BB32" s="3">
        <v>-64.679090000000002</v>
      </c>
      <c r="BC32" s="3">
        <v>-62.818199999999997</v>
      </c>
      <c r="BD32" s="3">
        <v>-55.409610000000001</v>
      </c>
      <c r="BE32" s="3">
        <v>-99.282650000000004</v>
      </c>
      <c r="BF32" s="3">
        <v>-56.528689999999997</v>
      </c>
      <c r="BG32" s="3">
        <v>-80.930430000000001</v>
      </c>
      <c r="BH32" s="3">
        <v>-51.771850000000001</v>
      </c>
      <c r="BI32" s="3">
        <v>-46.561360000000001</v>
      </c>
    </row>
    <row r="33" spans="1:61" x14ac:dyDescent="0.25">
      <c r="A33" s="1" t="s">
        <v>32</v>
      </c>
      <c r="B33" s="3">
        <v>-95.068709999999996</v>
      </c>
      <c r="C33" s="3">
        <v>-120.74393000000001</v>
      </c>
      <c r="D33" s="3">
        <v>-78.94171</v>
      </c>
      <c r="E33" s="3">
        <v>-15.229409999999998</v>
      </c>
      <c r="F33" s="3">
        <v>-70.179140000000004</v>
      </c>
      <c r="G33" s="3">
        <v>-133.65367000000001</v>
      </c>
      <c r="H33" s="3">
        <v>-14.48554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-5.9538799999999998</v>
      </c>
      <c r="O33" s="3">
        <v>-123.73199000000001</v>
      </c>
      <c r="P33" s="3">
        <v>-2.0234700000000001</v>
      </c>
      <c r="Q33" s="3">
        <v>-1.8429300000000002</v>
      </c>
      <c r="R33" s="3">
        <v>-61.131160000000008</v>
      </c>
      <c r="S33" s="3">
        <v>-6.86348</v>
      </c>
      <c r="T33" s="3">
        <v>-49.183170000000011</v>
      </c>
      <c r="U33" s="3">
        <v>-25.23696</v>
      </c>
      <c r="V33" s="3">
        <v>-91.219169999999991</v>
      </c>
      <c r="W33" s="3">
        <v>-35.162790000000001</v>
      </c>
      <c r="X33" s="3">
        <v>-126.61856</v>
      </c>
      <c r="Y33" s="3">
        <v>-15.193329999999998</v>
      </c>
      <c r="Z33" s="3">
        <v>-95.068709999999996</v>
      </c>
      <c r="AA33" s="3">
        <v>-120.74393000000001</v>
      </c>
      <c r="AB33" s="3">
        <v>-78.94171</v>
      </c>
      <c r="AC33" s="3">
        <v>-15.229409999999998</v>
      </c>
      <c r="AD33" s="3">
        <v>-70.179140000000004</v>
      </c>
      <c r="AE33" s="3">
        <v>-133.65367000000001</v>
      </c>
      <c r="AF33" s="3">
        <v>-14.48554</v>
      </c>
      <c r="AG33" s="3">
        <v>-99.776210000000006</v>
      </c>
      <c r="AH33" s="3">
        <v>-39.843519999999998</v>
      </c>
      <c r="AI33" s="3">
        <v>-120.43111</v>
      </c>
      <c r="AJ33" s="3">
        <v>-99.776210000000006</v>
      </c>
      <c r="AK33" s="3">
        <v>-9.7559500000000003</v>
      </c>
      <c r="AL33" s="3">
        <v>-95.068709999999996</v>
      </c>
      <c r="AM33" s="3">
        <v>-120.74393000000001</v>
      </c>
      <c r="AN33" s="3">
        <v>-78.94171</v>
      </c>
      <c r="AO33" s="3">
        <v>-15.229409999999998</v>
      </c>
      <c r="AP33" s="3">
        <v>-70.179140000000004</v>
      </c>
      <c r="AQ33" s="3">
        <v>-133.65367000000001</v>
      </c>
      <c r="AR33" s="3">
        <v>-39.753790000000002</v>
      </c>
      <c r="AS33" s="3">
        <v>-99.551519999999996</v>
      </c>
      <c r="AT33" s="3">
        <v>-39.753790000000002</v>
      </c>
      <c r="AU33" s="3">
        <v>-120.15989999999999</v>
      </c>
      <c r="AV33" s="3">
        <v>-99.551519999999996</v>
      </c>
      <c r="AW33" s="3">
        <v>-9.7339800000000007</v>
      </c>
      <c r="AX33" s="3">
        <v>-9.0791299999999993</v>
      </c>
      <c r="AY33" s="3">
        <v>-92.854240000000004</v>
      </c>
      <c r="AZ33" s="3">
        <v>-37.07938</v>
      </c>
      <c r="BA33" s="3">
        <v>-37.07938</v>
      </c>
      <c r="BB33" s="3">
        <v>-167.85106999999999</v>
      </c>
      <c r="BC33" s="3">
        <v>-37.07938</v>
      </c>
      <c r="BD33" s="3">
        <v>-37.07938</v>
      </c>
      <c r="BE33" s="3">
        <v>-92.854240000000004</v>
      </c>
      <c r="BF33" s="3">
        <v>-37.07938</v>
      </c>
      <c r="BG33" s="3">
        <v>-112.07621</v>
      </c>
      <c r="BH33" s="3">
        <v>-92.854240000000004</v>
      </c>
      <c r="BI33" s="3">
        <v>-9.0791299999999993</v>
      </c>
    </row>
    <row r="34" spans="1:61" x14ac:dyDescent="0.25">
      <c r="A34" s="1" t="s">
        <v>33</v>
      </c>
      <c r="B34" s="3">
        <v>-2.0343300000000002</v>
      </c>
      <c r="C34" s="3">
        <v>-1.0287999999999999</v>
      </c>
      <c r="D34" s="3">
        <v>-6.6760799999999998</v>
      </c>
      <c r="E34" s="3">
        <v>-2.2150400000000001</v>
      </c>
      <c r="F34" s="3">
        <v>-18.81887</v>
      </c>
      <c r="G34" s="3">
        <v>-20.76369</v>
      </c>
      <c r="H34" s="3">
        <v>-14.119059999999999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-2.5293299999999999</v>
      </c>
      <c r="O34" s="3">
        <v>-1.69486</v>
      </c>
      <c r="P34" s="3">
        <v>-2.0743199999999997</v>
      </c>
      <c r="Q34" s="3">
        <v>-1.9358200000000001</v>
      </c>
      <c r="R34" s="3">
        <v>-2.3519600000000001</v>
      </c>
      <c r="S34" s="3">
        <v>-1.7470500000000002</v>
      </c>
      <c r="T34" s="3">
        <v>-1.02701</v>
      </c>
      <c r="U34" s="3">
        <v>-1.1114299999999999</v>
      </c>
      <c r="V34" s="3">
        <v>-0.74334</v>
      </c>
      <c r="W34" s="3">
        <v>-1.1819600000000001</v>
      </c>
      <c r="X34" s="3">
        <v>-1.34799</v>
      </c>
      <c r="Y34" s="3">
        <v>-1.3546500000000001</v>
      </c>
      <c r="Z34" s="3">
        <v>-2.0343300000000002</v>
      </c>
      <c r="AA34" s="3">
        <v>-1.0287999999999999</v>
      </c>
      <c r="AB34" s="3">
        <v>-6.6760799999999998</v>
      </c>
      <c r="AC34" s="3">
        <v>-2.2150400000000001</v>
      </c>
      <c r="AD34" s="3">
        <v>-18.81887</v>
      </c>
      <c r="AE34" s="3">
        <v>-20.76369</v>
      </c>
      <c r="AF34" s="3">
        <v>-14.119059999999999</v>
      </c>
      <c r="AG34" s="3">
        <v>-5.2777599999999998</v>
      </c>
      <c r="AH34" s="3">
        <v>-1.78955</v>
      </c>
      <c r="AI34" s="3">
        <v>-5.0248100000000004</v>
      </c>
      <c r="AJ34" s="3">
        <v>-5.2777599999999998</v>
      </c>
      <c r="AK34" s="3">
        <v>-13.575620000000001</v>
      </c>
      <c r="AL34" s="3">
        <v>-2.0343300000000002</v>
      </c>
      <c r="AM34" s="3">
        <v>-1.0287999999999999</v>
      </c>
      <c r="AN34" s="3">
        <v>-6.6760799999999998</v>
      </c>
      <c r="AO34" s="3">
        <v>-2.2150400000000001</v>
      </c>
      <c r="AP34" s="3">
        <v>-18.81887</v>
      </c>
      <c r="AQ34" s="3">
        <v>-20.76369</v>
      </c>
      <c r="AR34" s="3">
        <v>-1.78552</v>
      </c>
      <c r="AS34" s="3">
        <v>-5.2658699999999996</v>
      </c>
      <c r="AT34" s="3">
        <v>-1.78552</v>
      </c>
      <c r="AU34" s="3">
        <v>-5.01349</v>
      </c>
      <c r="AV34" s="3">
        <v>-5.2658699999999996</v>
      </c>
      <c r="AW34" s="3">
        <v>-13.54505</v>
      </c>
      <c r="AX34" s="3">
        <v>-1.6654</v>
      </c>
      <c r="AY34" s="3">
        <v>-4.9116099999999996</v>
      </c>
      <c r="AZ34" s="3">
        <v>-4.6762100000000002</v>
      </c>
      <c r="BA34" s="3">
        <v>-1.6654</v>
      </c>
      <c r="BB34" s="3">
        <v>-4.9116099999999996</v>
      </c>
      <c r="BC34" s="3">
        <v>-12.63381</v>
      </c>
      <c r="BD34" s="3">
        <v>-1.6654</v>
      </c>
      <c r="BE34" s="3">
        <v>-4.9116099999999996</v>
      </c>
      <c r="BF34" s="3">
        <v>-1.6654</v>
      </c>
      <c r="BG34" s="3">
        <v>-4.6762100000000002</v>
      </c>
      <c r="BH34" s="3">
        <v>-4.9116099999999996</v>
      </c>
      <c r="BI34" s="3">
        <v>-12.63381</v>
      </c>
    </row>
    <row r="35" spans="1:61" x14ac:dyDescent="0.25">
      <c r="A35" s="1" t="s">
        <v>37</v>
      </c>
      <c r="B35" s="3">
        <v>-0.14343</v>
      </c>
      <c r="C35" s="3">
        <v>-7.5800000000000006E-2</v>
      </c>
      <c r="D35" s="3">
        <v>0</v>
      </c>
      <c r="E35" s="3">
        <v>0</v>
      </c>
      <c r="F35" s="3">
        <v>-7.2340000000000002E-2</v>
      </c>
      <c r="G35" s="3">
        <v>-7.1669999999999998E-2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-2.0999999999999998E-2</v>
      </c>
      <c r="O35" s="3">
        <v>-1.265E-2</v>
      </c>
      <c r="P35" s="3">
        <v>-1.235862</v>
      </c>
      <c r="Q35" s="3">
        <v>-9.9810000000000003E-3</v>
      </c>
      <c r="R35" s="3">
        <v>-8.2236000000000004E-2</v>
      </c>
      <c r="S35" s="3">
        <v>-1.1022910000000001</v>
      </c>
      <c r="T35" s="3">
        <v>-6.0590000000000001E-3</v>
      </c>
      <c r="U35" s="3">
        <v>-6.5690000000000002E-3</v>
      </c>
      <c r="V35" s="3">
        <v>-8.8326130000000003</v>
      </c>
      <c r="W35" s="3">
        <v>-0.19017900000000001</v>
      </c>
      <c r="X35" s="3">
        <v>-4.751E-3</v>
      </c>
      <c r="Y35" s="3">
        <v>-3.0070000000000001E-3</v>
      </c>
      <c r="Z35" s="3">
        <v>-0.14343</v>
      </c>
      <c r="AA35" s="3">
        <v>-7.5800000000000006E-2</v>
      </c>
      <c r="AB35" s="3">
        <v>0</v>
      </c>
      <c r="AC35" s="3">
        <v>0</v>
      </c>
      <c r="AD35" s="3">
        <v>-7.2340000000000002E-2</v>
      </c>
      <c r="AE35" s="3">
        <v>-7.1669999999999998E-2</v>
      </c>
      <c r="AF35" s="3">
        <v>0</v>
      </c>
      <c r="AG35" s="3">
        <v>-16.072990000000001</v>
      </c>
      <c r="AH35" s="3">
        <v>0</v>
      </c>
      <c r="AI35" s="3">
        <v>-10.967560000000001</v>
      </c>
      <c r="AJ35" s="3">
        <v>0</v>
      </c>
      <c r="AK35" s="3">
        <v>0</v>
      </c>
      <c r="AL35" s="3">
        <v>-0.14343</v>
      </c>
      <c r="AM35" s="3">
        <v>-7.5800000000000006E-2</v>
      </c>
      <c r="AN35" s="3">
        <v>0</v>
      </c>
      <c r="AO35" s="3">
        <v>0</v>
      </c>
      <c r="AP35" s="3">
        <v>-7.2340000000000002E-2</v>
      </c>
      <c r="AQ35" s="3">
        <v>-7.1669999999999998E-2</v>
      </c>
      <c r="AR35" s="3">
        <v>0</v>
      </c>
      <c r="AS35" s="3">
        <v>-16.03679</v>
      </c>
      <c r="AT35" s="3">
        <v>0</v>
      </c>
      <c r="AU35" s="3">
        <v>-10.94286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-14.95792</v>
      </c>
      <c r="BF35" s="3">
        <v>0</v>
      </c>
      <c r="BG35" s="3">
        <v>-10.20668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6.8900000000000003E-3</v>
      </c>
      <c r="C36" s="3">
        <v>-1.176E-2</v>
      </c>
      <c r="D36" s="3">
        <v>-2.7241310000000003</v>
      </c>
      <c r="E36" s="3">
        <v>-3.4800999999999999E-2</v>
      </c>
      <c r="F36" s="3">
        <v>-3.5824000000000002E-2</v>
      </c>
      <c r="G36" s="3">
        <v>-3.4810000000000001E-2</v>
      </c>
      <c r="H36" s="3">
        <v>-3.6063999999999999E-2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-4.1769959999999999</v>
      </c>
      <c r="O36" s="3">
        <v>-9.6187999999999996E-2</v>
      </c>
      <c r="P36" s="3">
        <v>-11.844057999999999</v>
      </c>
      <c r="Q36" s="3">
        <v>-4.3704270000000003</v>
      </c>
      <c r="R36" s="3">
        <v>7.9820000000000099E-3</v>
      </c>
      <c r="S36" s="3">
        <v>-8.6299000000000001E-2</v>
      </c>
      <c r="T36" s="3">
        <v>-3.5377000000000006E-2</v>
      </c>
      <c r="U36" s="3">
        <v>-3.4299999999999997E-2</v>
      </c>
      <c r="V36" s="3">
        <v>-31.352168999999996</v>
      </c>
      <c r="W36" s="3">
        <v>-3.5496E-2</v>
      </c>
      <c r="X36" s="3">
        <v>3.6489999999999995E-2</v>
      </c>
      <c r="Y36" s="3">
        <v>-1.5363E-2</v>
      </c>
      <c r="Z36" s="3">
        <v>6.8900000000000003E-3</v>
      </c>
      <c r="AA36" s="3">
        <v>-1.176E-2</v>
      </c>
      <c r="AB36" s="3">
        <v>-2.7241310000000003</v>
      </c>
      <c r="AC36" s="3">
        <v>-3.4800999999999999E-2</v>
      </c>
      <c r="AD36" s="3">
        <v>-3.5824000000000002E-2</v>
      </c>
      <c r="AE36" s="3">
        <v>-3.4810000000000001E-2</v>
      </c>
      <c r="AF36" s="3">
        <v>-3.6063999999999999E-2</v>
      </c>
      <c r="AG36" s="3">
        <v>-30.370830000000002</v>
      </c>
      <c r="AH36" s="3">
        <v>-60.021329999999999</v>
      </c>
      <c r="AI36" s="3">
        <v>-30.370830000000002</v>
      </c>
      <c r="AJ36" s="3">
        <v>-71.832520000000002</v>
      </c>
      <c r="AK36" s="3">
        <v>0</v>
      </c>
      <c r="AL36" s="3">
        <v>6.8900000000000003E-3</v>
      </c>
      <c r="AM36" s="3">
        <v>-1.176E-2</v>
      </c>
      <c r="AN36" s="3">
        <v>-2.7241310000000003</v>
      </c>
      <c r="AO36" s="3">
        <v>-3.4800999999999999E-2</v>
      </c>
      <c r="AP36" s="3">
        <v>-3.5824000000000002E-2</v>
      </c>
      <c r="AQ36" s="3">
        <v>-3.4810000000000001E-2</v>
      </c>
      <c r="AR36" s="3">
        <v>-31.073930000000001</v>
      </c>
      <c r="AS36" s="3">
        <v>-30.302440000000001</v>
      </c>
      <c r="AT36" s="3">
        <v>-59.886159999999997</v>
      </c>
      <c r="AU36" s="3">
        <v>-30.302440000000001</v>
      </c>
      <c r="AV36" s="3">
        <v>-71.670749999999998</v>
      </c>
      <c r="AW36" s="3">
        <v>0</v>
      </c>
      <c r="AX36" s="3">
        <v>0</v>
      </c>
      <c r="AY36" s="3">
        <v>-29.70478</v>
      </c>
      <c r="AZ36" s="3">
        <v>-32.08126</v>
      </c>
      <c r="BA36" s="3">
        <v>-13.896090000000001</v>
      </c>
      <c r="BB36" s="3">
        <v>-28.263860000000001</v>
      </c>
      <c r="BC36" s="3">
        <v>-40.001159999999999</v>
      </c>
      <c r="BD36" s="3">
        <v>-28.983450000000001</v>
      </c>
      <c r="BE36" s="3">
        <v>-28.263860000000001</v>
      </c>
      <c r="BF36" s="3">
        <v>-55.857349999999997</v>
      </c>
      <c r="BG36" s="3">
        <v>-28.263860000000001</v>
      </c>
      <c r="BH36" s="3">
        <v>-66.849140000000006</v>
      </c>
      <c r="BI36" s="3">
        <v>0</v>
      </c>
    </row>
    <row r="37" spans="1:61" x14ac:dyDescent="0.25">
      <c r="A37" s="1" t="s">
        <v>35</v>
      </c>
      <c r="B37" s="3">
        <v>-1.9476499999999999</v>
      </c>
      <c r="C37" s="3">
        <v>-1.2388399999999999</v>
      </c>
      <c r="D37" s="3">
        <v>-9.230360000000001</v>
      </c>
      <c r="E37" s="3">
        <v>0</v>
      </c>
      <c r="F37" s="3">
        <v>-1.65863</v>
      </c>
      <c r="G37" s="3">
        <v>-58.379490000000004</v>
      </c>
      <c r="H37" s="3">
        <v>-0.77444000000000002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-1.4054800000000001</v>
      </c>
      <c r="O37" s="3">
        <v>-3.1852399999999998</v>
      </c>
      <c r="P37" s="3">
        <v>1.9820000000000001E-2</v>
      </c>
      <c r="Q37" s="3">
        <v>-0.10179000000000001</v>
      </c>
      <c r="R37" s="3">
        <v>-5.8649399999999998</v>
      </c>
      <c r="S37" s="3">
        <v>-2.5284300000000002</v>
      </c>
      <c r="T37" s="3">
        <v>-4.3038999999999996</v>
      </c>
      <c r="U37" s="3">
        <v>0</v>
      </c>
      <c r="V37" s="3">
        <v>-2.1435499999999998</v>
      </c>
      <c r="W37" s="3">
        <v>-2.4729999999999999</v>
      </c>
      <c r="X37" s="3">
        <v>-0.42365000000000003</v>
      </c>
      <c r="Y37" s="3">
        <v>-1.66354</v>
      </c>
      <c r="Z37" s="3">
        <v>-1.9476499999999999</v>
      </c>
      <c r="AA37" s="3">
        <v>-1.2388399999999999</v>
      </c>
      <c r="AB37" s="3">
        <v>-9.230360000000001</v>
      </c>
      <c r="AC37" s="3">
        <v>0</v>
      </c>
      <c r="AD37" s="3">
        <v>-1.65863</v>
      </c>
      <c r="AE37" s="3">
        <v>-58.379490000000004</v>
      </c>
      <c r="AF37" s="3">
        <v>-0.77444000000000002</v>
      </c>
      <c r="AG37" s="3">
        <v>-2.7709200000000003</v>
      </c>
      <c r="AH37" s="3">
        <v>-8.4632199999999997</v>
      </c>
      <c r="AI37" s="3">
        <v>-8.4161800000000007</v>
      </c>
      <c r="AJ37" s="3">
        <v>-7.9978199999999999</v>
      </c>
      <c r="AK37" s="3">
        <v>-5.5418399999999997</v>
      </c>
      <c r="AL37" s="3">
        <v>-1.9476499999999999</v>
      </c>
      <c r="AM37" s="3">
        <v>-1.2388399999999999</v>
      </c>
      <c r="AN37" s="3">
        <v>-9.230360000000001</v>
      </c>
      <c r="AO37" s="3">
        <v>0</v>
      </c>
      <c r="AP37" s="3">
        <v>-1.65863</v>
      </c>
      <c r="AQ37" s="3">
        <v>-58.379490000000004</v>
      </c>
      <c r="AR37" s="3">
        <v>-11.36003</v>
      </c>
      <c r="AS37" s="3">
        <v>-2.7646800000000002</v>
      </c>
      <c r="AT37" s="3">
        <v>-8.4441600000000001</v>
      </c>
      <c r="AU37" s="3">
        <v>-8.3972300000000004</v>
      </c>
      <c r="AV37" s="3">
        <v>-7.9798099999999996</v>
      </c>
      <c r="AW37" s="3">
        <v>-5.5293600000000005</v>
      </c>
      <c r="AX37" s="3">
        <v>0</v>
      </c>
      <c r="AY37" s="3">
        <v>-2.7187099999999997</v>
      </c>
      <c r="AZ37" s="3">
        <v>0</v>
      </c>
      <c r="BA37" s="3">
        <v>-6.8867899999999995</v>
      </c>
      <c r="BB37" s="3">
        <v>-6.64513</v>
      </c>
      <c r="BC37" s="3">
        <v>-1.9970300000000001</v>
      </c>
      <c r="BD37" s="3">
        <v>-9.6502700000000008</v>
      </c>
      <c r="BE37" s="3">
        <v>0</v>
      </c>
      <c r="BF37" s="3">
        <v>-2.7187099999999997</v>
      </c>
      <c r="BG37" s="3">
        <v>-6.8867899999999995</v>
      </c>
      <c r="BH37" s="3">
        <v>-4.8642900000000004</v>
      </c>
      <c r="BI37" s="3">
        <v>0</v>
      </c>
    </row>
    <row r="38" spans="1:61" x14ac:dyDescent="0.25">
      <c r="A38" s="1" t="s">
        <v>36</v>
      </c>
      <c r="B38" s="3">
        <v>1.136E-2</v>
      </c>
      <c r="C38" s="3">
        <v>-3.2370000000000003E-2</v>
      </c>
      <c r="D38" s="3">
        <v>-0.10295</v>
      </c>
      <c r="E38" s="3">
        <v>-3.5699999999999996E-2</v>
      </c>
      <c r="F38" s="3">
        <v>-0.82208999999999999</v>
      </c>
      <c r="G38" s="3">
        <v>-0.15164</v>
      </c>
      <c r="H38" s="3">
        <v>-0.68352999999999997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-0.51763000000000003</v>
      </c>
      <c r="O38" s="3">
        <v>-2.4142199999999998</v>
      </c>
      <c r="P38" s="3">
        <v>9.0100000000000006E-3</v>
      </c>
      <c r="Q38" s="3">
        <v>-0.74056</v>
      </c>
      <c r="R38" s="3">
        <v>-5.4730099999999995</v>
      </c>
      <c r="S38" s="3">
        <v>-1.67255</v>
      </c>
      <c r="T38" s="3">
        <v>-0.23799000000000001</v>
      </c>
      <c r="U38" s="3">
        <v>-0.51495000000000002</v>
      </c>
      <c r="V38" s="3">
        <v>-0.25359999999999999</v>
      </c>
      <c r="W38" s="3">
        <v>-2.4748700000000001</v>
      </c>
      <c r="X38" s="3">
        <v>-3.0012400000000001</v>
      </c>
      <c r="Y38" s="3">
        <v>-2.5951300000000002</v>
      </c>
      <c r="Z38" s="3">
        <v>1.136E-2</v>
      </c>
      <c r="AA38" s="3">
        <v>-3.2370000000000003E-2</v>
      </c>
      <c r="AB38" s="3">
        <v>-0.10295</v>
      </c>
      <c r="AC38" s="3">
        <v>-3.5699999999999996E-2</v>
      </c>
      <c r="AD38" s="3">
        <v>-0.82208999999999999</v>
      </c>
      <c r="AE38" s="3">
        <v>-0.15164</v>
      </c>
      <c r="AF38" s="3">
        <v>-0.68352999999999997</v>
      </c>
      <c r="AG38" s="3">
        <v>-2.05071</v>
      </c>
      <c r="AH38" s="3">
        <v>-2.7196799999999999</v>
      </c>
      <c r="AI38" s="3">
        <v>-2.3553500000000001</v>
      </c>
      <c r="AJ38" s="3">
        <v>-1.3088199999999999</v>
      </c>
      <c r="AK38" s="3">
        <v>-0.23375000000000001</v>
      </c>
      <c r="AL38" s="3">
        <v>1.136E-2</v>
      </c>
      <c r="AM38" s="3">
        <v>-3.2370000000000003E-2</v>
      </c>
      <c r="AN38" s="3">
        <v>-0.10295</v>
      </c>
      <c r="AO38" s="3">
        <v>-3.5699999999999996E-2</v>
      </c>
      <c r="AP38" s="3">
        <v>-0.82208999999999999</v>
      </c>
      <c r="AQ38" s="3">
        <v>-0.15164</v>
      </c>
      <c r="AR38" s="3">
        <v>-0.23322999999999999</v>
      </c>
      <c r="AS38" s="3">
        <v>-2.04609</v>
      </c>
      <c r="AT38" s="3">
        <v>-2.7135500000000001</v>
      </c>
      <c r="AU38" s="3">
        <v>-2.3500399999999999</v>
      </c>
      <c r="AV38" s="3">
        <v>-1.3058700000000001</v>
      </c>
      <c r="AW38" s="3">
        <v>-0.23322999999999999</v>
      </c>
      <c r="AX38" s="3">
        <v>-0.21754000000000001</v>
      </c>
      <c r="AY38" s="3">
        <v>-0.69750999999999996</v>
      </c>
      <c r="AZ38" s="3">
        <v>-4.5181100000000001</v>
      </c>
      <c r="BA38" s="3">
        <v>-0.40759000000000001</v>
      </c>
      <c r="BB38" s="3">
        <v>-2.6499600000000001</v>
      </c>
      <c r="BC38" s="3">
        <v>-3.0938500000000002</v>
      </c>
      <c r="BD38" s="3">
        <v>-0.21754000000000001</v>
      </c>
      <c r="BE38" s="3">
        <v>-1.9084400000000001</v>
      </c>
      <c r="BF38" s="3">
        <v>-2.5310000000000001</v>
      </c>
      <c r="BG38" s="3">
        <v>-2.1919499999999998</v>
      </c>
      <c r="BH38" s="3">
        <v>-1.2180200000000001</v>
      </c>
      <c r="BI38" s="3">
        <v>-0.21754000000000001</v>
      </c>
    </row>
    <row r="39" spans="1:61" x14ac:dyDescent="0.25">
      <c r="A39" s="1" t="s">
        <v>118</v>
      </c>
      <c r="B39" s="3">
        <v>0</v>
      </c>
      <c r="C39" s="3">
        <v>-1.16503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-62.758670000000002</v>
      </c>
      <c r="Y39" s="3">
        <v>8.7900000000000001E-4</v>
      </c>
      <c r="Z39" s="3">
        <v>0</v>
      </c>
      <c r="AA39" s="3">
        <v>-1.16503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-4.6527899999999995</v>
      </c>
      <c r="AH39" s="3">
        <v>-12.6723</v>
      </c>
      <c r="AI39" s="3">
        <v>-14.15752</v>
      </c>
      <c r="AJ39" s="3">
        <v>-14.707050000000001</v>
      </c>
      <c r="AK39" s="3">
        <v>-0.11545999999999999</v>
      </c>
      <c r="AL39" s="3">
        <v>0</v>
      </c>
      <c r="AM39" s="3">
        <v>-1.16503</v>
      </c>
      <c r="AN39" s="3">
        <v>0</v>
      </c>
      <c r="AO39" s="3">
        <v>0</v>
      </c>
      <c r="AP39" s="3">
        <v>0</v>
      </c>
      <c r="AQ39" s="3">
        <v>0</v>
      </c>
      <c r="AR39" s="3">
        <v>-12.64376</v>
      </c>
      <c r="AS39" s="3">
        <v>-4.6423100000000002</v>
      </c>
      <c r="AT39" s="3">
        <v>-12.64376</v>
      </c>
      <c r="AU39" s="3">
        <v>-14.125629999999999</v>
      </c>
      <c r="AV39" s="3">
        <v>-14.67393</v>
      </c>
      <c r="AW39" s="3">
        <v>-0.1152</v>
      </c>
      <c r="AX39" s="3">
        <v>-0.10745</v>
      </c>
      <c r="AY39" s="3">
        <v>-13.68675</v>
      </c>
      <c r="AZ39" s="3">
        <v>-1.48963</v>
      </c>
      <c r="BA39" s="3">
        <v>-0.10745</v>
      </c>
      <c r="BB39" s="3">
        <v>-11.79316</v>
      </c>
      <c r="BC39" s="3">
        <v>-2.0010300000000001</v>
      </c>
      <c r="BD39" s="3">
        <v>-11.79316</v>
      </c>
      <c r="BE39" s="3">
        <v>-4.3300099999999997</v>
      </c>
      <c r="BF39" s="3">
        <v>-11.79316</v>
      </c>
      <c r="BG39" s="3">
        <v>-13.17534</v>
      </c>
      <c r="BH39" s="3">
        <v>-13.68675</v>
      </c>
      <c r="BI39" s="3">
        <v>-0.10745</v>
      </c>
    </row>
    <row r="40" spans="1:61" x14ac:dyDescent="0.25">
      <c r="A40" s="1" t="s">
        <v>131</v>
      </c>
      <c r="B40" s="3">
        <v>0</v>
      </c>
      <c r="C40" s="3">
        <v>-0.52205999999999997</v>
      </c>
      <c r="D40" s="3">
        <v>0</v>
      </c>
      <c r="E40" s="3">
        <v>0</v>
      </c>
      <c r="F40" s="3">
        <v>0</v>
      </c>
      <c r="G40" s="3">
        <v>-2.7901600000000002</v>
      </c>
      <c r="H40" s="3">
        <v>-1.23882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-4.1797800000000001</v>
      </c>
      <c r="S40" s="3">
        <v>-3.8298899999999998</v>
      </c>
      <c r="T40" s="3">
        <v>-0.50985999999999998</v>
      </c>
      <c r="U40" s="3">
        <v>-2.5000000000000001E-3</v>
      </c>
      <c r="V40" s="3">
        <v>-1.2079800000000001</v>
      </c>
      <c r="W40" s="3">
        <v>0</v>
      </c>
      <c r="X40" s="3">
        <v>-5.7334100000000001</v>
      </c>
      <c r="Y40" s="3">
        <v>0</v>
      </c>
      <c r="Z40" s="3">
        <v>0</v>
      </c>
      <c r="AA40" s="3">
        <v>-0.52205999999999997</v>
      </c>
      <c r="AB40" s="3">
        <v>0</v>
      </c>
      <c r="AC40" s="3">
        <v>0</v>
      </c>
      <c r="AD40" s="3">
        <v>0</v>
      </c>
      <c r="AE40" s="3">
        <v>-2.7901600000000002</v>
      </c>
      <c r="AF40" s="3">
        <v>-1.23882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-0.52205999999999997</v>
      </c>
      <c r="AN40" s="3">
        <v>0</v>
      </c>
      <c r="AO40" s="3">
        <v>0</v>
      </c>
      <c r="AP40" s="3">
        <v>0</v>
      </c>
      <c r="AQ40" s="3">
        <v>-2.7901600000000002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-9.2160299999999999</v>
      </c>
      <c r="BC40" s="3">
        <v>0</v>
      </c>
      <c r="BD40" s="3">
        <v>0</v>
      </c>
      <c r="BE40" s="3">
        <v>-14.400040000000001</v>
      </c>
      <c r="BF40" s="3">
        <v>0</v>
      </c>
      <c r="BG40" s="3">
        <v>0</v>
      </c>
      <c r="BH40" s="3">
        <v>-14.400040000000001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</row>
    <row r="44" spans="1:61" x14ac:dyDescent="0.25">
      <c r="A44" s="1" t="s">
        <v>133</v>
      </c>
      <c r="B44" s="3">
        <v>32.121744999999997</v>
      </c>
      <c r="C44" s="3">
        <v>0.95889200000000008</v>
      </c>
      <c r="D44" s="3">
        <v>7.2995000000000004E-2</v>
      </c>
      <c r="E44" s="3">
        <v>8.2343E-2</v>
      </c>
      <c r="F44" s="3">
        <v>8.2806000000000005E-2</v>
      </c>
      <c r="G44" s="3">
        <v>1.918E-3</v>
      </c>
      <c r="H44" s="3">
        <v>82.299525000000003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336.05667</v>
      </c>
      <c r="Q44" s="3">
        <v>0.94</v>
      </c>
      <c r="R44" s="3">
        <v>0.94</v>
      </c>
      <c r="S44" s="3">
        <v>0.94</v>
      </c>
      <c r="T44" s="3">
        <v>0.94</v>
      </c>
      <c r="U44" s="3">
        <v>0.94</v>
      </c>
      <c r="V44" s="3">
        <v>11.775388</v>
      </c>
      <c r="W44" s="3">
        <v>0.98592399999999991</v>
      </c>
      <c r="X44" s="3">
        <v>0.98660799999999993</v>
      </c>
      <c r="Y44" s="3">
        <v>1.8171409999999999</v>
      </c>
      <c r="Z44" s="3">
        <v>32.121744999999997</v>
      </c>
      <c r="AA44" s="3">
        <v>0.95889200000000008</v>
      </c>
      <c r="AB44" s="3">
        <v>7.2995000000000004E-2</v>
      </c>
      <c r="AC44" s="3">
        <v>8.2343E-2</v>
      </c>
      <c r="AD44" s="3">
        <v>8.2806000000000005E-2</v>
      </c>
      <c r="AE44" s="3">
        <v>1.918E-3</v>
      </c>
      <c r="AF44" s="3">
        <v>82.299525000000003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32.121744999999997</v>
      </c>
      <c r="AM44" s="3">
        <v>0.95889200000000008</v>
      </c>
      <c r="AN44" s="3">
        <v>7.2995000000000004E-2</v>
      </c>
      <c r="AO44" s="3">
        <v>8.2343E-2</v>
      </c>
      <c r="AP44" s="3">
        <v>8.2806000000000005E-2</v>
      </c>
      <c r="AQ44" s="3">
        <v>1.918E-3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0</v>
      </c>
      <c r="C46" s="3">
        <v>0</v>
      </c>
      <c r="D46" s="3">
        <v>70.162840000000003</v>
      </c>
      <c r="E46" s="3">
        <v>0</v>
      </c>
      <c r="F46" s="3">
        <v>61.007480000000001</v>
      </c>
      <c r="G46" s="3">
        <v>17.35622</v>
      </c>
      <c r="H46" s="3">
        <v>11.063750000000001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0.66773000000000005</v>
      </c>
      <c r="O46" s="3">
        <v>0</v>
      </c>
      <c r="P46" s="3">
        <v>17.418689999999998</v>
      </c>
      <c r="Q46" s="3">
        <v>0</v>
      </c>
      <c r="R46" s="3">
        <v>42.762439999999998</v>
      </c>
      <c r="S46" s="3">
        <v>0.30501</v>
      </c>
      <c r="T46" s="3">
        <v>0</v>
      </c>
      <c r="U46" s="3">
        <v>39.469880000000003</v>
      </c>
      <c r="V46" s="3">
        <v>1.5483600000000002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70.162840000000003</v>
      </c>
      <c r="AC46" s="3">
        <v>0</v>
      </c>
      <c r="AD46" s="3">
        <v>61.007480000000001</v>
      </c>
      <c r="AE46" s="3">
        <v>17.35622</v>
      </c>
      <c r="AF46" s="3">
        <v>11.063750000000001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70.162840000000003</v>
      </c>
      <c r="AO46" s="3">
        <v>0</v>
      </c>
      <c r="AP46" s="3">
        <v>61.007480000000001</v>
      </c>
      <c r="AQ46" s="3">
        <v>17.35622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-1.5495399999999999</v>
      </c>
      <c r="S47" s="3">
        <v>-0.30501</v>
      </c>
      <c r="T47" s="3">
        <v>0</v>
      </c>
      <c r="U47" s="3">
        <v>-7.0300000000000001E-2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2" x14ac:dyDescent="0.25">
      <c r="A49" s="1" t="s">
        <v>44</v>
      </c>
      <c r="B49" s="3">
        <v>0</v>
      </c>
      <c r="C49" s="3">
        <v>0</v>
      </c>
      <c r="D49" s="3">
        <v>4.3267699999999998</v>
      </c>
      <c r="E49" s="3">
        <v>-0.92769999999999997</v>
      </c>
      <c r="F49" s="3">
        <v>0.96306000000000003</v>
      </c>
      <c r="G49" s="3">
        <v>1.6438900000000001</v>
      </c>
      <c r="H49" s="3">
        <v>3.0924299999999998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-1.6759200000000001</v>
      </c>
      <c r="O49" s="3">
        <v>0</v>
      </c>
      <c r="P49" s="3">
        <v>0</v>
      </c>
      <c r="Q49" s="3">
        <v>0.6825</v>
      </c>
      <c r="R49" s="3">
        <v>3.7425100000000002</v>
      </c>
      <c r="S49" s="3">
        <v>0</v>
      </c>
      <c r="T49" s="3">
        <v>0.441</v>
      </c>
      <c r="U49" s="3">
        <v>0.87878000000000001</v>
      </c>
      <c r="V49" s="3">
        <v>0</v>
      </c>
      <c r="W49" s="3">
        <v>0</v>
      </c>
      <c r="X49" s="3">
        <v>0.23713999999999999</v>
      </c>
      <c r="Y49" s="3">
        <v>0</v>
      </c>
      <c r="Z49" s="3">
        <v>0</v>
      </c>
      <c r="AA49" s="3">
        <v>0</v>
      </c>
      <c r="AB49" s="3">
        <v>4.3267699999999998</v>
      </c>
      <c r="AC49" s="3">
        <v>-0.92769999999999997</v>
      </c>
      <c r="AD49" s="3">
        <v>0.96306000000000003</v>
      </c>
      <c r="AE49" s="3">
        <v>1.6438900000000001</v>
      </c>
      <c r="AF49" s="3">
        <v>3.0924299999999998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4.3267699999999998</v>
      </c>
      <c r="AO49" s="3">
        <v>-0.92769999999999997</v>
      </c>
      <c r="AP49" s="3">
        <v>0.96306000000000003</v>
      </c>
      <c r="AQ49" s="3">
        <v>1.6438900000000001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</row>
    <row r="50" spans="1:62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2" x14ac:dyDescent="0.25">
      <c r="A51" s="1" t="s">
        <v>121</v>
      </c>
      <c r="B51" s="3">
        <v>149.785346</v>
      </c>
      <c r="C51" s="3">
        <v>277.20400899999999</v>
      </c>
      <c r="D51" s="3">
        <v>455.40964499999995</v>
      </c>
      <c r="E51" s="3">
        <v>482.18103900000006</v>
      </c>
      <c r="F51" s="3">
        <v>314.64840400000003</v>
      </c>
      <c r="G51" s="3">
        <v>1263.335212</v>
      </c>
      <c r="H51" s="3">
        <v>679.89942500000006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211.11206200000001</v>
      </c>
      <c r="O51" s="3">
        <v>287.15077600000001</v>
      </c>
      <c r="P51" s="3">
        <v>232.13574499999999</v>
      </c>
      <c r="Q51" s="3">
        <v>283.255358</v>
      </c>
      <c r="R51" s="3">
        <v>234.43962799999997</v>
      </c>
      <c r="S51" s="3">
        <v>521.85982799999999</v>
      </c>
      <c r="T51" s="3">
        <v>212.598265</v>
      </c>
      <c r="U51" s="3">
        <v>322.21327600000001</v>
      </c>
      <c r="V51" s="3">
        <v>307.98964199999995</v>
      </c>
      <c r="W51" s="3">
        <v>369.68884300000002</v>
      </c>
      <c r="X51" s="3">
        <v>274.22227500000002</v>
      </c>
      <c r="Y51" s="3">
        <v>540.73838499999999</v>
      </c>
      <c r="Z51" s="3">
        <v>149.785346</v>
      </c>
      <c r="AA51" s="3">
        <v>277.20400899999999</v>
      </c>
      <c r="AB51" s="3">
        <v>455.40964499999995</v>
      </c>
      <c r="AC51" s="3">
        <v>482.18103900000006</v>
      </c>
      <c r="AD51" s="3">
        <v>314.64840400000003</v>
      </c>
      <c r="AE51" s="3">
        <v>1263.3352120000002</v>
      </c>
      <c r="AF51" s="3">
        <v>679.89942500000006</v>
      </c>
      <c r="AG51" s="3">
        <v>434.97955000000007</v>
      </c>
      <c r="AH51" s="3">
        <v>658.50115999999991</v>
      </c>
      <c r="AI51" s="3">
        <v>591.00235999999995</v>
      </c>
      <c r="AJ51" s="3">
        <v>623.23884999999996</v>
      </c>
      <c r="AK51" s="3">
        <v>642.58076000000017</v>
      </c>
      <c r="AL51" s="3">
        <v>149.785346</v>
      </c>
      <c r="AM51" s="3">
        <v>277.20400899999999</v>
      </c>
      <c r="AN51" s="3">
        <v>455.40964499999995</v>
      </c>
      <c r="AO51" s="3">
        <v>482.18103900000006</v>
      </c>
      <c r="AP51" s="3">
        <v>314.64840400000003</v>
      </c>
      <c r="AQ51" s="3">
        <v>1263.3352120000002</v>
      </c>
      <c r="AR51" s="3">
        <v>580.00001999999984</v>
      </c>
      <c r="AS51" s="3">
        <v>434.00000000000011</v>
      </c>
      <c r="AT51" s="3">
        <v>657.01826999999992</v>
      </c>
      <c r="AU51" s="3">
        <v>589.67148999999984</v>
      </c>
      <c r="AV51" s="3">
        <v>621.83534999999995</v>
      </c>
      <c r="AW51" s="3">
        <v>641.13369000000023</v>
      </c>
      <c r="AX51" s="3">
        <v>260.00076000000001</v>
      </c>
      <c r="AY51" s="3">
        <v>280.00084000000004</v>
      </c>
      <c r="AZ51" s="3">
        <v>380.00115</v>
      </c>
      <c r="BA51" s="3">
        <v>420.94675999999998</v>
      </c>
      <c r="BB51" s="3">
        <v>452.58004000000017</v>
      </c>
      <c r="BC51" s="3">
        <v>495.15884000000005</v>
      </c>
      <c r="BD51" s="3">
        <v>490.94695000000013</v>
      </c>
      <c r="BE51" s="3">
        <v>522.58023000000003</v>
      </c>
      <c r="BF51" s="3">
        <v>545.15898000000004</v>
      </c>
      <c r="BG51" s="3">
        <v>550.94713000000002</v>
      </c>
      <c r="BH51" s="3">
        <v>582.58038999999997</v>
      </c>
      <c r="BI51" s="3">
        <v>603.15914000000009</v>
      </c>
    </row>
    <row r="52" spans="1:62" x14ac:dyDescent="0.25">
      <c r="A52" s="1" t="s">
        <v>76</v>
      </c>
      <c r="B52" s="3">
        <v>0</v>
      </c>
      <c r="C52" s="3">
        <v>0</v>
      </c>
      <c r="D52" s="3">
        <v>74.489610000000013</v>
      </c>
      <c r="E52" s="3">
        <v>-0.92769999999999997</v>
      </c>
      <c r="F52" s="3">
        <v>61.97054</v>
      </c>
      <c r="G52" s="3">
        <v>19.000110000000003</v>
      </c>
      <c r="H52" s="3">
        <v>14.156180000000001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-1.0081899999999999</v>
      </c>
      <c r="O52" s="3">
        <v>0</v>
      </c>
      <c r="P52" s="3">
        <v>17.418689999999998</v>
      </c>
      <c r="Q52" s="3">
        <v>0.6825</v>
      </c>
      <c r="R52" s="3">
        <v>44.955410000000001</v>
      </c>
      <c r="S52" s="3">
        <v>0</v>
      </c>
      <c r="T52" s="3">
        <v>0.441</v>
      </c>
      <c r="U52" s="3">
        <v>40.278359999999999</v>
      </c>
      <c r="V52" s="3">
        <v>1.5483600000000002</v>
      </c>
      <c r="W52" s="3">
        <v>0</v>
      </c>
      <c r="X52" s="3">
        <v>0.23713999999999999</v>
      </c>
      <c r="Y52" s="3">
        <v>0</v>
      </c>
      <c r="Z52" s="3">
        <v>0</v>
      </c>
      <c r="AA52" s="3">
        <v>0</v>
      </c>
      <c r="AB52" s="3">
        <v>74.489610000000013</v>
      </c>
      <c r="AC52" s="3">
        <v>-0.92769999999999997</v>
      </c>
      <c r="AD52" s="3">
        <v>61.97054</v>
      </c>
      <c r="AE52" s="3">
        <v>19.000110000000003</v>
      </c>
      <c r="AF52" s="3">
        <v>14.156180000000001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74.489610000000013</v>
      </c>
      <c r="AO52" s="3">
        <v>-0.92769999999999997</v>
      </c>
      <c r="AP52" s="3">
        <v>61.97054</v>
      </c>
      <c r="AQ52" s="3">
        <v>19.000110000000003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</row>
    <row r="53" spans="1:6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1" t="s">
        <v>105</v>
      </c>
      <c r="B54" s="7">
        <v>181.90709099999998</v>
      </c>
      <c r="C54" s="7">
        <v>278.16290099999998</v>
      </c>
      <c r="D54" s="7">
        <v>529.97225000000003</v>
      </c>
      <c r="E54" s="7">
        <v>481.33568200000008</v>
      </c>
      <c r="F54" s="7">
        <v>376.70175000000006</v>
      </c>
      <c r="G54" s="7">
        <v>1282.3372399999998</v>
      </c>
      <c r="H54" s="7">
        <v>776.35513000000003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210.103872</v>
      </c>
      <c r="O54" s="7">
        <v>287.15077600000001</v>
      </c>
      <c r="P54" s="7">
        <v>585.61110500000007</v>
      </c>
      <c r="Q54" s="7">
        <v>284.877858</v>
      </c>
      <c r="R54" s="7">
        <v>280.335038</v>
      </c>
      <c r="S54" s="7">
        <v>522.79982799999993</v>
      </c>
      <c r="T54" s="7">
        <v>213.979265</v>
      </c>
      <c r="U54" s="7">
        <v>363.43163600000003</v>
      </c>
      <c r="V54" s="7">
        <v>321.31338999999997</v>
      </c>
      <c r="W54" s="7">
        <v>370.67476699999997</v>
      </c>
      <c r="X54" s="7">
        <v>275.44602300000003</v>
      </c>
      <c r="Y54" s="7">
        <v>542.55552599999999</v>
      </c>
      <c r="Z54" s="7">
        <v>181.90709100000001</v>
      </c>
      <c r="AA54" s="7">
        <v>278.16290099999998</v>
      </c>
      <c r="AB54" s="7">
        <v>529.97225000000003</v>
      </c>
      <c r="AC54" s="7">
        <v>481.33568200000008</v>
      </c>
      <c r="AD54" s="7">
        <v>376.70175000000006</v>
      </c>
      <c r="AE54" s="7">
        <v>1282.3372400000001</v>
      </c>
      <c r="AF54" s="7">
        <v>776.35513000000003</v>
      </c>
      <c r="AG54" s="7">
        <v>434.97955000000007</v>
      </c>
      <c r="AH54" s="7">
        <v>658.50115999999991</v>
      </c>
      <c r="AI54" s="7">
        <v>591.00235999999995</v>
      </c>
      <c r="AJ54" s="7">
        <v>623.23884999999996</v>
      </c>
      <c r="AK54" s="7">
        <v>642.58076000000017</v>
      </c>
      <c r="AL54" s="7">
        <v>181.90709100000001</v>
      </c>
      <c r="AM54" s="7">
        <v>278.16290099999998</v>
      </c>
      <c r="AN54" s="7">
        <v>529.97225000000003</v>
      </c>
      <c r="AO54" s="7">
        <v>481.33568200000008</v>
      </c>
      <c r="AP54" s="7">
        <v>376.70175000000006</v>
      </c>
      <c r="AQ54" s="7">
        <v>1282.3372400000001</v>
      </c>
      <c r="AR54" s="7">
        <v>580.00001999999984</v>
      </c>
      <c r="AS54" s="7">
        <v>434.00000000000011</v>
      </c>
      <c r="AT54" s="7">
        <v>657.01826999999992</v>
      </c>
      <c r="AU54" s="7">
        <v>589.67148999999984</v>
      </c>
      <c r="AV54" s="7">
        <v>621.83534999999995</v>
      </c>
      <c r="AW54" s="7">
        <v>641.13369000000023</v>
      </c>
      <c r="AX54" s="7">
        <v>260.00076000000001</v>
      </c>
      <c r="AY54" s="7">
        <v>280.00084000000004</v>
      </c>
      <c r="AZ54" s="7">
        <v>380.00115</v>
      </c>
      <c r="BA54" s="7">
        <v>420.94675999999998</v>
      </c>
      <c r="BB54" s="7">
        <v>452.58004000000017</v>
      </c>
      <c r="BC54" s="7">
        <v>495.15884000000005</v>
      </c>
      <c r="BD54" s="7">
        <v>490.94695000000013</v>
      </c>
      <c r="BE54" s="7">
        <v>522.58023000000003</v>
      </c>
      <c r="BF54" s="7">
        <v>545.15898000000004</v>
      </c>
      <c r="BG54" s="7">
        <v>550.94713000000002</v>
      </c>
      <c r="BH54" s="7">
        <v>582.58038999999997</v>
      </c>
      <c r="BI54" s="7">
        <v>603.15914000000009</v>
      </c>
      <c r="BJ54" s="7"/>
    </row>
    <row r="56" spans="1:62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2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2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  <c r="BJ58" s="7"/>
    </row>
    <row r="59" spans="1:62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  <c r="BJ59" s="7"/>
    </row>
    <row r="60" spans="1:62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0</v>
      </c>
      <c r="D60" s="244">
        <f t="shared" si="5"/>
        <v>0</v>
      </c>
      <c r="E60" s="244">
        <f t="shared" si="5"/>
        <v>0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0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0</v>
      </c>
      <c r="U60" s="244">
        <f t="shared" si="5"/>
        <v>0</v>
      </c>
      <c r="V60" s="244">
        <f t="shared" si="5"/>
        <v>0</v>
      </c>
      <c r="W60" s="244">
        <f t="shared" si="5"/>
        <v>0</v>
      </c>
      <c r="X60" s="244">
        <f t="shared" si="5"/>
        <v>0</v>
      </c>
      <c r="Y60" s="244">
        <f t="shared" si="5"/>
        <v>0</v>
      </c>
      <c r="Z60" s="244">
        <f t="shared" si="5"/>
        <v>0</v>
      </c>
      <c r="AA60" s="244">
        <f t="shared" si="5"/>
        <v>0</v>
      </c>
      <c r="AB60" s="244">
        <f t="shared" si="5"/>
        <v>0</v>
      </c>
      <c r="AC60" s="244">
        <f t="shared" si="5"/>
        <v>0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0</v>
      </c>
      <c r="AM60" s="244">
        <f t="shared" si="5"/>
        <v>0</v>
      </c>
      <c r="AN60" s="244">
        <f t="shared" si="5"/>
        <v>0</v>
      </c>
      <c r="AO60" s="244">
        <f t="shared" si="5"/>
        <v>0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  <c r="BJ60" s="7"/>
    </row>
    <row r="61" spans="1:62" x14ac:dyDescent="0.25">
      <c r="A61" s="1" t="s">
        <v>110</v>
      </c>
      <c r="B61" s="244">
        <f>SUM(B12:B23,B43:B44,B52)-B54</f>
        <v>0</v>
      </c>
      <c r="C61" s="244">
        <f t="shared" ref="C61:BI61" si="6">SUM(C12:C23,C43:C44,C52)-C54</f>
        <v>0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0</v>
      </c>
      <c r="O61" s="244">
        <f t="shared" si="6"/>
        <v>0</v>
      </c>
      <c r="P61" s="244">
        <f t="shared" si="6"/>
        <v>0</v>
      </c>
      <c r="Q61" s="244">
        <f t="shared" si="6"/>
        <v>0</v>
      </c>
      <c r="R61" s="244">
        <f t="shared" si="6"/>
        <v>0</v>
      </c>
      <c r="S61" s="244">
        <f t="shared" si="6"/>
        <v>0</v>
      </c>
      <c r="T61" s="244">
        <f t="shared" si="6"/>
        <v>0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0</v>
      </c>
      <c r="Y61" s="244">
        <f t="shared" si="6"/>
        <v>0</v>
      </c>
      <c r="Z61" s="244">
        <f t="shared" si="6"/>
        <v>0</v>
      </c>
      <c r="AA61" s="244">
        <f t="shared" si="6"/>
        <v>0</v>
      </c>
      <c r="AB61" s="244">
        <f t="shared" si="6"/>
        <v>0</v>
      </c>
      <c r="AC61" s="244">
        <f t="shared" si="6"/>
        <v>0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0</v>
      </c>
      <c r="AM61" s="244">
        <f t="shared" si="6"/>
        <v>0</v>
      </c>
      <c r="AN61" s="244">
        <f t="shared" si="6"/>
        <v>0</v>
      </c>
      <c r="AO61" s="244">
        <f t="shared" si="6"/>
        <v>0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  <c r="BJ61" s="7"/>
    </row>
    <row r="62" spans="1:62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0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0</v>
      </c>
      <c r="O62" s="244">
        <f t="shared" si="7"/>
        <v>0</v>
      </c>
      <c r="P62" s="244">
        <f t="shared" si="7"/>
        <v>0</v>
      </c>
      <c r="Q62" s="244">
        <f t="shared" si="7"/>
        <v>0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0</v>
      </c>
      <c r="V62" s="244">
        <f t="shared" si="7"/>
        <v>0</v>
      </c>
      <c r="W62" s="244">
        <f t="shared" si="7"/>
        <v>0</v>
      </c>
      <c r="X62" s="244">
        <f t="shared" si="7"/>
        <v>0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  <c r="BJ62" s="7"/>
    </row>
    <row r="63" spans="1:62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0</v>
      </c>
      <c r="O63" s="244">
        <f t="shared" si="9"/>
        <v>0</v>
      </c>
      <c r="P63" s="244">
        <f t="shared" si="9"/>
        <v>0</v>
      </c>
      <c r="Q63" s="244">
        <f t="shared" si="9"/>
        <v>0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0</v>
      </c>
      <c r="V63" s="244">
        <f t="shared" si="9"/>
        <v>0</v>
      </c>
      <c r="W63" s="244">
        <f t="shared" si="9"/>
        <v>0</v>
      </c>
      <c r="X63" s="244">
        <f t="shared" si="9"/>
        <v>0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Z48"/>
  <sheetViews>
    <sheetView showGridLines="0" tabSelected="1" topLeftCell="B1" zoomScale="90" zoomScaleNormal="90" workbookViewId="0">
      <selection activeCell="L36" sqref="L36"/>
    </sheetView>
  </sheetViews>
  <sheetFormatPr defaultRowHeight="15" x14ac:dyDescent="0.25"/>
  <cols>
    <col min="1" max="1" width="2.85546875" customWidth="1"/>
    <col min="2" max="2" width="21.28515625" customWidth="1"/>
    <col min="3" max="6" width="10.140625" customWidth="1"/>
    <col min="7" max="7" width="2.140625" customWidth="1"/>
    <col min="8" max="10" width="10.140625" customWidth="1"/>
    <col min="11" max="12" width="2.85546875" customWidth="1"/>
    <col min="13" max="13" width="15.7109375" customWidth="1"/>
    <col min="17" max="17" width="4.5703125" customWidth="1"/>
    <col min="18" max="18" width="3.140625" customWidth="1"/>
    <col min="19" max="20" width="2.85546875" customWidth="1"/>
    <col min="21" max="21" width="3.5703125" customWidth="1"/>
    <col min="22" max="22" width="3.85546875" customWidth="1"/>
    <col min="23" max="23" width="18.5703125" customWidth="1"/>
    <col min="24" max="24" width="12.140625" customWidth="1"/>
    <col min="25" max="25" width="3.7109375" customWidth="1"/>
    <col min="26" max="26" width="2.85546875" customWidth="1"/>
  </cols>
  <sheetData>
    <row r="1" spans="1:26" ht="14.45" x14ac:dyDescent="0.35">
      <c r="A1" s="81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3"/>
    </row>
    <row r="2" spans="1:26" ht="29.25" customHeight="1" x14ac:dyDescent="0.35">
      <c r="A2" s="84"/>
      <c r="B2" s="259" t="str">
        <f>'Mtd Dashboard'!$B$2</f>
        <v>BAs for GSR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91"/>
    </row>
    <row r="3" spans="1:26" ht="14.45" x14ac:dyDescent="0.35">
      <c r="A3" s="8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</row>
    <row r="4" spans="1:26" ht="26.25" customHeight="1" x14ac:dyDescent="0.35">
      <c r="A4" s="84"/>
      <c r="B4" s="261" t="str">
        <f>"Total Sales "&amp;Preparação!$C$3&amp;" x "&amp;Preparação!$B$3</f>
        <v>Total Sales 2018 x 2019</v>
      </c>
      <c r="C4" s="262"/>
      <c r="D4" s="262"/>
      <c r="E4" s="262"/>
      <c r="F4" s="262"/>
      <c r="G4" s="262"/>
      <c r="H4" s="262"/>
      <c r="I4" s="262"/>
      <c r="J4" s="263"/>
      <c r="K4" s="10"/>
      <c r="L4" s="261" t="str">
        <f>Preparação!$B$3&amp;" Total Sales Forecast"</f>
        <v>2019 Total Sales Forecast</v>
      </c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3"/>
      <c r="Z4" s="88"/>
    </row>
    <row r="5" spans="1:26" ht="14.45" x14ac:dyDescent="0.35">
      <c r="A5" s="84"/>
      <c r="B5" s="37"/>
      <c r="C5" s="10"/>
      <c r="D5" s="10"/>
      <c r="E5" s="10"/>
      <c r="F5" s="10"/>
      <c r="G5" s="10"/>
      <c r="H5" s="10"/>
      <c r="I5" s="10"/>
      <c r="J5" s="93"/>
      <c r="K5" s="10"/>
      <c r="L5" s="37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95"/>
      <c r="Z5" s="87"/>
    </row>
    <row r="6" spans="1:26" ht="14.45" x14ac:dyDescent="0.35">
      <c r="A6" s="84"/>
      <c r="B6" s="37"/>
      <c r="C6" s="10"/>
      <c r="D6" s="10"/>
      <c r="E6" s="10"/>
      <c r="F6" s="10"/>
      <c r="G6" s="10"/>
      <c r="H6" s="10"/>
      <c r="I6" s="10"/>
      <c r="J6" s="93"/>
      <c r="K6" s="10"/>
      <c r="L6" s="37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95"/>
      <c r="Z6" s="87"/>
    </row>
    <row r="7" spans="1:26" ht="15" customHeight="1" x14ac:dyDescent="0.25">
      <c r="A7" s="84"/>
      <c r="B7" s="37"/>
      <c r="C7" s="10"/>
      <c r="D7" s="10"/>
      <c r="E7" s="10"/>
      <c r="F7" s="10"/>
      <c r="G7" s="10"/>
      <c r="H7" s="10"/>
      <c r="I7" s="10"/>
      <c r="J7" s="93" t="s">
        <v>87</v>
      </c>
      <c r="K7" s="10"/>
      <c r="L7" s="37"/>
      <c r="M7" s="86"/>
      <c r="N7" s="86"/>
      <c r="O7" s="86"/>
      <c r="P7" s="86"/>
      <c r="Q7" s="86"/>
      <c r="R7" s="86"/>
      <c r="S7" s="86"/>
      <c r="T7" s="86"/>
      <c r="U7" s="10"/>
      <c r="V7" s="264"/>
      <c r="W7" s="267"/>
      <c r="X7" s="303"/>
      <c r="Y7" s="95"/>
      <c r="Z7" s="87"/>
    </row>
    <row r="8" spans="1:26" ht="15" customHeight="1" x14ac:dyDescent="0.25">
      <c r="A8" s="84"/>
      <c r="B8" s="37"/>
      <c r="C8" s="10"/>
      <c r="D8" s="10"/>
      <c r="E8" s="10"/>
      <c r="F8" s="10"/>
      <c r="G8" s="10"/>
      <c r="H8" s="10"/>
      <c r="I8" s="10"/>
      <c r="J8" s="93"/>
      <c r="K8" s="10"/>
      <c r="L8" s="37"/>
      <c r="M8" s="86"/>
      <c r="N8" s="86"/>
      <c r="O8" s="86"/>
      <c r="P8" s="86"/>
      <c r="Q8" s="86"/>
      <c r="R8" s="86"/>
      <c r="S8" s="86"/>
      <c r="T8" s="86"/>
      <c r="U8" s="10"/>
      <c r="V8" s="264"/>
      <c r="W8" s="267"/>
      <c r="X8" s="303"/>
      <c r="Y8" s="95"/>
      <c r="Z8" s="87"/>
    </row>
    <row r="9" spans="1:26" ht="15" customHeight="1" x14ac:dyDescent="0.25">
      <c r="A9" s="84"/>
      <c r="B9" s="37"/>
      <c r="C9" s="10"/>
      <c r="D9" s="10"/>
      <c r="E9" s="10"/>
      <c r="F9" s="10"/>
      <c r="G9" s="10"/>
      <c r="H9" s="10"/>
      <c r="I9" s="10"/>
      <c r="J9" s="93"/>
      <c r="K9" s="10"/>
      <c r="L9" s="37"/>
      <c r="M9" s="86"/>
      <c r="N9" s="86"/>
      <c r="O9" s="86"/>
      <c r="P9" s="86"/>
      <c r="Q9" s="86"/>
      <c r="R9" s="86"/>
      <c r="S9" s="86"/>
      <c r="T9" s="86"/>
      <c r="U9" s="10"/>
      <c r="V9" s="266"/>
      <c r="W9" s="267"/>
      <c r="X9" s="303"/>
      <c r="Y9" s="95"/>
      <c r="Z9" s="87"/>
    </row>
    <row r="10" spans="1:26" ht="15" customHeight="1" x14ac:dyDescent="0.25">
      <c r="A10" s="84"/>
      <c r="B10" s="37"/>
      <c r="C10" s="10"/>
      <c r="D10" s="10"/>
      <c r="E10" s="10"/>
      <c r="F10" s="10"/>
      <c r="G10" s="10"/>
      <c r="H10" s="10"/>
      <c r="I10" s="10"/>
      <c r="J10" s="93"/>
      <c r="K10" s="10"/>
      <c r="L10" s="37"/>
      <c r="M10" s="86"/>
      <c r="N10" s="86"/>
      <c r="O10" s="86"/>
      <c r="P10" s="86"/>
      <c r="Q10" s="86"/>
      <c r="R10" s="86"/>
      <c r="S10" s="86"/>
      <c r="T10" s="86"/>
      <c r="U10" s="10"/>
      <c r="V10" s="266"/>
      <c r="W10" s="267"/>
      <c r="X10" s="303"/>
      <c r="Y10" s="95"/>
      <c r="Z10" s="87"/>
    </row>
    <row r="11" spans="1:26" ht="15.75" customHeight="1" x14ac:dyDescent="0.25">
      <c r="A11" s="84"/>
      <c r="B11" s="37"/>
      <c r="C11" s="10"/>
      <c r="D11" s="10"/>
      <c r="E11" s="10"/>
      <c r="F11" s="10"/>
      <c r="G11" s="10"/>
      <c r="H11" s="10"/>
      <c r="I11" s="10"/>
      <c r="J11" s="93"/>
      <c r="K11" s="10"/>
      <c r="L11" s="37"/>
      <c r="M11" s="86"/>
      <c r="N11" s="86"/>
      <c r="O11" s="86"/>
      <c r="P11" s="86"/>
      <c r="Q11" s="86"/>
      <c r="R11" s="86"/>
      <c r="S11" s="86"/>
      <c r="T11" s="86"/>
      <c r="U11" s="10"/>
      <c r="V11" s="294"/>
      <c r="W11" s="267"/>
      <c r="X11" s="303"/>
      <c r="Y11" s="95"/>
      <c r="Z11" s="87"/>
    </row>
    <row r="12" spans="1:26" x14ac:dyDescent="0.25">
      <c r="A12" s="84"/>
      <c r="B12" s="37"/>
      <c r="C12" s="10"/>
      <c r="D12" s="10"/>
      <c r="E12" s="10"/>
      <c r="F12" s="10"/>
      <c r="G12" s="10"/>
      <c r="H12" s="10"/>
      <c r="I12" s="10"/>
      <c r="J12" s="93"/>
      <c r="K12" s="10"/>
      <c r="L12" s="37"/>
      <c r="M12" s="86"/>
      <c r="N12" s="86"/>
      <c r="O12" s="86"/>
      <c r="P12" s="86"/>
      <c r="Q12" s="86"/>
      <c r="R12" s="86"/>
      <c r="S12" s="86"/>
      <c r="T12" s="86"/>
      <c r="U12" s="10"/>
      <c r="V12" s="294"/>
      <c r="W12" s="267"/>
      <c r="X12" s="303"/>
      <c r="Y12" s="95"/>
      <c r="Z12" s="87"/>
    </row>
    <row r="13" spans="1:26" x14ac:dyDescent="0.25">
      <c r="A13" s="84"/>
      <c r="B13" s="37"/>
      <c r="C13" s="10"/>
      <c r="D13" s="10"/>
      <c r="E13" s="10"/>
      <c r="F13" s="10"/>
      <c r="G13" s="10"/>
      <c r="H13" s="10"/>
      <c r="I13" s="10"/>
      <c r="J13" s="93"/>
      <c r="K13" s="10"/>
      <c r="L13" s="37"/>
      <c r="M13" s="86"/>
      <c r="N13" s="86"/>
      <c r="O13" s="86"/>
      <c r="P13" s="86"/>
      <c r="Q13" s="86"/>
      <c r="R13" s="86"/>
      <c r="S13" s="86"/>
      <c r="T13" s="86"/>
      <c r="U13" s="86"/>
      <c r="V13" s="293"/>
      <c r="W13" s="267"/>
      <c r="X13" s="303"/>
      <c r="Y13" s="95"/>
      <c r="Z13" s="87"/>
    </row>
    <row r="14" spans="1:26" ht="15.75" customHeight="1" x14ac:dyDescent="0.25">
      <c r="A14" s="84"/>
      <c r="B14" s="37"/>
      <c r="C14" s="10"/>
      <c r="D14" s="10"/>
      <c r="E14" s="10"/>
      <c r="F14" s="10"/>
      <c r="G14" s="10"/>
      <c r="H14" s="10"/>
      <c r="I14" s="10"/>
      <c r="J14" s="93"/>
      <c r="K14" s="10"/>
      <c r="L14" s="37"/>
      <c r="M14" s="86"/>
      <c r="N14" s="86"/>
      <c r="O14" s="86"/>
      <c r="P14" s="86"/>
      <c r="Q14" s="86"/>
      <c r="R14" s="86"/>
      <c r="S14" s="86"/>
      <c r="T14" s="86"/>
      <c r="U14" s="86"/>
      <c r="V14" s="293"/>
      <c r="W14" s="267"/>
      <c r="X14" s="303"/>
      <c r="Y14" s="95"/>
      <c r="Z14" s="87"/>
    </row>
    <row r="15" spans="1:26" ht="14.45" x14ac:dyDescent="0.35">
      <c r="A15" s="84"/>
      <c r="B15" s="37"/>
      <c r="C15" s="10"/>
      <c r="D15" s="10"/>
      <c r="E15" s="10"/>
      <c r="F15" s="10"/>
      <c r="G15" s="10"/>
      <c r="H15" s="10"/>
      <c r="I15" s="10"/>
      <c r="J15" s="93"/>
      <c r="K15" s="10"/>
      <c r="L15" s="37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95"/>
      <c r="Z15" s="87"/>
    </row>
    <row r="16" spans="1:26" ht="14.45" x14ac:dyDescent="0.35">
      <c r="A16" s="84"/>
      <c r="B16" s="37"/>
      <c r="C16" s="10"/>
      <c r="D16" s="10"/>
      <c r="E16" s="10"/>
      <c r="F16" s="10"/>
      <c r="G16" s="10"/>
      <c r="H16" s="10"/>
      <c r="I16" s="10"/>
      <c r="J16" s="93"/>
      <c r="K16" s="10"/>
      <c r="L16" s="37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95"/>
      <c r="Z16" s="87"/>
    </row>
    <row r="17" spans="1:26" ht="14.45" x14ac:dyDescent="0.35">
      <c r="A17" s="84"/>
      <c r="B17" s="37"/>
      <c r="C17" s="10"/>
      <c r="D17" s="10"/>
      <c r="E17" s="10"/>
      <c r="F17" s="10"/>
      <c r="G17" s="10"/>
      <c r="H17" s="10"/>
      <c r="I17" s="10"/>
      <c r="J17" s="93"/>
      <c r="K17" s="10"/>
      <c r="L17" s="37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95"/>
      <c r="Z17" s="87"/>
    </row>
    <row r="18" spans="1:26" ht="27.75" customHeight="1" x14ac:dyDescent="0.35">
      <c r="A18" s="84"/>
      <c r="B18" s="94"/>
      <c r="C18" s="21"/>
      <c r="D18" s="21"/>
      <c r="E18" s="21"/>
      <c r="F18" s="295" t="str">
        <f>IF(Preparação!$A$2&lt;=1,"JANUARY",UPPER("YTD January to "&amp;TEXT(DATE(2015,Preparação!$A$2,1),"[$-409]mmmm")))</f>
        <v>YTD JANUARY TO JULY</v>
      </c>
      <c r="G18" s="295"/>
      <c r="H18" s="295"/>
      <c r="I18" s="295"/>
      <c r="J18" s="296"/>
      <c r="K18" s="10"/>
      <c r="L18" s="94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7"/>
      <c r="Z18" s="87"/>
    </row>
    <row r="19" spans="1:26" ht="27.75" customHeight="1" x14ac:dyDescent="0.35">
      <c r="A19" s="84"/>
      <c r="B19" s="10"/>
      <c r="C19" s="10"/>
      <c r="D19" s="10"/>
      <c r="E19" s="10"/>
      <c r="F19" s="126"/>
      <c r="G19" s="126"/>
      <c r="H19" s="126"/>
      <c r="I19" s="126"/>
      <c r="J19" s="126"/>
      <c r="K19" s="10"/>
      <c r="L19" s="10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</row>
    <row r="20" spans="1:26" ht="15" customHeight="1" x14ac:dyDescent="0.25">
      <c r="A20" s="84"/>
      <c r="B20" s="27"/>
      <c r="C20" s="12">
        <f>F20-1</f>
        <v>2018</v>
      </c>
      <c r="D20" s="12">
        <f>IF(F21=1,F20-1,F20)</f>
        <v>2019</v>
      </c>
      <c r="E20" s="51">
        <f>Preparação!$B$3</f>
        <v>2019</v>
      </c>
      <c r="F20" s="12">
        <f>Preparação!$B$3</f>
        <v>2019</v>
      </c>
      <c r="G20" s="13"/>
      <c r="H20" s="12">
        <f>$F$20</f>
        <v>2019</v>
      </c>
      <c r="I20" s="12">
        <f>$F$20</f>
        <v>2019</v>
      </c>
      <c r="J20" s="14">
        <f>$F$20</f>
        <v>2019</v>
      </c>
      <c r="K20" s="10"/>
      <c r="L20" s="261" t="str">
        <f>"Q"&amp;TEXT(Q23,0)&amp; " Monthly Sales"</f>
        <v>Q3 Monthly Sales</v>
      </c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3"/>
      <c r="Z20" s="87"/>
    </row>
    <row r="21" spans="1:26" ht="15.75" customHeight="1" x14ac:dyDescent="0.25">
      <c r="A21" s="84"/>
      <c r="B21" s="98" t="s">
        <v>75</v>
      </c>
      <c r="C21" s="15">
        <f>F21</f>
        <v>3</v>
      </c>
      <c r="D21" s="15">
        <f>IF(F21=1,4,F21-1)</f>
        <v>2</v>
      </c>
      <c r="E21" s="52">
        <f>F21</f>
        <v>3</v>
      </c>
      <c r="F21" s="15">
        <f>MIN(INT((Preparação!$A$2-1)/3+1),4)</f>
        <v>3</v>
      </c>
      <c r="G21" s="10"/>
      <c r="H21" s="16">
        <f>DATE(H20,3*($F$21-1)+1,1)</f>
        <v>43647</v>
      </c>
      <c r="I21" s="16">
        <f>DATE(I20,3*($F$21-1)+2,1)</f>
        <v>43678</v>
      </c>
      <c r="J21" s="17">
        <f>DATE(J20,3*($F$21-1)+3,1)</f>
        <v>43709</v>
      </c>
      <c r="K21" s="10"/>
      <c r="L21" s="297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9"/>
      <c r="Z21" s="87"/>
    </row>
    <row r="22" spans="1:26" ht="15" customHeight="1" x14ac:dyDescent="0.35">
      <c r="A22" s="84"/>
      <c r="B22" s="29"/>
      <c r="C22" s="15" t="s">
        <v>48</v>
      </c>
      <c r="D22" s="15" t="s">
        <v>48</v>
      </c>
      <c r="E22" s="52" t="s">
        <v>61</v>
      </c>
      <c r="F22" s="15" t="str">
        <f>IF(MONTH(J21)&lt;=Preparação!$A$2,"Act","FOR")</f>
        <v>FOR</v>
      </c>
      <c r="G22" s="10"/>
      <c r="H22" s="15" t="str">
        <f>IF(MONTH(H21)&lt;=Preparação!$A$2,"Act","FOR")</f>
        <v>Act</v>
      </c>
      <c r="I22" s="15" t="str">
        <f>IF(MONTH(I21)&lt;=Preparação!$A$2,"Act","FOR")</f>
        <v>FOR</v>
      </c>
      <c r="J22" s="18" t="str">
        <f>IF(MONTH(J21)&lt;=Preparação!$A$2,"Act","FOR")</f>
        <v>FOR</v>
      </c>
      <c r="K22" s="10"/>
      <c r="L22" s="3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5"/>
      <c r="Z22" s="87"/>
    </row>
    <row r="23" spans="1:26" ht="15.75" x14ac:dyDescent="0.25">
      <c r="A23" s="84"/>
      <c r="B23" s="34" t="s">
        <v>0</v>
      </c>
      <c r="C23" s="62">
        <f ca="1">SUM(OFFSET('Total Sales'!$A$1,MATCH($B$2,'Total Sales'!$A:$A,0)-1, MATCH("CY"&amp;RIGHT(C$20,2),'Total Sales'!$B$9:$AK$9,0)+3*(C$21-1),1,3))</f>
        <v>4808.0935200000004</v>
      </c>
      <c r="D23" s="62">
        <f ca="1">SUM(OFFSET('Total Sales'!$A$1,MATCH($B$2,'Total Sales'!$A:$A,0)-1, MATCH("CY"&amp;RIGHT(D$20,2),'Total Sales'!$B$9:$AK$9,0)+3*(D$21-1),1,3))</f>
        <v>6017.098215</v>
      </c>
      <c r="E23" s="62">
        <f ca="1">SUM(OFFSET('Total Sales'!$A$1,MATCH($B$2,'Total Sales'!$A:$A,0)-1, MATCH(TEXT(DATE(E$20,Preparação!$A$2,1),"[$-409]mmmm")&amp; " Forecast",'Total Sales'!$B$8:$BI$8,0)+3*(E$21-1),1,3))</f>
        <v>6577.8605649098863</v>
      </c>
      <c r="F23" s="164">
        <f ca="1">SUM(OFFSET('Total Sales'!$A$1,MATCH($B$2,'Total Sales'!$A:$A,0)-1, MATCH("Forecast",'Total Sales'!$B$11:$AK$11,0)+3*(F$21-1),1,3))</f>
        <v>5788.1941924964121</v>
      </c>
      <c r="G23" s="10"/>
      <c r="H23" s="62">
        <f>INDEX('Total Sales'!$A:$AK,MATCH($B$2,'Total Sales'!$A:$A,0),IF(H$22="FOR",MATCH("Forecast",'Total Sales'!$11:$11,0)-1,1)+MONTH(H$21))</f>
        <v>903.94710400000008</v>
      </c>
      <c r="I23" s="62">
        <f>INDEX('Total Sales'!$A:$AK,MATCH($B$2,'Total Sales'!$A:$A,0),IF(I$22="FOR",MATCH("Forecast",'Total Sales'!$11:$11,0)-1,1)+MONTH(I$21))</f>
        <v>2086.2379900000001</v>
      </c>
      <c r="J23" s="71">
        <f>INDEX('Total Sales'!$A:$AK,MATCH($B$2,'Total Sales'!$A:$A,0),IF(J$22="FOR",MATCH("Forecast",'Total Sales'!$11:$11,0)-1,1)+MONTH(J$21))</f>
        <v>2798.0090984964118</v>
      </c>
      <c r="K23" s="10"/>
      <c r="L23" s="37"/>
      <c r="M23" s="275" t="s">
        <v>0</v>
      </c>
      <c r="N23" s="99">
        <f>DATE(Preparação!$B$3,($Q$23*3-2),1)</f>
        <v>43647</v>
      </c>
      <c r="O23" s="99">
        <f>DATE(Preparação!$B$3,($Q$23*3-1),1)</f>
        <v>43678</v>
      </c>
      <c r="P23" s="99">
        <f>DATE(Preparação!$B$3,($Q$23*3),1)</f>
        <v>43709</v>
      </c>
      <c r="Q23" s="277">
        <f>MIN(INT((Preparação!A2-1)/3)+1,4)</f>
        <v>3</v>
      </c>
      <c r="R23" s="278"/>
      <c r="S23" s="86"/>
      <c r="T23" s="86"/>
      <c r="U23" s="86"/>
      <c r="V23" s="86"/>
      <c r="W23" s="86"/>
      <c r="X23" s="86"/>
      <c r="Y23" s="95"/>
      <c r="Z23" s="87"/>
    </row>
    <row r="24" spans="1:26" ht="15" customHeight="1" x14ac:dyDescent="0.25">
      <c r="A24" s="84"/>
      <c r="B24" s="29" t="s">
        <v>3</v>
      </c>
      <c r="C24" s="64">
        <f ca="1">SUM(OFFSET('Gross Profit 1'!$A$1,MATCH($B$2,'Gross Profit 1'!$A:$A,0)-1, MATCH("CY"&amp;RIGHT(C$20,2),'Gross Profit 1'!$B$9:$AK$9,0)+3*(C$21-1),1,3))</f>
        <v>2870.4820590000004</v>
      </c>
      <c r="D24" s="64">
        <f ca="1">SUM(OFFSET('Gross Profit 1'!$A$1,MATCH($B$2,'Gross Profit 1'!$A:$A,0)-1, MATCH("CY"&amp;RIGHT(D$20,2),'Gross Profit 1'!$B$9:$AK$9,0)+3*(D$21-1),1,3))</f>
        <v>3156.0328579999996</v>
      </c>
      <c r="E24" s="240">
        <f ca="1">SUM(OFFSET('Gross Profit 1'!$A$1,MATCH($B$2,'Gross Profit 1'!$A:$A,0)-1, MATCH(TEXT(DATE(E$20,Preparação!$A$2,1),"[$-409]mmmm")&amp; " Forecast",'Gross Profit 1'!$B$8:$BI$8,0)+3*(E$21-1),1,3))</f>
        <v>4112.235862140853</v>
      </c>
      <c r="F24" s="165">
        <f ca="1">SUM(OFFSET('Gross Profit 1'!$A$1,MATCH($B$2,'Gross Profit 1'!$A:$A,0)-1, MATCH("Forecast",'Gross Profit 1'!$B$11:$AK$11,0)+3*(F$21-1),1,3))</f>
        <v>3286.8977565234991</v>
      </c>
      <c r="G24" s="10"/>
      <c r="H24" s="64">
        <f>INDEX('Gross Profit 1'!$A:$AK,MATCH($B$2,'Gross Profit 1'!$A:$A,0),IF(H$22="FOR",MATCH("Forecast",'Gross Profit 1'!$11:$11,0)-1,1)+MONTH(H$21))</f>
        <v>255.70740800000002</v>
      </c>
      <c r="I24" s="64">
        <f>INDEX('Gross Profit 1'!$A:$AK,MATCH($B$2,'Gross Profit 1'!$A:$A,0),IF(I$22="FOR",MATCH("Forecast",'Gross Profit 1'!$11:$11,0)-1,1)+MONTH(I$21))</f>
        <v>1307.88759</v>
      </c>
      <c r="J24" s="72">
        <f>INDEX('Gross Profit 1'!$A:$AK,MATCH($B$2,'Gross Profit 1'!$A:$A,0),IF(J$22="FOR",MATCH("Forecast",'Gross Profit 1'!$11:$11,0)-1,1)+MONTH(J$21))</f>
        <v>1723.3027585234993</v>
      </c>
      <c r="K24" s="10"/>
      <c r="L24" s="37"/>
      <c r="M24" s="276"/>
      <c r="N24" s="159" t="str">
        <f>IF(MONTH(N23)&lt;=Preparação!$A$2,"Act","For")</f>
        <v>Act</v>
      </c>
      <c r="O24" s="159" t="str">
        <f>IF(MONTH(O23)&lt;=Preparação!$A$2,"Act","For")</f>
        <v>For</v>
      </c>
      <c r="P24" s="159" t="str">
        <f>IF(MONTH(P23)&lt;=Preparação!$A$2,"Act","For")</f>
        <v>For</v>
      </c>
      <c r="Q24" s="279" t="str">
        <f>IF(MONTH(P23)&lt;=Preparação!$A$2,"Act","For")</f>
        <v>For</v>
      </c>
      <c r="R24" s="280"/>
      <c r="S24" s="86"/>
      <c r="T24" s="86"/>
      <c r="U24" s="86"/>
      <c r="V24" s="86"/>
      <c r="W24" s="86"/>
      <c r="X24" s="86"/>
      <c r="Y24" s="95"/>
      <c r="Z24" s="87"/>
    </row>
    <row r="25" spans="1:26" ht="15" customHeight="1" x14ac:dyDescent="0.25">
      <c r="A25" s="84"/>
      <c r="B25" s="30" t="s">
        <v>4</v>
      </c>
      <c r="C25" s="11">
        <f ca="1">IFERROR(C24/C$23,0)</f>
        <v>0.59701044646070034</v>
      </c>
      <c r="D25" s="11">
        <f ca="1">IFERROR(D24/D$23,0)</f>
        <v>0.52451077666180324</v>
      </c>
      <c r="E25" s="241">
        <f ca="1">IFERROR(E24/E$23,0)</f>
        <v>0.62516312432615218</v>
      </c>
      <c r="F25" s="166">
        <f ca="1">IFERROR(F24/F$23,0)</f>
        <v>0.56786238457315485</v>
      </c>
      <c r="G25" s="10"/>
      <c r="H25" s="11">
        <f>IFERROR(H24/H$23,0)</f>
        <v>0.28287872915183321</v>
      </c>
      <c r="I25" s="11">
        <f>IFERROR(I24/I$23,0)</f>
        <v>0.62691198044955554</v>
      </c>
      <c r="J25" s="19">
        <f>IFERROR(J24/J$23,0)</f>
        <v>0.61590320040401736</v>
      </c>
      <c r="K25" s="10"/>
      <c r="L25" s="37"/>
      <c r="M25" s="100" t="str">
        <f>Preparação!G25</f>
        <v>This Year</v>
      </c>
      <c r="N25" s="160">
        <f>Preparação!H41</f>
        <v>903.94710400000008</v>
      </c>
      <c r="O25" s="160">
        <f>Preparação!I41</f>
        <v>2086.2379900000001</v>
      </c>
      <c r="P25" s="160">
        <f>Preparação!J41</f>
        <v>2798.0090984964118</v>
      </c>
      <c r="Q25" s="300">
        <f ca="1">Preparação!$K$41</f>
        <v>5788.1941924964121</v>
      </c>
      <c r="R25" s="301"/>
      <c r="S25" s="86"/>
      <c r="T25" s="86"/>
      <c r="U25" s="86"/>
      <c r="V25" s="86"/>
      <c r="W25" s="86"/>
      <c r="X25" s="86"/>
      <c r="Y25" s="95"/>
      <c r="Z25" s="87"/>
    </row>
    <row r="26" spans="1:26" x14ac:dyDescent="0.25">
      <c r="A26" s="84"/>
      <c r="B26" s="29" t="s">
        <v>14</v>
      </c>
      <c r="C26" s="64">
        <f ca="1">SUM(OFFSET('Var+OCOS'!$A$1,MATCH($B$2,'Var+OCOS'!$A:$A,0)-1, MATCH("CY"&amp;RIGHT(C$20,2),'Var+OCOS'!$B$9:$AK$9,0)+3*(C$21-1),1,3))</f>
        <v>-56.425509000000005</v>
      </c>
      <c r="D26" s="64">
        <f ca="1">SUM(OFFSET('Var+OCOS'!$A$1,MATCH($B$2,'Var+OCOS'!$A:$A,0)-1, MATCH("CY"&amp;RIGHT(D$20,2),'Var+OCOS'!$B$9:$AK$9,0)+3*(D$21-1),1,3))</f>
        <v>164.690676</v>
      </c>
      <c r="E26" s="240">
        <f ca="1">SUM(OFFSET('Var+OCOS'!$A$1,MATCH($B$2,'Var+OCOS'!$A:$A,0)-1, MATCH(TEXT(DATE(E$20,Preparação!$A$2,1),"[$-409]mmmm")&amp; " Forecast",'Var+OCOS'!$B$8:$BI$8,0)+3*(E$21-1),1,3))</f>
        <v>-52.38844423082957</v>
      </c>
      <c r="F26" s="167">
        <f ca="1">SUM(OFFSET('Var+OCOS'!$A$1,MATCH($B$2,'Var+OCOS'!$A:$A,0)-1, MATCH("Forecast",'Var+OCOS'!$B$11:$AK$11,0)+3*(F$21-1),1,3))</f>
        <v>-93.760425518015865</v>
      </c>
      <c r="G26" s="10"/>
      <c r="H26" s="64">
        <f>INDEX('Var+OCOS'!$A:$AK,MATCH($B$2,'Var+OCOS'!$A:$A,0),IF(H$22="FOR",MATCH("Forecast",'Var+OCOS'!$11:$11,0)-1,1)+MONTH(H$21))</f>
        <v>-58.514072999999996</v>
      </c>
      <c r="I26" s="64">
        <f>INDEX('Var+OCOS'!$A:$AK,MATCH($B$2,'Var+OCOS'!$A:$A,0),IF(I$22="FOR",MATCH("Forecast",'Var+OCOS'!$11:$11,0)-1,1)+MONTH(I$21))</f>
        <v>-17.532553356273063</v>
      </c>
      <c r="J26" s="72">
        <f>INDEX('Var+OCOS'!$A:$AK,MATCH($B$2,'Var+OCOS'!$A:$A,0),IF(J$22="FOR",MATCH("Forecast",'Var+OCOS'!$11:$11,0)-1,1)+MONTH(J$21))</f>
        <v>-17.713799161742791</v>
      </c>
      <c r="K26" s="10"/>
      <c r="L26" s="37"/>
      <c r="M26" s="101" t="s">
        <v>71</v>
      </c>
      <c r="N26" s="161">
        <f>IFERROR(N25/N29-1,"")</f>
        <v>-0.4255624408001577</v>
      </c>
      <c r="O26" s="161">
        <f t="shared" ref="O26:R26" si="0">IFERROR(O25/O29-1,"")</f>
        <v>0.21559746293545534</v>
      </c>
      <c r="P26" s="161">
        <f t="shared" si="0"/>
        <v>0.12227693562322761</v>
      </c>
      <c r="Q26" s="281">
        <f t="shared" ca="1" si="0"/>
        <v>8.9828310950434975E-4</v>
      </c>
      <c r="R26" s="302" t="str">
        <f t="shared" si="0"/>
        <v/>
      </c>
      <c r="S26" s="86"/>
      <c r="T26" s="86"/>
      <c r="U26" s="86"/>
      <c r="V26" s="86"/>
      <c r="W26" s="86"/>
      <c r="X26" s="86"/>
      <c r="Y26" s="95"/>
      <c r="Z26" s="87"/>
    </row>
    <row r="27" spans="1:26" x14ac:dyDescent="0.25">
      <c r="A27" s="84"/>
      <c r="B27" s="31" t="s">
        <v>1</v>
      </c>
      <c r="C27" s="67">
        <f ca="1">SUM(OFFSET('Gross Profit 2'!$A$1,MATCH($B$2,'Gross Profit 2'!$A:$A,0)-1, MATCH("CY"&amp;RIGHT(C$20,2),'Gross Profit 2'!$B$9:$AK$9,0)+3*(C$21-1),1,3))</f>
        <v>2814.0565500000002</v>
      </c>
      <c r="D27" s="67">
        <f ca="1">SUM(OFFSET('Gross Profit 2'!$A$1,MATCH($B$2,'Gross Profit 2'!$A:$A,0)-1, MATCH("CY"&amp;RIGHT(D$20,2),'Gross Profit 2'!$B$9:$AK$9,0)+3*(D$21-1),1,3))</f>
        <v>3320.7235339999997</v>
      </c>
      <c r="E27" s="242">
        <f ca="1">SUM(OFFSET('Gross Profit 2'!$A$1,MATCH($B$2,'Gross Profit 2'!$A:$A,0)-1, MATCH(TEXT(DATE(E$20,Preparação!$A$2,1),"[$-409]mmmm")&amp; " Forecast",'Gross Profit 2'!$B$8:$BI$8,0)+3*(E$21-1),1,3))</f>
        <v>4059.8474179100244</v>
      </c>
      <c r="F27" s="165">
        <f ca="1">SUM(OFFSET('Gross Profit 2'!$A$1,MATCH($B$2,'Gross Profit 2'!$A:$A,0)-1, MATCH("Forecast",'Gross Profit 2'!$B$11:$AK$11,0)+3*(F$21-1),1,3))</f>
        <v>3193.1373310054832</v>
      </c>
      <c r="G27" s="10"/>
      <c r="H27" s="67">
        <f>INDEX('Gross Profit 2'!$A:$AK,MATCH($B$2,'Gross Profit 2'!$A:$A,0),IF(H$22="FOR",MATCH("Forecast",'Gross Profit 2'!$11:$11,0)-1,1)+MONTH(H$21))</f>
        <v>197.19333500000002</v>
      </c>
      <c r="I27" s="67">
        <f>INDEX('Gross Profit 2'!$A:$AK,MATCH($B$2,'Gross Profit 2'!$A:$A,0),IF(I$22="FOR",MATCH("Forecast",'Gross Profit 2'!$11:$11,0)-1,1)+MONTH(I$21))</f>
        <v>1290.3550366437269</v>
      </c>
      <c r="J27" s="73">
        <f>INDEX('Gross Profit 2'!$A:$AK,MATCH($B$2,'Gross Profit 2'!$A:$A,0),IF(J$22="FOR",MATCH("Forecast",'Gross Profit 2'!$11:$11,0)-1,1)+MONTH(J$21))</f>
        <v>1705.5889593617565</v>
      </c>
      <c r="K27" s="10"/>
      <c r="L27" s="37"/>
      <c r="M27" s="101" t="s">
        <v>72</v>
      </c>
      <c r="N27" s="161">
        <f>IFERROR(N25/N30-1,"")</f>
        <v>0.21688697702245108</v>
      </c>
      <c r="O27" s="161">
        <f t="shared" ref="O27:R27" si="1">IFERROR(O25/O30-1,"")</f>
        <v>1.8136110919759729</v>
      </c>
      <c r="P27" s="161">
        <f t="shared" si="1"/>
        <v>-0.15818392502084855</v>
      </c>
      <c r="Q27" s="281">
        <f t="shared" ca="1" si="1"/>
        <v>0.20384392866310375</v>
      </c>
      <c r="R27" s="302" t="str">
        <f t="shared" si="1"/>
        <v/>
      </c>
      <c r="S27" s="86"/>
      <c r="T27" s="86"/>
      <c r="U27" s="86"/>
      <c r="V27" s="86"/>
      <c r="W27" s="86"/>
      <c r="X27" s="86"/>
      <c r="Y27" s="95"/>
      <c r="Z27" s="87"/>
    </row>
    <row r="28" spans="1:26" x14ac:dyDescent="0.25">
      <c r="A28" s="84"/>
      <c r="B28" s="32" t="s">
        <v>50</v>
      </c>
      <c r="C28" s="11">
        <f ca="1">IFERROR(C27/C$23,0)</f>
        <v>0.58527491994373693</v>
      </c>
      <c r="D28" s="11">
        <f ca="1">IFERROR(D27/D$23,0)</f>
        <v>0.5518812250266717</v>
      </c>
      <c r="E28" s="241">
        <f ca="1">IFERROR(E27/E$23,0)</f>
        <v>0.61719876513764971</v>
      </c>
      <c r="F28" s="166">
        <f ca="1">IFERROR(F27/F$23,0)</f>
        <v>0.55166382205091546</v>
      </c>
      <c r="G28" s="10"/>
      <c r="H28" s="11">
        <f>IFERROR(H27/H$23,0)</f>
        <v>0.21814698462710047</v>
      </c>
      <c r="I28" s="11">
        <f>IFERROR(I27/I$23,0)</f>
        <v>0.61850807186371237</v>
      </c>
      <c r="J28" s="19">
        <f>IFERROR(J27/J$23,0)</f>
        <v>0.60957234209077527</v>
      </c>
      <c r="K28" s="10"/>
      <c r="L28" s="37"/>
      <c r="M28" s="102"/>
      <c r="N28" s="163"/>
      <c r="O28" s="163"/>
      <c r="P28" s="163"/>
      <c r="Q28" s="269"/>
      <c r="R28" s="270"/>
      <c r="S28" s="86"/>
      <c r="T28" s="86"/>
      <c r="U28" s="86"/>
      <c r="V28" s="86"/>
      <c r="W28" s="86"/>
      <c r="X28" s="86"/>
      <c r="Y28" s="95"/>
      <c r="Z28" s="87"/>
    </row>
    <row r="29" spans="1:26" ht="15" customHeight="1" x14ac:dyDescent="0.25">
      <c r="A29" s="84"/>
      <c r="B29" s="29" t="s">
        <v>2</v>
      </c>
      <c r="C29" s="64">
        <f ca="1">SUM(OFFSET('Total OPEX'!$A$1,MATCH($B$2,'Total OPEX'!$A:$A,0)-1, MATCH("CY"&amp;RIGHT(C$20,2),'Total OPEX'!$B$9:$AK$9,0)+3*(C$21-1),1,3))</f>
        <v>-1139.6078149999998</v>
      </c>
      <c r="D29" s="64">
        <f ca="1">SUM(OFFSET('Total OPEX'!$A$1,MATCH($B$2,'Total OPEX'!$A:$A,0)-1, MATCH("CY"&amp;RIGHT(D$20,2),'Total OPEX'!$B$9:$AK$9,0)+3*(D$21-1),1,3))</f>
        <v>-1284.707836</v>
      </c>
      <c r="E29" s="240">
        <f ca="1">SUM(OFFSET('Total OPEX'!$A$1,MATCH($B$2,'Total OPEX'!$A:$A,0)-1, MATCH(TEXT(DATE(E$20,Preparação!$A$2,1),"[$-409]mmmm")&amp; " Forecast",'Total OPEX'!$B$8:$BI$8,0)+3*(E$21-1),1,3))</f>
        <v>-1331.6177976654112</v>
      </c>
      <c r="F29" s="168">
        <f ca="1">SUM(OFFSET('Total OPEX'!$A$1,MATCH($B$2,'Total OPEX'!$A:$A,0)-1, MATCH("Forecast",'Total OPEX'!$B$11:$AK$11,0)+3*(F$21-1),1,3))</f>
        <v>-1288.0401078219252</v>
      </c>
      <c r="G29" s="10"/>
      <c r="H29" s="64">
        <f>INDEX('Total OPEX'!$A:$AK,MATCH($B$2,'Total OPEX'!$A:$A,0),IF(H$22="FOR",MATCH("Forecast",'Total OPEX'!$11:$11,0)-1,1)+MONTH(H$21))</f>
        <v>-398.28530000000006</v>
      </c>
      <c r="I29" s="64">
        <f>INDEX('Total OPEX'!$A:$AK,MATCH($B$2,'Total OPEX'!$A:$A,0),IF(I$22="FOR",MATCH("Forecast",'Total OPEX'!$11:$11,0)-1,1)+MONTH(I$21))</f>
        <v>-444.87740391096258</v>
      </c>
      <c r="J29" s="72">
        <f>INDEX('Total OPEX'!$A:$AK,MATCH($B$2,'Total OPEX'!$A:$A,0),IF(J$22="FOR",MATCH("Forecast",'Total OPEX'!$11:$11,0)-1,1)+MONTH(J$21))</f>
        <v>-444.87740391096258</v>
      </c>
      <c r="K29" s="10"/>
      <c r="L29" s="37"/>
      <c r="M29" s="103" t="str">
        <f>Preparação!G24</f>
        <v>Budget</v>
      </c>
      <c r="N29" s="158">
        <f>Preparação!H40</f>
        <v>1573.6211699999999</v>
      </c>
      <c r="O29" s="158">
        <f>Preparação!I40</f>
        <v>1716.2243699999999</v>
      </c>
      <c r="P29" s="158">
        <f>Preparação!J40</f>
        <v>2493.1538817935425</v>
      </c>
      <c r="Q29" s="271">
        <f t="shared" ref="Q29:Q30" si="2">SUM(N29:P29)</f>
        <v>5782.9994217935418</v>
      </c>
      <c r="R29" s="272"/>
      <c r="S29" s="86"/>
      <c r="T29" s="86"/>
      <c r="U29" s="86"/>
      <c r="V29" s="86"/>
      <c r="W29" s="86"/>
      <c r="X29" s="86"/>
      <c r="Y29" s="95"/>
      <c r="Z29" s="87"/>
    </row>
    <row r="30" spans="1:26" ht="15" customHeight="1" x14ac:dyDescent="0.25">
      <c r="A30" s="84"/>
      <c r="B30" s="35" t="s">
        <v>5</v>
      </c>
      <c r="C30" s="69">
        <f ca="1">SUM(OFFSET(EBIT!$A$1,MATCH($B$2,EBIT!$A:$A,0)-1, MATCH("CY"&amp;RIGHT(C$20,2),EBIT!$B$9:$AK$9,0)+3*(C$21-1),1,3))</f>
        <v>1674.4487350000004</v>
      </c>
      <c r="D30" s="69">
        <f ca="1">SUM(OFFSET(EBIT!$A$1,MATCH($B$2,EBIT!$A:$A,0)-1, MATCH("CY"&amp;RIGHT(D$20,2),EBIT!$B$9:$AK$9,0)+3*(D$21-1),1,3))</f>
        <v>2036.0156979999997</v>
      </c>
      <c r="E30" s="70">
        <f ca="1">SUM(OFFSET(EBIT!$A$1,MATCH($B$2,EBIT!$A:$A,0)-1, MATCH(TEXT(DATE(E$20,Preparação!$A$2,1),"[$-409]mmmm")&amp; " Forecast",EBIT!$B$8:$BI$8,0)+3*(E$21-1),1,3))</f>
        <v>2728.2296202446132</v>
      </c>
      <c r="F30" s="69">
        <f ca="1">SUM(OFFSET(EBIT!$A$1,MATCH($B$2,EBIT!$A:$A,0)-1, MATCH("Forecast",EBIT!$B$11:$AK$11,0)+3*(F$21-1),1,3))</f>
        <v>1905.0972231835581</v>
      </c>
      <c r="G30" s="10"/>
      <c r="H30" s="69">
        <f>INDEX(EBIT!$A:$AK,MATCH($B$2,EBIT!$A:$A,0),IF(H$22="FOR",MATCH("Forecast",EBIT!$11:$11,0)-1,1)+MONTH(H$21))</f>
        <v>-201.09196500000004</v>
      </c>
      <c r="I30" s="69">
        <f>INDEX(EBIT!$A:$AK,MATCH($B$2,EBIT!$A:$A,0),IF(I$22="FOR",MATCH("Forecast",EBIT!$11:$11,0)-1,1)+MONTH(I$21))</f>
        <v>845.47763273276428</v>
      </c>
      <c r="J30" s="74">
        <f>INDEX(EBIT!$A:$AK,MATCH($B$2,EBIT!$A:$A,0),IF(J$22="FOR",MATCH("Forecast",EBIT!$11:$11,0)-1,1)+MONTH(J$21))</f>
        <v>1260.7115554507939</v>
      </c>
      <c r="K30" s="10"/>
      <c r="L30" s="37"/>
      <c r="M30" s="104" t="str">
        <f>Preparação!G26</f>
        <v>Last Year</v>
      </c>
      <c r="N30" s="157">
        <f>Preparação!H42</f>
        <v>742.83571200000006</v>
      </c>
      <c r="O30" s="157">
        <f>Preparação!I42</f>
        <v>741.48058200000003</v>
      </c>
      <c r="P30" s="157">
        <f>Preparação!J42</f>
        <v>3323.7772259999997</v>
      </c>
      <c r="Q30" s="273">
        <f t="shared" si="2"/>
        <v>4808.0935200000004</v>
      </c>
      <c r="R30" s="274"/>
      <c r="S30" s="86"/>
      <c r="T30" s="86"/>
      <c r="U30" s="86"/>
      <c r="V30" s="86"/>
      <c r="W30" s="86"/>
      <c r="X30" s="86"/>
      <c r="Y30" s="95"/>
      <c r="Z30" s="87"/>
    </row>
    <row r="31" spans="1:26" ht="16.5" customHeight="1" x14ac:dyDescent="0.25">
      <c r="A31" s="84"/>
      <c r="B31" s="33" t="s">
        <v>49</v>
      </c>
      <c r="C31" s="20">
        <f ca="1">IFERROR(C30/C$23,0)</f>
        <v>0.34825627414168936</v>
      </c>
      <c r="D31" s="20">
        <f ca="1">IFERROR(D30/D$23,0)</f>
        <v>0.33837169101285802</v>
      </c>
      <c r="E31" s="243">
        <f ca="1">IFERROR(E30/E$23,0)</f>
        <v>0.41475941809994704</v>
      </c>
      <c r="F31" s="169">
        <f ca="1">IFERROR(F30/F$23,0)</f>
        <v>0.3291349874980441</v>
      </c>
      <c r="G31" s="21"/>
      <c r="H31" s="20">
        <f>IFERROR(H30/H$23,0)</f>
        <v>-0.22245988079408685</v>
      </c>
      <c r="I31" s="20">
        <f>IFERROR(I30/I$23,0)</f>
        <v>0.40526423005688061</v>
      </c>
      <c r="J31" s="22">
        <f>IFERROR(J30/J$23,0)</f>
        <v>0.45057450175136043</v>
      </c>
      <c r="K31" s="10"/>
      <c r="L31" s="94"/>
      <c r="M31" s="21"/>
      <c r="N31" s="21"/>
      <c r="O31" s="21"/>
      <c r="P31" s="21"/>
      <c r="Q31" s="21"/>
      <c r="R31" s="21"/>
      <c r="S31" s="96"/>
      <c r="T31" s="96"/>
      <c r="U31" s="96"/>
      <c r="V31" s="96"/>
      <c r="W31" s="96"/>
      <c r="X31" s="96"/>
      <c r="Y31" s="97"/>
      <c r="Z31" s="87"/>
    </row>
    <row r="32" spans="1:26" x14ac:dyDescent="0.25">
      <c r="A32" s="84"/>
      <c r="B32" s="170" t="str">
        <f>"Figures in 1.000 Euros             *Last Forecast as of " &amp;TEXT(DATE($E$20,Preparação!$A$2,1),"[$-409]mmmm/aaaa")</f>
        <v>Figures in 1.000 Euros             *Last Forecast as of July/Monday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86"/>
      <c r="T32" s="86"/>
      <c r="U32" s="86"/>
      <c r="V32" s="86"/>
      <c r="W32" s="86"/>
      <c r="X32" s="86"/>
      <c r="Y32" s="86"/>
      <c r="Z32" s="87"/>
    </row>
    <row r="33" spans="1:26" ht="27.75" customHeight="1" x14ac:dyDescent="0.25">
      <c r="A33" s="84"/>
      <c r="B33" s="10"/>
      <c r="C33" s="10"/>
      <c r="D33" s="10"/>
      <c r="E33" s="10"/>
      <c r="F33" s="126"/>
      <c r="G33" s="126"/>
      <c r="H33" s="126"/>
      <c r="I33" s="126"/>
      <c r="J33" s="126"/>
      <c r="K33" s="10"/>
      <c r="L33" s="10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7"/>
    </row>
    <row r="34" spans="1:26" ht="15" customHeight="1" x14ac:dyDescent="0.25">
      <c r="A34" s="84"/>
      <c r="B34" s="304"/>
      <c r="C34" s="305"/>
      <c r="D34" s="12">
        <f>E34-1</f>
        <v>2018</v>
      </c>
      <c r="E34" s="23">
        <f>Preparação!$B$3</f>
        <v>2019</v>
      </c>
      <c r="F34" s="23">
        <f>Preparação!$B$3</f>
        <v>2019</v>
      </c>
      <c r="G34" s="13"/>
      <c r="H34" s="131">
        <f>Preparação!$B$3</f>
        <v>2019</v>
      </c>
      <c r="I34" s="10"/>
      <c r="J34" s="10"/>
      <c r="K34" s="10"/>
      <c r="L34" s="261" t="str">
        <f>Preparação!$B$3&amp;" Quarterly Sales"</f>
        <v>2019 Quarterly Sales</v>
      </c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3"/>
      <c r="Z34" s="87"/>
    </row>
    <row r="35" spans="1:26" ht="15.75" customHeight="1" x14ac:dyDescent="0.25">
      <c r="A35" s="84"/>
      <c r="B35" s="306" t="s">
        <v>75</v>
      </c>
      <c r="C35" s="307"/>
      <c r="D35" s="15" t="s">
        <v>88</v>
      </c>
      <c r="E35" s="24" t="s">
        <v>88</v>
      </c>
      <c r="F35" s="24" t="s">
        <v>88</v>
      </c>
      <c r="G35" s="10"/>
      <c r="H35" s="132" t="s">
        <v>88</v>
      </c>
      <c r="I35" s="10"/>
      <c r="J35" s="10"/>
      <c r="K35" s="10"/>
      <c r="L35" s="297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9"/>
      <c r="Z35" s="87"/>
    </row>
    <row r="36" spans="1:26" ht="15" customHeight="1" x14ac:dyDescent="0.25">
      <c r="A36" s="84"/>
      <c r="B36" s="308"/>
      <c r="C36" s="309"/>
      <c r="D36" s="15" t="s">
        <v>48</v>
      </c>
      <c r="E36" s="24" t="s">
        <v>74</v>
      </c>
      <c r="F36" s="24" t="s">
        <v>86</v>
      </c>
      <c r="G36" s="10"/>
      <c r="H36" s="133" t="s">
        <v>119</v>
      </c>
      <c r="I36" s="10"/>
      <c r="J36" s="10"/>
      <c r="K36" s="10"/>
      <c r="L36" s="37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5"/>
      <c r="Z36" s="87"/>
    </row>
    <row r="37" spans="1:26" ht="15.75" x14ac:dyDescent="0.25">
      <c r="A37" s="84"/>
      <c r="B37" s="310" t="s">
        <v>0</v>
      </c>
      <c r="C37" s="311"/>
      <c r="D37" s="62">
        <f ca="1">SUM(OFFSET('Total Sales'!$A$1,MATCH($B$2,'Total Sales'!$A:$A,0)-1, MATCH("CY"&amp;RIGHT(D$34,2),'Total Sales'!$B$9:$AK$9,0),1,12))</f>
        <v>17429.22855</v>
      </c>
      <c r="E37" s="63">
        <f ca="1">SUM(OFFSET('Total Sales'!$A$1,MATCH($B$2,'Total Sales'!$A:$A,0)-1, MATCH("Budget",'Total Sales'!$B$11:$BI$11,0),1,12))</f>
        <v>22076.694552419576</v>
      </c>
      <c r="F37" s="63">
        <f ca="1">SUM(OFFSET('Total Sales'!$A$1,MATCH($B$2,'Total Sales'!$A:$A,0)-1, MATCH("Forecast",'Total Sales'!$B$11:$AK$11,0),1,12))</f>
        <v>21517.756525568329</v>
      </c>
      <c r="G37" s="10"/>
      <c r="H37" s="134">
        <f ca="1">SUM(OFFSET('Total Sales'!$A$1,MATCH($B$2,'Total Sales'!$A:$A,0)-1, MATCH("CY"&amp;RIGHT(H$34,2),'Total Sales'!$B$9:$AK$9,0),1,12))</f>
        <v>11226.112106000002</v>
      </c>
      <c r="I37" s="10"/>
      <c r="J37" s="10"/>
      <c r="K37" s="10"/>
      <c r="L37" s="37"/>
      <c r="M37" s="275" t="s">
        <v>0</v>
      </c>
      <c r="N37" s="162">
        <f>Preparação!R1</f>
        <v>1</v>
      </c>
      <c r="O37" s="162">
        <f>Preparação!S1</f>
        <v>2</v>
      </c>
      <c r="P37" s="162">
        <f>Preparação!T1</f>
        <v>3</v>
      </c>
      <c r="Q37" s="277">
        <f>Preparação!U1</f>
        <v>4</v>
      </c>
      <c r="R37" s="277"/>
      <c r="S37" s="127"/>
      <c r="T37" s="291" t="str">
        <f>Preparação!V1</f>
        <v>CY</v>
      </c>
      <c r="U37" s="291"/>
      <c r="V37" s="292"/>
      <c r="W37" s="86"/>
      <c r="X37" s="86"/>
      <c r="Y37" s="95"/>
      <c r="Z37" s="87"/>
    </row>
    <row r="38" spans="1:26" ht="15" customHeight="1" x14ac:dyDescent="0.25">
      <c r="A38" s="84"/>
      <c r="B38" s="312" t="s">
        <v>3</v>
      </c>
      <c r="C38" s="313"/>
      <c r="D38" s="64">
        <f ca="1">SUM(OFFSET('Gross Profit 1'!$A$1,MATCH($B$2,'Gross Profit 1'!$A:$A,0)-1, MATCH("CY"&amp;RIGHT(D$34,2),'Gross Profit 1'!$B$9:$AK$9,0),1,12))</f>
        <v>10145.401751000001</v>
      </c>
      <c r="E38" s="65">
        <f ca="1">SUM(OFFSET('Gross Profit 1'!$A$1,MATCH($B$2,'Gross Profit 1'!$A:$A,0)-1, MATCH("Budget",'Gross Profit 1'!$B$11:$BI$11,0),1,12))</f>
        <v>13651.398193750687</v>
      </c>
      <c r="F38" s="65">
        <f ca="1">SUM(OFFSET('Gross Profit 1'!$A$1,MATCH($B$2,'Gross Profit 1'!$A:$A,0)-1, MATCH("Forecast",'Gross Profit 1'!$B$11:$AK$11,0),1,12))</f>
        <v>12643.833828059456</v>
      </c>
      <c r="G38" s="10"/>
      <c r="H38" s="45">
        <f ca="1">SUM(OFFSET('Gross Profit 1'!$A$1,MATCH($B$2,'Gross Profit 1'!$A:$A,0)-1, MATCH("CY"&amp;RIGHT(H$34,2),'Gross Profit 1'!$B$9:$AK$9,0),1,12))</f>
        <v>6193.5987639999994</v>
      </c>
      <c r="I38" s="10"/>
      <c r="J38" s="10"/>
      <c r="K38" s="10"/>
      <c r="L38" s="37"/>
      <c r="M38" s="276"/>
      <c r="N38" s="159" t="str">
        <f>IF(INT(Preparação!$A$2/3)&gt;=N37,"Act","For")</f>
        <v>Act</v>
      </c>
      <c r="O38" s="159" t="str">
        <f>IF(INT(Preparação!$A$2/3)&gt;=O37,"Act","For")</f>
        <v>Act</v>
      </c>
      <c r="P38" s="159" t="str">
        <f>IF(INT(Preparação!$A$2/3)&gt;=P37,"Act","For")</f>
        <v>For</v>
      </c>
      <c r="Q38" s="279" t="str">
        <f>IF(INT(Preparação!$A$2/3)&gt;=Q37,"Act","For")</f>
        <v>For</v>
      </c>
      <c r="R38" s="279"/>
      <c r="S38" s="86"/>
      <c r="T38" s="279" t="str">
        <f>IF(INT(Preparação!$A$2/3)&gt;=T37,"Act","For")</f>
        <v>For</v>
      </c>
      <c r="U38" s="279"/>
      <c r="V38" s="280"/>
      <c r="W38" s="86"/>
      <c r="X38" s="86"/>
      <c r="Y38" s="95"/>
      <c r="Z38" s="87"/>
    </row>
    <row r="39" spans="1:26" ht="15" customHeight="1" x14ac:dyDescent="0.25">
      <c r="A39" s="84"/>
      <c r="B39" s="316" t="s">
        <v>4</v>
      </c>
      <c r="C39" s="317"/>
      <c r="D39" s="11">
        <f ca="1">IFERROR(D38/D$37,0)</f>
        <v>0.58209126823344115</v>
      </c>
      <c r="E39" s="25">
        <f ca="1">IFERROR(E38/E$37,0)</f>
        <v>0.61836241658987445</v>
      </c>
      <c r="F39" s="25">
        <f ca="1">IFERROR(F38/F$37,0)</f>
        <v>0.58760000435154591</v>
      </c>
      <c r="G39" s="10"/>
      <c r="H39" s="135">
        <f ca="1">IFERROR(H38/H$37,0)</f>
        <v>0.55171360356268995</v>
      </c>
      <c r="I39" s="10"/>
      <c r="J39" s="10"/>
      <c r="K39" s="10"/>
      <c r="L39" s="37"/>
      <c r="M39" s="100" t="str">
        <f>Preparação!Q7</f>
        <v>This Year</v>
      </c>
      <c r="N39" s="160">
        <f ca="1">Preparação!R7</f>
        <v>4305.0667869999997</v>
      </c>
      <c r="O39" s="160">
        <f ca="1">Preparação!S7</f>
        <v>6017.0982150000009</v>
      </c>
      <c r="P39" s="160">
        <f ca="1">Preparação!T7</f>
        <v>5788.1941924964121</v>
      </c>
      <c r="Q39" s="268">
        <f ca="1">Preparação!U7</f>
        <v>5407.3973310719157</v>
      </c>
      <c r="R39" s="268"/>
      <c r="S39" s="86"/>
      <c r="T39" s="268">
        <f ca="1">Preparação!V7</f>
        <v>21517.756525568329</v>
      </c>
      <c r="U39" s="268"/>
      <c r="V39" s="290"/>
      <c r="W39" s="86"/>
      <c r="X39" s="86"/>
      <c r="Y39" s="95"/>
      <c r="Z39" s="87"/>
    </row>
    <row r="40" spans="1:26" x14ac:dyDescent="0.25">
      <c r="A40" s="84"/>
      <c r="B40" s="318" t="s">
        <v>14</v>
      </c>
      <c r="C40" s="319"/>
      <c r="D40" s="64">
        <f ca="1">SUM(OFFSET('Var+OCOS'!$A$1,MATCH($B$2,'Var+OCOS'!$A:$A,0)-1, MATCH("CY"&amp;RIGHT(D$34,2),'Var+OCOS'!$B$9:$AK$9,0),1,12))</f>
        <v>-131.10937899999999</v>
      </c>
      <c r="E40" s="66">
        <f ca="1">SUM(OFFSET('Var+OCOS'!$A$1,MATCH($B$2,'Var+OCOS'!$A:$A,0)-1, MATCH("Budget",'Var+OCOS'!$B$11:$BI$11,0),1,12))</f>
        <v>-202.49553734228687</v>
      </c>
      <c r="F40" s="66">
        <f ca="1">SUM(OFFSET('Var+OCOS'!$A$1,MATCH($B$2,'Var+OCOS'!$A:$A,0)-1, MATCH("Forecast",'Var+OCOS'!$B$11:$AK$11,0),1,12))</f>
        <v>-46.838728060322495</v>
      </c>
      <c r="G40" s="10"/>
      <c r="H40" s="45">
        <f ca="1">SUM(OFFSET('Var+OCOS'!$A$1,MATCH($B$2,'Var+OCOS'!$A:$A,0)-1, MATCH("CY"&amp;RIGHT(H$34,2),'Var+OCOS'!$B$9:$AK$9,0),1,12))</f>
        <v>37.51116399999998</v>
      </c>
      <c r="I40" s="10"/>
      <c r="J40" s="10"/>
      <c r="K40" s="10"/>
      <c r="L40" s="37"/>
      <c r="M40" s="101" t="s">
        <v>71</v>
      </c>
      <c r="N40" s="161">
        <f ca="1">IFERROR(N39/N43-1,"")</f>
        <v>-0.17983923681745861</v>
      </c>
      <c r="O40" s="161">
        <f t="shared" ref="O40:R40" ca="1" si="3">IFERROR(O39/O43-1,"")</f>
        <v>3.0125531684491946E-2</v>
      </c>
      <c r="P40" s="161">
        <f t="shared" ca="1" si="3"/>
        <v>8.9828310950434975E-4</v>
      </c>
      <c r="Q40" s="281">
        <f t="shared" ca="1" si="3"/>
        <v>3.9182306970062308E-2</v>
      </c>
      <c r="R40" s="281" t="str">
        <f t="shared" si="3"/>
        <v/>
      </c>
      <c r="S40" s="86"/>
      <c r="T40" s="288">
        <f t="shared" ref="T40:V40" ca="1" si="4">IFERROR(T39/T43-1,"")</f>
        <v>-2.5318012419118574E-2</v>
      </c>
      <c r="U40" s="288" t="str">
        <f t="shared" si="4"/>
        <v/>
      </c>
      <c r="V40" s="289" t="str">
        <f t="shared" si="4"/>
        <v/>
      </c>
      <c r="W40" s="86"/>
      <c r="X40" s="86"/>
      <c r="Y40" s="95"/>
      <c r="Z40" s="87"/>
    </row>
    <row r="41" spans="1:26" x14ac:dyDescent="0.25">
      <c r="A41" s="84"/>
      <c r="B41" s="320" t="s">
        <v>1</v>
      </c>
      <c r="C41" s="321"/>
      <c r="D41" s="67">
        <f ca="1">SUM(OFFSET('Gross Profit 2'!$A$1,MATCH($B$2,'Gross Profit 2'!$A:$A,0)-1, MATCH("CY"&amp;RIGHT(D$34,2),'Gross Profit 2'!$B$9:$AK$9,0),1,12))</f>
        <v>10014.292372000002</v>
      </c>
      <c r="E41" s="65">
        <f ca="1">SUM(OFFSET('Gross Profit 2'!$A$1,MATCH($B$2,'Gross Profit 2'!$A:$A,0)-1, MATCH("Budget",'Gross Profit 2'!$B$11:$BI$11,0),1,12))</f>
        <v>13448.902656408402</v>
      </c>
      <c r="F41" s="65">
        <f ca="1">SUM(OFFSET('Gross Profit 2'!$A$1,MATCH($B$2,'Gross Profit 2'!$A:$A,0)-1, MATCH("Forecast",'Gross Profit 2'!$B$11:$AK$11,0),1,12))</f>
        <v>12596.995099999132</v>
      </c>
      <c r="G41" s="10"/>
      <c r="H41" s="136">
        <f ca="1">SUM(OFFSET('Gross Profit 2'!$A$1,MATCH($B$2,'Gross Profit 2'!$A:$A,0)-1, MATCH("CY"&amp;RIGHT(H$34,2),'Gross Profit 2'!$B$9:$AK$9,0),1,12))</f>
        <v>6231.1099279999999</v>
      </c>
      <c r="I41" s="10"/>
      <c r="J41" s="10"/>
      <c r="K41" s="10"/>
      <c r="L41" s="37"/>
      <c r="M41" s="101" t="s">
        <v>72</v>
      </c>
      <c r="N41" s="161">
        <f ca="1">IFERROR(N39/N44-1,"")</f>
        <v>0.29871211652703966</v>
      </c>
      <c r="O41" s="161">
        <f t="shared" ref="O41:R41" ca="1" si="5">IFERROR(O39/O44-1,"")</f>
        <v>0.41381610469321184</v>
      </c>
      <c r="P41" s="161">
        <f t="shared" ca="1" si="5"/>
        <v>0.20384392866310375</v>
      </c>
      <c r="Q41" s="281">
        <f t="shared" ca="1" si="5"/>
        <v>7.0700900554532486E-2</v>
      </c>
      <c r="R41" s="281" t="str">
        <f t="shared" si="5"/>
        <v/>
      </c>
      <c r="S41" s="86"/>
      <c r="T41" s="288">
        <f t="shared" ref="T41:V41" ca="1" si="6">IFERROR(T39/T44-1,"")</f>
        <v>0.23457882624233117</v>
      </c>
      <c r="U41" s="288" t="str">
        <f t="shared" si="6"/>
        <v/>
      </c>
      <c r="V41" s="289" t="str">
        <f t="shared" si="6"/>
        <v/>
      </c>
      <c r="W41" s="86"/>
      <c r="X41" s="86"/>
      <c r="Y41" s="95"/>
      <c r="Z41" s="87"/>
    </row>
    <row r="42" spans="1:26" x14ac:dyDescent="0.25">
      <c r="A42" s="84"/>
      <c r="B42" s="322" t="s">
        <v>50</v>
      </c>
      <c r="C42" s="323"/>
      <c r="D42" s="11">
        <f ca="1">IFERROR(D41/D$37,0)</f>
        <v>0.57456888256824201</v>
      </c>
      <c r="E42" s="25">
        <f ca="1">IFERROR(E41/E$37,0)</f>
        <v>0.60919004991779535</v>
      </c>
      <c r="F42" s="25">
        <f ca="1">IFERROR(F41/F$37,0)</f>
        <v>0.58542325660348637</v>
      </c>
      <c r="G42" s="10"/>
      <c r="H42" s="135">
        <f ca="1">IFERROR(H41/H$37,0)</f>
        <v>0.55505502431867471</v>
      </c>
      <c r="I42" s="10"/>
      <c r="J42" s="10"/>
      <c r="K42" s="10"/>
      <c r="L42" s="37"/>
      <c r="M42" s="102"/>
      <c r="N42" s="163"/>
      <c r="O42" s="163"/>
      <c r="P42" s="163"/>
      <c r="Q42" s="269"/>
      <c r="R42" s="269"/>
      <c r="S42" s="86"/>
      <c r="T42" s="283"/>
      <c r="U42" s="283"/>
      <c r="V42" s="284"/>
      <c r="W42" s="86"/>
      <c r="X42" s="86"/>
      <c r="Y42" s="95"/>
      <c r="Z42" s="87"/>
    </row>
    <row r="43" spans="1:26" ht="15" customHeight="1" x14ac:dyDescent="0.25">
      <c r="A43" s="84"/>
      <c r="B43" s="312" t="s">
        <v>2</v>
      </c>
      <c r="C43" s="313"/>
      <c r="D43" s="64">
        <f ca="1">SUM(OFFSET('Total OPEX'!$A$1,MATCH($B$2,'Total OPEX'!$A:$A,0)-1, MATCH("CY"&amp;RIGHT(D$34,2),'Total OPEX'!$B$9:$AK$9,0),1,12))</f>
        <v>-4428.7056869999997</v>
      </c>
      <c r="E43" s="68">
        <f ca="1">SUM(OFFSET('Total OPEX'!$A$1,MATCH($B$2,'Total OPEX'!$A:$A,0)-1, MATCH("Budget",'Total OPEX'!$B$11:$BI$11,0),1,12))</f>
        <v>-4604.0436229476509</v>
      </c>
      <c r="F43" s="68">
        <f ca="1">SUM(OFFSET('Total OPEX'!$A$1,MATCH($B$2,'Total OPEX'!$A:$A,0)-1, MATCH("Forecast",'Total OPEX'!$B$11:$AK$11,0),1,12))</f>
        <v>-5249.5834626433725</v>
      </c>
      <c r="G43" s="10"/>
      <c r="H43" s="45">
        <f ca="1">SUM(OFFSET('Total OPEX'!$A$1,MATCH($B$2,'Total OPEX'!$A:$A,0)-1, MATCH("CY"&amp;RIGHT(H$34,2),'Total OPEX'!$B$9:$AK$9,0),1,12))</f>
        <v>-3123.0318299999999</v>
      </c>
      <c r="I43" s="10"/>
      <c r="J43" s="10"/>
      <c r="K43" s="10"/>
      <c r="L43" s="37"/>
      <c r="M43" s="103" t="str">
        <f>Preparação!Q5</f>
        <v>Budget</v>
      </c>
      <c r="N43" s="158">
        <f ca="1">Preparação!R5</f>
        <v>5249.0523568753442</v>
      </c>
      <c r="O43" s="158">
        <f ca="1">Preparação!S5</f>
        <v>5841.1310368753439</v>
      </c>
      <c r="P43" s="158">
        <f ca="1">Preparação!T5</f>
        <v>5782.9994217935418</v>
      </c>
      <c r="Q43" s="271">
        <f ca="1">Preparação!U5</f>
        <v>5203.5117368753436</v>
      </c>
      <c r="R43" s="271"/>
      <c r="S43" s="86"/>
      <c r="T43" s="285">
        <f ca="1">Preparação!V5</f>
        <v>22076.694552419576</v>
      </c>
      <c r="U43" s="285"/>
      <c r="V43" s="286"/>
      <c r="W43" s="86"/>
      <c r="X43" s="86"/>
      <c r="Y43" s="95"/>
      <c r="Z43" s="87"/>
    </row>
    <row r="44" spans="1:26" ht="15" customHeight="1" x14ac:dyDescent="0.25">
      <c r="A44" s="84"/>
      <c r="B44" s="314" t="s">
        <v>5</v>
      </c>
      <c r="C44" s="315"/>
      <c r="D44" s="239">
        <f ca="1">SUM(OFFSET(EBIT!$A$1,MATCH($B$2,EBIT!$A:$A,0)-1, MATCH("CY"&amp;RIGHT(D$34,2),EBIT!$B$9:$AK$9,0),1,12))</f>
        <v>5585.5866850000002</v>
      </c>
      <c r="E44" s="70">
        <f ca="1">SUM(OFFSET(EBIT!$A$1,MATCH($B$2,EBIT!$A:$A,0)-1, MATCH("Budget",EBIT!$B$11:$BI$11,0),1,12))</f>
        <v>8844.859033460747</v>
      </c>
      <c r="F44" s="70">
        <f ca="1">SUM(OFFSET(EBIT!$A$1,MATCH($B$2,EBIT!$A:$A,0)-1, MATCH("Forecast",EBIT!$B$11:$AK$11,0),1,12))</f>
        <v>7347.4116373557608</v>
      </c>
      <c r="G44" s="10"/>
      <c r="H44" s="137">
        <f ca="1">SUM(OFFSET(EBIT!$A$1,MATCH($B$2,EBIT!$A:$A,0)-1, MATCH("CY"&amp;RIGHT(H$34,2),EBIT!$B$9:$AK$9,0),1,12))</f>
        <v>3108.0780979999995</v>
      </c>
      <c r="I44" s="10"/>
      <c r="J44" s="10"/>
      <c r="K44" s="10"/>
      <c r="L44" s="37"/>
      <c r="M44" s="104" t="str">
        <f>Preparação!Q6</f>
        <v>Last Year</v>
      </c>
      <c r="N44" s="157">
        <f ca="1">Preparação!R6</f>
        <v>3314.8738139999996</v>
      </c>
      <c r="O44" s="157">
        <f ca="1">Preparação!S6</f>
        <v>4255.9270580000002</v>
      </c>
      <c r="P44" s="157">
        <f ca="1">Preparação!T6</f>
        <v>4808.0935200000004</v>
      </c>
      <c r="Q44" s="282">
        <f ca="1">Preparação!U6</f>
        <v>5050.3341579999997</v>
      </c>
      <c r="R44" s="282"/>
      <c r="S44" s="96"/>
      <c r="T44" s="282">
        <f ca="1">Preparação!V6</f>
        <v>17429.22855</v>
      </c>
      <c r="U44" s="282"/>
      <c r="V44" s="287"/>
      <c r="W44" s="86"/>
      <c r="X44" s="86"/>
      <c r="Y44" s="95"/>
      <c r="Z44" s="87"/>
    </row>
    <row r="45" spans="1:26" ht="16.5" customHeight="1" x14ac:dyDescent="0.25">
      <c r="A45" s="84"/>
      <c r="B45" s="316" t="s">
        <v>49</v>
      </c>
      <c r="C45" s="317"/>
      <c r="D45" s="20">
        <f ca="1">IFERROR(D44/D$37,0)</f>
        <v>0.32047239893471935</v>
      </c>
      <c r="E45" s="26">
        <f ca="1">IFERROR(E44/E$37,0)</f>
        <v>0.40064236122211339</v>
      </c>
      <c r="F45" s="26">
        <f ca="1">IFERROR(F44/F$37,0)</f>
        <v>0.34145807108771997</v>
      </c>
      <c r="G45" s="21"/>
      <c r="H45" s="138">
        <f ca="1">IFERROR(H44/H$37,0)</f>
        <v>0.27686148763282259</v>
      </c>
      <c r="I45" s="10"/>
      <c r="J45" s="10"/>
      <c r="K45" s="10"/>
      <c r="L45" s="37"/>
      <c r="M45" s="128" t="s">
        <v>73</v>
      </c>
      <c r="N45" s="10"/>
      <c r="O45" s="10"/>
      <c r="P45" s="10"/>
      <c r="Q45" s="10"/>
      <c r="R45" s="10"/>
      <c r="S45" s="86"/>
      <c r="T45" s="86"/>
      <c r="U45" s="86"/>
      <c r="V45" s="86"/>
      <c r="W45" s="86"/>
      <c r="X45" s="86"/>
      <c r="Y45" s="95"/>
      <c r="Z45" s="87"/>
    </row>
    <row r="46" spans="1:26" x14ac:dyDescent="0.25">
      <c r="A46" s="84"/>
      <c r="B46" s="170" t="s">
        <v>73</v>
      </c>
      <c r="C46" s="10"/>
      <c r="D46" s="10"/>
      <c r="E46" s="10"/>
      <c r="F46" s="10"/>
      <c r="G46" s="10"/>
      <c r="H46" s="10"/>
      <c r="I46" s="10"/>
      <c r="J46" s="10"/>
      <c r="K46" s="10"/>
      <c r="L46" s="94"/>
      <c r="M46" s="21"/>
      <c r="N46" s="21"/>
      <c r="O46" s="21"/>
      <c r="P46" s="21"/>
      <c r="Q46" s="21"/>
      <c r="R46" s="21"/>
      <c r="S46" s="96"/>
      <c r="T46" s="96"/>
      <c r="U46" s="96"/>
      <c r="V46" s="96"/>
      <c r="W46" s="96"/>
      <c r="X46" s="96"/>
      <c r="Y46" s="97"/>
      <c r="Z46" s="87"/>
    </row>
    <row r="47" spans="1:26" ht="9" customHeight="1" x14ac:dyDescent="0.25">
      <c r="A47" s="12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91"/>
    </row>
    <row r="48" spans="1:26" ht="14.25" customHeight="1" x14ac:dyDescent="0.25">
      <c r="A48" s="85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89"/>
    </row>
  </sheetData>
  <mergeCells count="56">
    <mergeCell ref="B44:C44"/>
    <mergeCell ref="B45:C45"/>
    <mergeCell ref="B39:C39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2:Y2"/>
    <mergeCell ref="B4:J4"/>
    <mergeCell ref="L4:Y4"/>
    <mergeCell ref="V7:V8"/>
    <mergeCell ref="W7:W8"/>
    <mergeCell ref="X7:X8"/>
    <mergeCell ref="V9:V10"/>
    <mergeCell ref="W9:W10"/>
    <mergeCell ref="X9:X10"/>
    <mergeCell ref="V11:V12"/>
    <mergeCell ref="W11:W12"/>
    <mergeCell ref="X11:X12"/>
    <mergeCell ref="M37:M38"/>
    <mergeCell ref="Q37:R37"/>
    <mergeCell ref="T37:V37"/>
    <mergeCell ref="Q38:R38"/>
    <mergeCell ref="T38:V38"/>
    <mergeCell ref="V13:V14"/>
    <mergeCell ref="W13:W14"/>
    <mergeCell ref="X13:X14"/>
    <mergeCell ref="F18:J18"/>
    <mergeCell ref="L34:Y35"/>
    <mergeCell ref="Q27:R27"/>
    <mergeCell ref="Q28:R28"/>
    <mergeCell ref="Q29:R29"/>
    <mergeCell ref="Q30:R30"/>
    <mergeCell ref="L20:Y21"/>
    <mergeCell ref="M23:M24"/>
    <mergeCell ref="Q23:R23"/>
    <mergeCell ref="Q24:R24"/>
    <mergeCell ref="Q25:R25"/>
    <mergeCell ref="Q26:R26"/>
    <mergeCell ref="Q39:R39"/>
    <mergeCell ref="T39:V39"/>
    <mergeCell ref="Q40:R40"/>
    <mergeCell ref="T40:V40"/>
    <mergeCell ref="Q41:R41"/>
    <mergeCell ref="T41:V41"/>
    <mergeCell ref="Q42:R42"/>
    <mergeCell ref="T42:V42"/>
    <mergeCell ref="Q43:R43"/>
    <mergeCell ref="T43:V43"/>
    <mergeCell ref="Q44:R44"/>
    <mergeCell ref="T44:V44"/>
  </mergeCells>
  <conditionalFormatting sqref="H23 H30 H44 H37">
    <cfRule type="expression" dxfId="41" priority="21">
      <formula>$H$22="FOR"</formula>
    </cfRule>
  </conditionalFormatting>
  <conditionalFormatting sqref="J20:J22 J24:J29 J31">
    <cfRule type="expression" dxfId="40" priority="16">
      <formula>$J$22="FOR"</formula>
    </cfRule>
  </conditionalFormatting>
  <conditionalFormatting sqref="I23 I30">
    <cfRule type="expression" dxfId="39" priority="18">
      <formula>$I$22="FOR"</formula>
    </cfRule>
  </conditionalFormatting>
  <conditionalFormatting sqref="J23 J30">
    <cfRule type="expression" dxfId="38" priority="15">
      <formula>$J$22="FOR"</formula>
    </cfRule>
  </conditionalFormatting>
  <conditionalFormatting sqref="H20:H22 H24:H29 H31 H45 H38:H43 H34:H36">
    <cfRule type="expression" dxfId="37" priority="22">
      <formula>$H$22="FOR"</formula>
    </cfRule>
  </conditionalFormatting>
  <conditionalFormatting sqref="H23 H26 H29:H30 H40 H43:H44 H37">
    <cfRule type="expression" dxfId="36" priority="20">
      <formula>$H$22="FOR"</formula>
    </cfRule>
  </conditionalFormatting>
  <conditionalFormatting sqref="I20:I22 I24:I29 I31">
    <cfRule type="expression" dxfId="35" priority="19">
      <formula>$I$22="FOR"</formula>
    </cfRule>
  </conditionalFormatting>
  <conditionalFormatting sqref="I23 I26 I29:I30">
    <cfRule type="expression" dxfId="34" priority="17">
      <formula>$I$22="FOR"</formula>
    </cfRule>
  </conditionalFormatting>
  <conditionalFormatting sqref="J23 J26 J29:J30">
    <cfRule type="expression" dxfId="33" priority="14">
      <formula>$J$22="FOR"</formula>
    </cfRule>
  </conditionalFormatting>
  <conditionalFormatting sqref="N25">
    <cfRule type="expression" dxfId="32" priority="13">
      <formula>$N$24="For"</formula>
    </cfRule>
  </conditionalFormatting>
  <conditionalFormatting sqref="O25">
    <cfRule type="expression" dxfId="31" priority="12">
      <formula>$O$24="For"</formula>
    </cfRule>
  </conditionalFormatting>
  <conditionalFormatting sqref="P25">
    <cfRule type="expression" dxfId="30" priority="11">
      <formula>$P$24="For"</formula>
    </cfRule>
  </conditionalFormatting>
  <conditionalFormatting sqref="Q25">
    <cfRule type="expression" dxfId="29" priority="10">
      <formula>$Q$24="For"</formula>
    </cfRule>
  </conditionalFormatting>
  <conditionalFormatting sqref="O39">
    <cfRule type="expression" dxfId="28" priority="6">
      <formula>$O$38="For"</formula>
    </cfRule>
  </conditionalFormatting>
  <conditionalFormatting sqref="P39">
    <cfRule type="expression" dxfId="27" priority="5">
      <formula>$P$38="For"</formula>
    </cfRule>
  </conditionalFormatting>
  <conditionalFormatting sqref="Q39">
    <cfRule type="expression" dxfId="26" priority="4">
      <formula>$Q$38="For"</formula>
    </cfRule>
  </conditionalFormatting>
  <conditionalFormatting sqref="T39">
    <cfRule type="expression" dxfId="25" priority="3">
      <formula>$P$38="For"</formula>
    </cfRule>
  </conditionalFormatting>
  <conditionalFormatting sqref="F20:F22">
    <cfRule type="expression" dxfId="24" priority="1">
      <formula>$F$22="FOR"</formula>
    </cfRule>
  </conditionalFormatting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0" orientation="landscape" r:id="rId1"/>
  <headerFooter>
    <oddFooter>&amp;L&amp;8Monthly Dashboard&amp;R&amp;8&amp;D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H17"/>
  <sheetViews>
    <sheetView showGridLines="0" zoomScaleNormal="100" workbookViewId="0">
      <selection activeCell="A17" sqref="A17"/>
    </sheetView>
  </sheetViews>
  <sheetFormatPr defaultRowHeight="15" x14ac:dyDescent="0.25"/>
  <cols>
    <col min="1" max="1" width="31.42578125" bestFit="1" customWidth="1"/>
    <col min="2" max="2" width="10.140625" customWidth="1"/>
    <col min="3" max="4" width="10.28515625" customWidth="1"/>
    <col min="5" max="5" width="10.85546875" customWidth="1"/>
    <col min="6" max="8" width="10.42578125" customWidth="1"/>
    <col min="9" max="9" width="3.85546875" customWidth="1"/>
  </cols>
  <sheetData>
    <row r="2" spans="1:8" ht="18.600000000000001" x14ac:dyDescent="0.35">
      <c r="A2" s="324" t="str">
        <f>'Mtd Dashboard'!$B$2</f>
        <v>BAs for GSR</v>
      </c>
      <c r="B2" s="325"/>
      <c r="C2" s="325"/>
      <c r="D2" s="325"/>
      <c r="E2" s="325"/>
      <c r="F2" s="325"/>
      <c r="G2" s="325"/>
      <c r="H2" s="325"/>
    </row>
    <row r="4" spans="1:8" x14ac:dyDescent="0.25">
      <c r="A4" s="27"/>
      <c r="B4" s="12">
        <f>E4-1</f>
        <v>2015</v>
      </c>
      <c r="C4" s="12">
        <f>IF(E5=1,E4-1,E4)</f>
        <v>2016</v>
      </c>
      <c r="D4" s="51">
        <f>E4</f>
        <v>2016</v>
      </c>
      <c r="E4" s="23">
        <v>2016</v>
      </c>
      <c r="F4" s="326" t="s">
        <v>57</v>
      </c>
      <c r="G4" s="326"/>
      <c r="H4" s="327"/>
    </row>
    <row r="5" spans="1:8" x14ac:dyDescent="0.25">
      <c r="A5" s="28" t="s">
        <v>51</v>
      </c>
      <c r="B5" s="15">
        <f>E5</f>
        <v>3</v>
      </c>
      <c r="C5" s="15">
        <f>IF(E5=1,4,E5-1)</f>
        <v>2</v>
      </c>
      <c r="D5" s="52">
        <f>E5</f>
        <v>3</v>
      </c>
      <c r="E5" s="24">
        <f>Preparação!$K$23</f>
        <v>3</v>
      </c>
      <c r="F5" s="328"/>
      <c r="G5" s="328"/>
      <c r="H5" s="329"/>
    </row>
    <row r="6" spans="1:8" ht="14.45" x14ac:dyDescent="0.35">
      <c r="A6" s="29"/>
      <c r="B6" s="15" t="s">
        <v>48</v>
      </c>
      <c r="C6" s="15" t="s">
        <v>48</v>
      </c>
      <c r="D6" s="52" t="s">
        <v>61</v>
      </c>
      <c r="E6" s="24" t="s">
        <v>54</v>
      </c>
      <c r="F6" s="76" t="s">
        <v>62</v>
      </c>
      <c r="G6" s="76" t="s">
        <v>63</v>
      </c>
      <c r="H6" s="77" t="s">
        <v>64</v>
      </c>
    </row>
    <row r="7" spans="1:8" ht="14.45" x14ac:dyDescent="0.35">
      <c r="A7" s="34" t="s">
        <v>0</v>
      </c>
      <c r="B7" s="62" t="e">
        <f ca="1">SUM(OFFSET('Total Sales'!$A$1,MATCH($A$2,'Total Sales'!$A:$A,0)-1, MATCH("CY"&amp;RIGHT(B$4,2),'Total Sales'!$B$9:$AK$9,0)+3*(B$5-1),1,3))</f>
        <v>#N/A</v>
      </c>
      <c r="C7" s="62" t="e">
        <f ca="1">SUM(OFFSET('Total Sales'!$A$1,MATCH($A$2,'Total Sales'!$A:$A,0)-1, MATCH("CY"&amp;RIGHT(C$4,2),'Total Sales'!$B$9:$AK$9,0)+3*(C$5-1),1,3))</f>
        <v>#N/A</v>
      </c>
      <c r="D7" s="62">
        <f ca="1">SUM(OFFSET('Total Sales'!$A$1,MATCH($A$2,'Total Sales'!$A:$A,0)-1, MATCH(TEXT(DATE(D$4,Preparação!$A$18-1,1),"[$-409]mmmm")&amp; " Forecast",'Total Sales'!$B$8:$BI$8,0)+3*(D$5-1),1,3))</f>
        <v>6577.8605649098863</v>
      </c>
      <c r="E7" s="63">
        <f ca="1">SUM(OFFSET('Total Sales'!$A$1,MATCH($A$2,'Total Sales'!$A:$A,0)-1, MATCH("Forecast",'Total Sales'!$B$11:$AK$11,0)+3*(E$5-1),1,3))</f>
        <v>5788.1941924964121</v>
      </c>
      <c r="F7" s="62">
        <f ca="1">E7-D7</f>
        <v>-789.66637241347416</v>
      </c>
      <c r="G7" s="62" t="e">
        <f ca="1">E7-B7</f>
        <v>#N/A</v>
      </c>
      <c r="H7" s="71" t="e">
        <f ca="1">E7-C7</f>
        <v>#N/A</v>
      </c>
    </row>
    <row r="8" spans="1:8" ht="14.45" x14ac:dyDescent="0.35">
      <c r="A8" s="29" t="s">
        <v>3</v>
      </c>
      <c r="B8" s="64" t="e">
        <f ca="1">SUM(OFFSET('Gross Profit 1'!$A$1,MATCH($A$2,'Gross Profit 1'!$A:$A,0)-1, MATCH("CY"&amp;RIGHT(B$4,2),'Gross Profit 1'!$B$9:$AK$9,0)+3*(B$5-1),1,3))</f>
        <v>#N/A</v>
      </c>
      <c r="C8" s="64" t="e">
        <f ca="1">SUM(OFFSET('Gross Profit 1'!$A$1,MATCH($A$2,'Gross Profit 1'!$A:$A,0)-1, MATCH("CY"&amp;RIGHT(C$4,2),'Gross Profit 1'!$B$9:$AK$9,0)+3*(C$5-1),1,3))</f>
        <v>#N/A</v>
      </c>
      <c r="D8" s="64">
        <f ca="1">SUM(OFFSET('Gross Profit 1'!$A$1,MATCH($A$2,'Gross Profit 1'!$A:$A,0)-1, MATCH(TEXT(DATE(D$4,Preparação!$A$18-1,1),"[$-409]mmmm")&amp; " Forecast",'Gross Profit 1'!$B$8:$BI$8,0)+3*(D$5-1),1,3))</f>
        <v>4112.235862140853</v>
      </c>
      <c r="E8" s="65">
        <f ca="1">SUM(OFFSET('Gross Profit 1'!$A$1,MATCH($A$2,'Gross Profit 1'!$A:$A,0)-1, MATCH("Forecast",'Gross Profit 1'!$B$11:$AK$11,0)+3*(E$5-1),1,3))</f>
        <v>3286.8977565234991</v>
      </c>
      <c r="F8" s="64">
        <f ca="1">E8-D8</f>
        <v>-825.3381056173539</v>
      </c>
      <c r="G8" s="64" t="e">
        <f ca="1">E8-B8</f>
        <v>#N/A</v>
      </c>
      <c r="H8" s="72" t="e">
        <f ca="1">E8-C8</f>
        <v>#N/A</v>
      </c>
    </row>
    <row r="9" spans="1:8" ht="14.45" x14ac:dyDescent="0.35">
      <c r="A9" s="30" t="s">
        <v>4</v>
      </c>
      <c r="B9" s="11">
        <f ca="1">IFERROR(B8/B$7,0)</f>
        <v>0</v>
      </c>
      <c r="C9" s="11">
        <f t="shared" ref="C9:H9" ca="1" si="0">IFERROR(C8/C$7,0)</f>
        <v>0</v>
      </c>
      <c r="D9" s="11">
        <f t="shared" ca="1" si="0"/>
        <v>0.62516312432615218</v>
      </c>
      <c r="E9" s="25">
        <f t="shared" ca="1" si="0"/>
        <v>0.56786238457315485</v>
      </c>
      <c r="F9" s="11">
        <f t="shared" ca="1" si="0"/>
        <v>1.0451731698981375</v>
      </c>
      <c r="G9" s="11">
        <f t="shared" ca="1" si="0"/>
        <v>0</v>
      </c>
      <c r="H9" s="19">
        <f t="shared" ca="1" si="0"/>
        <v>0</v>
      </c>
    </row>
    <row r="10" spans="1:8" ht="14.45" x14ac:dyDescent="0.35">
      <c r="A10" s="29" t="s">
        <v>14</v>
      </c>
      <c r="B10" s="64" t="e">
        <f ca="1">SUM(OFFSET('Var+OCOS'!$A$1,MATCH($A$2,'Var+OCOS'!$A:$A,0)-1, MATCH("CY"&amp;RIGHT(B$4,2),'Var+OCOS'!$B$9:$AK$9,0)+3*(B$5-1),1,3))</f>
        <v>#N/A</v>
      </c>
      <c r="C10" s="64" t="e">
        <f ca="1">SUM(OFFSET('Var+OCOS'!$A$1,MATCH($A$2,'Var+OCOS'!$A:$A,0)-1, MATCH("CY"&amp;RIGHT(C$4,2),'Var+OCOS'!$B$9:$AK$9,0)+3*(C$5-1),1,3))</f>
        <v>#N/A</v>
      </c>
      <c r="D10" s="64">
        <f ca="1">SUM(OFFSET('Var+OCOS'!$A$1,MATCH($A$2,'Var+OCOS'!$A:$A,0)-1, MATCH(TEXT(DATE(D$4,Preparação!$A$18-1,1),"[$-409]mmmm")&amp; " Forecast",'Var+OCOS'!$B$8:$BI$8,0)+3*(D$5-1),1,3))</f>
        <v>-52.38844423082957</v>
      </c>
      <c r="E10" s="66">
        <f ca="1">SUM(OFFSET('Var+OCOS'!$A$1,MATCH($A$2,'Var+OCOS'!$A:$A,0)-1, MATCH("Forecast",'Var+OCOS'!$B$11:$AK$11,0)+3*(E$5-1),1,3))</f>
        <v>-93.760425518015865</v>
      </c>
      <c r="F10" s="64">
        <f ca="1">E10-D10</f>
        <v>-41.371981287186294</v>
      </c>
      <c r="G10" s="64" t="e">
        <f ca="1">E10-B10</f>
        <v>#N/A</v>
      </c>
      <c r="H10" s="72" t="e">
        <f ca="1">E10-C10</f>
        <v>#N/A</v>
      </c>
    </row>
    <row r="11" spans="1:8" ht="14.45" x14ac:dyDescent="0.35">
      <c r="A11" s="31" t="s">
        <v>1</v>
      </c>
      <c r="B11" s="67" t="e">
        <f ca="1">SUM(OFFSET('Gross Profit 2'!$A$1,MATCH($A$2,'Gross Profit 2'!$A:$A,0)-1, MATCH("CY"&amp;RIGHT(B$4,2),'Gross Profit 2'!$B$9:$AK$9,0)+3*(B$5-1),1,3))</f>
        <v>#N/A</v>
      </c>
      <c r="C11" s="67" t="e">
        <f ca="1">SUM(OFFSET('Gross Profit 2'!$A$1,MATCH($A$2,'Gross Profit 2'!$A:$A,0)-1, MATCH("CY"&amp;RIGHT(C$4,2),'Gross Profit 2'!$B$9:$AK$9,0)+3*(C$5-1),1,3))</f>
        <v>#N/A</v>
      </c>
      <c r="D11" s="67">
        <f ca="1">SUM(OFFSET('Gross Profit 2'!$A$1,MATCH($A$2,'Gross Profit 2'!$A:$A,0)-1, MATCH(TEXT(DATE(D$4,Preparação!$A$18-1,1),"[$-409]mmmm")&amp; " Forecast",'Gross Profit 2'!$B$8:$BI$8,0)+3*(D$5-1),1,3))</f>
        <v>4059.8474179100244</v>
      </c>
      <c r="E11" s="65">
        <f ca="1">SUM(OFFSET('Gross Profit 2'!$A$1,MATCH($A$2,'Gross Profit 2'!$A:$A,0)-1, MATCH("Forecast",'Gross Profit 2'!$B$11:$AK$11,0)+3*(E$5-1),1,3))</f>
        <v>3193.1373310054832</v>
      </c>
      <c r="F11" s="67">
        <f ca="1">E11-D11</f>
        <v>-866.71008690454119</v>
      </c>
      <c r="G11" s="67" t="e">
        <f ca="1">E11-B11</f>
        <v>#N/A</v>
      </c>
      <c r="H11" s="73" t="e">
        <f ca="1">E11-C11</f>
        <v>#N/A</v>
      </c>
    </row>
    <row r="12" spans="1:8" ht="14.45" x14ac:dyDescent="0.35">
      <c r="A12" s="32" t="s">
        <v>50</v>
      </c>
      <c r="B12" s="11">
        <f t="shared" ref="B12:H12" ca="1" si="1">IFERROR(B11/B$7,0)</f>
        <v>0</v>
      </c>
      <c r="C12" s="11">
        <f t="shared" ca="1" si="1"/>
        <v>0</v>
      </c>
      <c r="D12" s="11">
        <f t="shared" ca="1" si="1"/>
        <v>0.61719876513764971</v>
      </c>
      <c r="E12" s="25">
        <f t="shared" ca="1" si="1"/>
        <v>0.55166382205091546</v>
      </c>
      <c r="F12" s="11">
        <f t="shared" ca="1" si="1"/>
        <v>1.0975648921906054</v>
      </c>
      <c r="G12" s="11">
        <f t="shared" ca="1" si="1"/>
        <v>0</v>
      </c>
      <c r="H12" s="19">
        <f t="shared" ca="1" si="1"/>
        <v>0</v>
      </c>
    </row>
    <row r="13" spans="1:8" ht="14.45" x14ac:dyDescent="0.35">
      <c r="A13" s="29" t="s">
        <v>2</v>
      </c>
      <c r="B13" s="64" t="e">
        <f ca="1">SUM(OFFSET('Total OPEX'!$A$1,MATCH($A$2,'Total OPEX'!$A:$A,0)-1, MATCH("CY"&amp;RIGHT(B$4,2),'Total OPEX'!$B$9:$AK$9,0)+3*(B$5-1),1,3))</f>
        <v>#N/A</v>
      </c>
      <c r="C13" s="64" t="e">
        <f ca="1">SUM(OFFSET('Total OPEX'!$A$1,MATCH($A$2,'Total OPEX'!$A:$A,0)-1, MATCH("CY"&amp;RIGHT(C$4,2),'Total OPEX'!$B$9:$AK$9,0)+3*(C$5-1),1,3))</f>
        <v>#N/A</v>
      </c>
      <c r="D13" s="64">
        <f ca="1">SUM(OFFSET('Total OPEX'!$A$1,MATCH($A$2,'Total OPEX'!$A:$A,0)-1, MATCH(TEXT(DATE(D$4,Preparação!$A$18-1,1),"[$-409]mmmm")&amp; " Forecast",'Total OPEX'!$B$8:$BI$8,0)+3*(D$5-1),1,3))</f>
        <v>-1331.6177976654112</v>
      </c>
      <c r="E13" s="68">
        <f ca="1">SUM(OFFSET('Total OPEX'!$A$1,MATCH($A$2,'Total OPEX'!$A:$A,0)-1, MATCH("Forecast",'Total OPEX'!$B$11:$AK$11,0)+3*(E$5-1),1,3))</f>
        <v>-1288.0401078219252</v>
      </c>
      <c r="F13" s="64">
        <f ca="1">E13-D13</f>
        <v>43.577689843486041</v>
      </c>
      <c r="G13" s="64" t="e">
        <f ca="1">E13-B13</f>
        <v>#N/A</v>
      </c>
      <c r="H13" s="72" t="e">
        <f ca="1">E13-C13</f>
        <v>#N/A</v>
      </c>
    </row>
    <row r="14" spans="1:8" ht="14.45" x14ac:dyDescent="0.35">
      <c r="A14" s="35" t="s">
        <v>5</v>
      </c>
      <c r="B14" s="69" t="e">
        <f ca="1">SUM(OFFSET(EBIT!#REF!,MATCH($A$2,EBIT!$A:$A,0)-1, MATCH("CY"&amp;RIGHT(B$4,2),EBIT!$B$9:$AK$9,0)+3*(B$5-1),1,3))</f>
        <v>#REF!</v>
      </c>
      <c r="C14" s="69" t="e">
        <f ca="1">SUM(OFFSET(EBIT!#REF!,MATCH($A$2,EBIT!$A:$A,0)-1, MATCH("CY"&amp;RIGHT(C$4,2),EBIT!$B$9:$AK$9,0)+3*(C$5-1),1,3))</f>
        <v>#REF!</v>
      </c>
      <c r="D14" s="69" t="e">
        <f ca="1">SUM(OFFSET(EBIT!#REF!,MATCH($A$2,EBIT!$A:$A,0)-1, MATCH(TEXT(DATE(D$4,Preparação!$A$18-1,1),"[$-409]mmmm")&amp; " Forecast",EBIT!$B$8:$BI$8,0)+3*(D$5-1),1,3))</f>
        <v>#REF!</v>
      </c>
      <c r="E14" s="70" t="e">
        <f ca="1">SUM(OFFSET(EBIT!#REF!,MATCH($A$2,EBIT!$A:$A,0)-1, MATCH("Forecast",EBIT!$B$11:$AK$11,0)+3*(E$5-1),1,3))</f>
        <v>#REF!</v>
      </c>
      <c r="F14" s="69" t="e">
        <f ca="1">E14-D14</f>
        <v>#REF!</v>
      </c>
      <c r="G14" s="69" t="e">
        <f ca="1">E14-B14</f>
        <v>#REF!</v>
      </c>
      <c r="H14" s="74" t="e">
        <f ca="1">E14-C14</f>
        <v>#REF!</v>
      </c>
    </row>
    <row r="15" spans="1:8" ht="14.45" x14ac:dyDescent="0.35">
      <c r="A15" s="33" t="s">
        <v>49</v>
      </c>
      <c r="B15" s="20">
        <f t="shared" ref="B15:H15" ca="1" si="2">IFERROR(B14/B$7,0)</f>
        <v>0</v>
      </c>
      <c r="C15" s="20">
        <f t="shared" ca="1" si="2"/>
        <v>0</v>
      </c>
      <c r="D15" s="20">
        <f t="shared" ca="1" si="2"/>
        <v>0</v>
      </c>
      <c r="E15" s="26">
        <f t="shared" ca="1" si="2"/>
        <v>0</v>
      </c>
      <c r="F15" s="20">
        <f t="shared" ca="1" si="2"/>
        <v>0</v>
      </c>
      <c r="G15" s="20">
        <f t="shared" ca="1" si="2"/>
        <v>0</v>
      </c>
      <c r="H15" s="22">
        <f t="shared" ca="1" si="2"/>
        <v>0</v>
      </c>
    </row>
    <row r="17" spans="1:1" ht="14.45" x14ac:dyDescent="0.35">
      <c r="A17" s="75" t="str">
        <f>"*Last Forecast as of " &amp;TEXT(DATE(D$4,Preparação!$A$2-1,1),"[$-409]mmmm/aaaa")</f>
        <v>*Last Forecast as of June/Wednesday</v>
      </c>
    </row>
  </sheetData>
  <sheetProtection sheet="1" objects="1" scenarios="1"/>
  <mergeCells count="2">
    <mergeCell ref="A2:H2"/>
    <mergeCell ref="F4:H5"/>
  </mergeCells>
  <pageMargins left="0.23622047244094491" right="0.23622047244094491" top="0.74803149606299213" bottom="0.74803149606299213" header="0.31496062992125984" footer="0.31496062992125984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4:K74"/>
  <sheetViews>
    <sheetView showGridLines="0" workbookViewId="0">
      <selection activeCell="E5" sqref="E5"/>
    </sheetView>
  </sheetViews>
  <sheetFormatPr defaultRowHeight="15" x14ac:dyDescent="0.25"/>
  <cols>
    <col min="1" max="1" width="36.28515625" bestFit="1" customWidth="1"/>
    <col min="2" max="2" width="10.140625" customWidth="1"/>
    <col min="3" max="3" width="10.28515625" customWidth="1"/>
    <col min="4" max="4" width="10.7109375" customWidth="1"/>
    <col min="5" max="5" width="10.85546875" customWidth="1"/>
    <col min="6" max="6" width="10.5703125" customWidth="1"/>
    <col min="7" max="8" width="10.42578125" customWidth="1"/>
    <col min="12" max="12" width="2.140625" customWidth="1"/>
    <col min="16" max="16" width="2.140625" customWidth="1"/>
  </cols>
  <sheetData>
    <row r="4" spans="1:11" x14ac:dyDescent="0.25">
      <c r="A4" s="27"/>
      <c r="B4" s="12">
        <f>E4-1</f>
        <v>2016</v>
      </c>
      <c r="C4" s="53">
        <f>IF(E5=1,E4-1,E4)</f>
        <v>2017</v>
      </c>
      <c r="D4" s="51">
        <f>E4</f>
        <v>2017</v>
      </c>
      <c r="E4" s="47">
        <v>2017</v>
      </c>
      <c r="F4" s="114">
        <f>E4</f>
        <v>2017</v>
      </c>
      <c r="G4" s="330" t="s">
        <v>57</v>
      </c>
      <c r="H4" s="331"/>
      <c r="I4" s="331"/>
      <c r="J4" s="331"/>
      <c r="K4" s="332"/>
    </row>
    <row r="5" spans="1:11" x14ac:dyDescent="0.25">
      <c r="A5" s="28" t="s">
        <v>51</v>
      </c>
      <c r="B5" s="15">
        <f>E5</f>
        <v>3</v>
      </c>
      <c r="C5" s="54">
        <f>IF(E5=1,4,E5-1)</f>
        <v>2</v>
      </c>
      <c r="D5" s="52">
        <f>E5</f>
        <v>3</v>
      </c>
      <c r="E5" s="48">
        <f>ROUNDUP(Preparação!$A$2/3,0)</f>
        <v>3</v>
      </c>
      <c r="F5" s="115">
        <f>E5</f>
        <v>3</v>
      </c>
      <c r="G5" s="333"/>
      <c r="H5" s="334"/>
      <c r="I5" s="334"/>
      <c r="J5" s="334"/>
      <c r="K5" s="335"/>
    </row>
    <row r="6" spans="1:11" ht="14.45" x14ac:dyDescent="0.35">
      <c r="A6" s="58"/>
      <c r="B6" s="55" t="s">
        <v>48</v>
      </c>
      <c r="C6" s="56" t="s">
        <v>48</v>
      </c>
      <c r="D6" s="57" t="s">
        <v>61</v>
      </c>
      <c r="E6" s="48" t="str">
        <f>IF(MOD(Preparação!$A$2,3)=0,"Act","FOR")</f>
        <v>FOR</v>
      </c>
      <c r="F6" s="116" t="s">
        <v>78</v>
      </c>
      <c r="G6" s="59" t="s">
        <v>55</v>
      </c>
      <c r="H6" s="60" t="s">
        <v>79</v>
      </c>
      <c r="I6" s="60" t="s">
        <v>56</v>
      </c>
      <c r="J6" s="60" t="s">
        <v>56</v>
      </c>
      <c r="K6" s="61" t="s">
        <v>58</v>
      </c>
    </row>
    <row r="7" spans="1:11" ht="14.45" x14ac:dyDescent="0.35">
      <c r="A7" s="37" t="s">
        <v>38</v>
      </c>
      <c r="B7" s="45" t="e">
        <f ca="1">SUM(OFFSET('Total Sales'!$A$1,MATCH($A7,'Total Sales'!$A:$A,0)-1, MATCH("CY"&amp;RIGHT(B$4,2),'Total Sales'!$B$9:$BI$9,0)+3*(B$5-1),1,3))</f>
        <v>#N/A</v>
      </c>
      <c r="C7" s="45" t="e">
        <f ca="1">SUM(OFFSET('Total Sales'!$A$1,MATCH($A7,'Total Sales'!$A:$A,0)-1, MATCH("CY"&amp;RIGHT(C$4,2),'Total Sales'!$B$9:$BI$9,0)+3*(C$5-1),1,3))</f>
        <v>#N/A</v>
      </c>
      <c r="D7" s="45" t="e">
        <f ca="1">SUM(OFFSET('Total Sales'!$A$1,MATCH($A7,'Total Sales'!$A:$A,0)-1, MATCH(TEXT(DATE(D$4,Preparação!$A$2,1),"[$-409]mmmm")&amp; " Forecast",'Total Sales'!$B$8:$BI$8,0)+3*(D$5-1),1,3))</f>
        <v>#N/A</v>
      </c>
      <c r="E7" s="49" t="e">
        <f ca="1">SUM(OFFSET('Total Sales'!$A$1,MATCH($A7,'Total Sales'!$A:$A,0)-1, MATCH(IF(MOD(Preparação!$A$2,3)=0,"Actual","Forecast"),'Total Sales'!$B$11:$BI$11,0)+3*(E$5-1),1,3))</f>
        <v>#N/A</v>
      </c>
      <c r="F7" s="45" t="e">
        <f ca="1">SUM(OFFSET('Total Sales'!$A$1,MATCH($A7,'Total Sales'!$A:$A,0)-1, MATCH("Budget",'Total Sales'!$B$11:$BI$11,0)+3*(F$5-1),1,3))</f>
        <v>#N/A</v>
      </c>
      <c r="G7" s="38" t="e">
        <f ca="1">E7-D7</f>
        <v>#N/A</v>
      </c>
      <c r="H7" s="38" t="e">
        <f ca="1">E7-F7</f>
        <v>#N/A</v>
      </c>
      <c r="I7" s="38" t="e">
        <f ca="1">E7-B7</f>
        <v>#N/A</v>
      </c>
      <c r="J7" s="39" t="str">
        <f ca="1">IFERROR(E7/B7-1,"n.a.")</f>
        <v>n.a.</v>
      </c>
      <c r="K7" s="40" t="str">
        <f ca="1">IFERROR(E7/C7-1,"n.a.")</f>
        <v>n.a.</v>
      </c>
    </row>
    <row r="8" spans="1:11" ht="14.45" x14ac:dyDescent="0.35">
      <c r="A8" s="37" t="s">
        <v>39</v>
      </c>
      <c r="B8" s="45" t="e">
        <f ca="1">SUM(OFFSET('Total Sales'!$A$1,MATCH($A8,'Total Sales'!$A:$A,0)-1, MATCH("CY"&amp;RIGHT(B$4,2),'Total Sales'!$B$9:$BI$9,0)+3*(B$5-1),1,3))</f>
        <v>#N/A</v>
      </c>
      <c r="C8" s="45" t="e">
        <f ca="1">SUM(OFFSET('Total Sales'!$A$1,MATCH($A8,'Total Sales'!$A:$A,0)-1, MATCH("CY"&amp;RIGHT(C$4,2),'Total Sales'!$B$9:$BI$9,0)+3*(C$5-1),1,3))</f>
        <v>#N/A</v>
      </c>
      <c r="D8" s="45" t="e">
        <f ca="1">SUM(OFFSET('Total Sales'!$A$1,MATCH($A8,'Total Sales'!$A:$A,0)-1, MATCH(TEXT(DATE(D$4,Preparação!$A$2,1),"[$-409]mmmm")&amp; " Forecast",'Total Sales'!$B$8:$BI$8,0)+3*(D$5-1),1,3))</f>
        <v>#N/A</v>
      </c>
      <c r="E8" s="50" t="e">
        <f ca="1">SUM(OFFSET('Total Sales'!$A$1,MATCH($A8,'Total Sales'!$A:$A,0)-1, MATCH(IF(MOD(Preparação!$A$2,3)=0,"Actual","Forecast"),'Total Sales'!$B$11:$BI$11,0)+3*(E$5-1),1,3))</f>
        <v>#N/A</v>
      </c>
      <c r="F8" s="45" t="e">
        <f ca="1">SUM(OFFSET('Total Sales'!$A$1,MATCH($A8,'Total Sales'!$A:$A,0)-1, MATCH("Budget",'Total Sales'!$B$11:$BI$11,0)+3*(F$5-1),1,3))</f>
        <v>#N/A</v>
      </c>
      <c r="G8" s="38" t="e">
        <f t="shared" ref="G8:G17" ca="1" si="0">E8-D8</f>
        <v>#N/A</v>
      </c>
      <c r="H8" s="38" t="e">
        <f t="shared" ref="H8:H16" ca="1" si="1">E8-F8</f>
        <v>#N/A</v>
      </c>
      <c r="I8" s="38" t="e">
        <f t="shared" ref="I8:I17" ca="1" si="2">E8-B8</f>
        <v>#N/A</v>
      </c>
      <c r="J8" s="39" t="str">
        <f t="shared" ref="J8:J17" ca="1" si="3">IFERROR(E8/B8-1,"n.a.")</f>
        <v>n.a.</v>
      </c>
      <c r="K8" s="40" t="str">
        <f t="shared" ref="K8:K17" ca="1" si="4">IFERROR(E8/C8-1,"n.a.")</f>
        <v>n.a.</v>
      </c>
    </row>
    <row r="9" spans="1:11" ht="14.45" x14ac:dyDescent="0.35">
      <c r="A9" s="37" t="s">
        <v>40</v>
      </c>
      <c r="B9" s="45" t="e">
        <f ca="1">SUM(OFFSET('Total Sales'!$A$1,MATCH($A9,'Total Sales'!$A:$A,0)-1, MATCH("CY"&amp;RIGHT(B$4,2),'Total Sales'!$B$9:$BI$9,0)+3*(B$5-1),1,3))</f>
        <v>#N/A</v>
      </c>
      <c r="C9" s="45" t="e">
        <f ca="1">SUM(OFFSET('Total Sales'!$A$1,MATCH($A9,'Total Sales'!$A:$A,0)-1, MATCH("CY"&amp;RIGHT(C$4,2),'Total Sales'!$B$9:$BI$9,0)+3*(C$5-1),1,3))</f>
        <v>#N/A</v>
      </c>
      <c r="D9" s="45">
        <f ca="1">SUM(OFFSET('Total Sales'!$A$1,MATCH($A9,'Total Sales'!$A:$A,0)-1, MATCH(TEXT(DATE(D$4,Preparação!$A$2,1),"[$-409]mmmm")&amp; " Forecast",'Total Sales'!$B$8:$BI$8,0)+3*(D$5-1),1,3))</f>
        <v>122.76096999999999</v>
      </c>
      <c r="E9" s="50">
        <f ca="1">SUM(OFFSET('Total Sales'!$A$1,MATCH($A9,'Total Sales'!$A:$A,0)-1, MATCH(IF(MOD(Preparação!$A$2,3)=0,"Actual","Forecast"),'Total Sales'!$B$11:$BI$11,0)+3*(E$5-1),1,3))</f>
        <v>93.272817999999987</v>
      </c>
      <c r="F9" s="45">
        <f ca="1">SUM(OFFSET('Total Sales'!$A$1,MATCH($A9,'Total Sales'!$A:$A,0)-1, MATCH("Budget",'Total Sales'!$B$11:$BI$11,0)+3*(F$5-1),1,3))</f>
        <v>119.44216</v>
      </c>
      <c r="G9" s="38">
        <f t="shared" ca="1" si="0"/>
        <v>-29.488151999999999</v>
      </c>
      <c r="H9" s="38">
        <f t="shared" ca="1" si="1"/>
        <v>-26.169342000000015</v>
      </c>
      <c r="I9" s="38" t="e">
        <f t="shared" ca="1" si="2"/>
        <v>#N/A</v>
      </c>
      <c r="J9" s="39" t="str">
        <f t="shared" ca="1" si="3"/>
        <v>n.a.</v>
      </c>
      <c r="K9" s="40" t="str">
        <f t="shared" ca="1" si="4"/>
        <v>n.a.</v>
      </c>
    </row>
    <row r="10" spans="1:11" ht="14.45" x14ac:dyDescent="0.35">
      <c r="A10" s="37" t="s">
        <v>41</v>
      </c>
      <c r="B10" s="45" t="e">
        <f ca="1">SUM(OFFSET('Total Sales'!$A$1,MATCH($A10,'Total Sales'!$A:$A,0)-1, MATCH("CY"&amp;RIGHT(B$4,2),'Total Sales'!$B$9:$BI$9,0)+3*(B$5-1),1,3))</f>
        <v>#N/A</v>
      </c>
      <c r="C10" s="45" t="e">
        <f ca="1">SUM(OFFSET('Total Sales'!$A$1,MATCH($A10,'Total Sales'!$A:$A,0)-1, MATCH("CY"&amp;RIGHT(C$4,2),'Total Sales'!$B$9:$BI$9,0)+3*(C$5-1),1,3))</f>
        <v>#N/A</v>
      </c>
      <c r="D10" s="45">
        <f ca="1">SUM(OFFSET('Total Sales'!$A$1,MATCH($A10,'Total Sales'!$A:$A,0)-1, MATCH(TEXT(DATE(D$4,Preparação!$A$2,1),"[$-409]mmmm")&amp; " Forecast",'Total Sales'!$B$8:$BI$8,0)+3*(D$5-1),1,3))</f>
        <v>19.665369999999999</v>
      </c>
      <c r="E10" s="50">
        <f ca="1">SUM(OFFSET('Total Sales'!$A$1,MATCH($A10,'Total Sales'!$A:$A,0)-1, MATCH(IF(MOD(Preparação!$A$2,3)=0,"Actual","Forecast"),'Total Sales'!$B$11:$BI$11,0)+3*(E$5-1),1,3))</f>
        <v>19.790047000000001</v>
      </c>
      <c r="F10" s="45">
        <f ca="1">SUM(OFFSET('Total Sales'!$A$1,MATCH($A10,'Total Sales'!$A:$A,0)-1, MATCH("Budget",'Total Sales'!$B$11:$BI$11,0)+3*(F$5-1),1,3))</f>
        <v>18.499739999999999</v>
      </c>
      <c r="G10" s="38">
        <f t="shared" ca="1" si="0"/>
        <v>0.12467700000000193</v>
      </c>
      <c r="H10" s="38">
        <f t="shared" ca="1" si="1"/>
        <v>1.2903070000000021</v>
      </c>
      <c r="I10" s="38" t="e">
        <f t="shared" ca="1" si="2"/>
        <v>#N/A</v>
      </c>
      <c r="J10" s="39" t="str">
        <f t="shared" ca="1" si="3"/>
        <v>n.a.</v>
      </c>
      <c r="K10" s="40" t="str">
        <f t="shared" ca="1" si="4"/>
        <v>n.a.</v>
      </c>
    </row>
    <row r="11" spans="1:11" ht="14.45" x14ac:dyDescent="0.35">
      <c r="A11" s="37" t="s">
        <v>43</v>
      </c>
      <c r="B11" s="45" t="e">
        <f ca="1">SUM(OFFSET('Total Sales'!$A$1,MATCH($A11,'Total Sales'!$A:$A,0)-1, MATCH("CY"&amp;RIGHT(B$4,2),'Total Sales'!$B$9:$BI$9,0)+3*(B$5-1),1,3))</f>
        <v>#N/A</v>
      </c>
      <c r="C11" s="45" t="e">
        <f ca="1">SUM(OFFSET('Total Sales'!$A$1,MATCH($A11,'Total Sales'!$A:$A,0)-1, MATCH("CY"&amp;RIGHT(C$4,2),'Total Sales'!$B$9:$BI$9,0)+3*(C$5-1),1,3))</f>
        <v>#N/A</v>
      </c>
      <c r="D11" s="45">
        <f ca="1">SUM(OFFSET('Total Sales'!$A$1,MATCH($A11,'Total Sales'!$A:$A,0)-1, MATCH(TEXT(DATE(D$4,Preparação!$A$2,1),"[$-409]mmmm")&amp; " Forecast",'Total Sales'!$B$8:$BI$8,0)+3*(D$5-1),1,3))</f>
        <v>608.38652000000002</v>
      </c>
      <c r="E11" s="50">
        <f ca="1">SUM(OFFSET('Total Sales'!$A$1,MATCH($A11,'Total Sales'!$A:$A,0)-1, MATCH(IF(MOD(Preparação!$A$2,3)=0,"Actual","Forecast"),'Total Sales'!$B$11:$BI$11,0)+3*(E$5-1),1,3))</f>
        <v>479.62684400000001</v>
      </c>
      <c r="F11" s="45">
        <f ca="1">SUM(OFFSET('Total Sales'!$A$1,MATCH($A11,'Total Sales'!$A:$A,0)-1, MATCH("Budget",'Total Sales'!$B$11:$BI$11,0)+3*(F$5-1),1,3))</f>
        <v>588.57992999999999</v>
      </c>
      <c r="G11" s="38">
        <f t="shared" ca="1" si="0"/>
        <v>-128.75967600000001</v>
      </c>
      <c r="H11" s="38">
        <f t="shared" ca="1" si="1"/>
        <v>-108.95308599999998</v>
      </c>
      <c r="I11" s="38" t="e">
        <f t="shared" ca="1" si="2"/>
        <v>#N/A</v>
      </c>
      <c r="J11" s="39" t="str">
        <f t="shared" ca="1" si="3"/>
        <v>n.a.</v>
      </c>
      <c r="K11" s="40" t="str">
        <f t="shared" ca="1" si="4"/>
        <v>n.a.</v>
      </c>
    </row>
    <row r="12" spans="1:11" ht="14.45" x14ac:dyDescent="0.35">
      <c r="A12" s="37" t="s">
        <v>46</v>
      </c>
      <c r="B12" s="45" t="e">
        <f ca="1">SUM(OFFSET('Total Sales'!$A$1,MATCH($A12,'Total Sales'!$A:$A,0)-1, MATCH("CY"&amp;RIGHT(B$4,2),'Total Sales'!$B$9:$BI$9,0)+3*(B$5-1),1,3))</f>
        <v>#N/A</v>
      </c>
      <c r="C12" s="45" t="e">
        <f ca="1">SUM(OFFSET('Total Sales'!$A$1,MATCH($A12,'Total Sales'!$A:$A,0)-1, MATCH("CY"&amp;RIGHT(C$4,2),'Total Sales'!$B$9:$BI$9,0)+3*(C$5-1),1,3))</f>
        <v>#N/A</v>
      </c>
      <c r="D12" s="45" t="e">
        <f ca="1">SUM(OFFSET('Total Sales'!$A$1,MATCH($A12,'Total Sales'!$A:$A,0)-1, MATCH(TEXT(DATE(D$4,Preparação!$A$2,1),"[$-409]mmmm")&amp; " Forecast",'Total Sales'!$B$8:$BI$8,0)+3*(D$5-1),1,3))</f>
        <v>#N/A</v>
      </c>
      <c r="E12" s="50" t="e">
        <f ca="1">SUM(OFFSET('Total Sales'!$A$1,MATCH($A12,'Total Sales'!$A:$A,0)-1, MATCH(IF(MOD(Preparação!$A$2,3)=0,"Actual","Forecast"),'Total Sales'!$B$11:$BI$11,0)+3*(E$5-1),1,3))</f>
        <v>#N/A</v>
      </c>
      <c r="F12" s="45" t="e">
        <f ca="1">SUM(OFFSET('Total Sales'!$A$1,MATCH($A12,'Total Sales'!$A:$A,0)-1, MATCH("Budget",'Total Sales'!$B$11:$BI$11,0)+3*(F$5-1),1,3))</f>
        <v>#N/A</v>
      </c>
      <c r="G12" s="38" t="e">
        <f t="shared" ca="1" si="0"/>
        <v>#N/A</v>
      </c>
      <c r="H12" s="38" t="e">
        <f t="shared" ca="1" si="1"/>
        <v>#N/A</v>
      </c>
      <c r="I12" s="38" t="e">
        <f t="shared" ca="1" si="2"/>
        <v>#N/A</v>
      </c>
      <c r="J12" s="39" t="str">
        <f t="shared" ca="1" si="3"/>
        <v>n.a.</v>
      </c>
      <c r="K12" s="40" t="str">
        <f t="shared" ca="1" si="4"/>
        <v>n.a.</v>
      </c>
    </row>
    <row r="13" spans="1:11" ht="14.45" x14ac:dyDescent="0.35">
      <c r="A13" s="37" t="s">
        <v>45</v>
      </c>
      <c r="B13" s="45" t="e">
        <f ca="1">SUM(OFFSET('Total Sales'!$A$1,MATCH($A13,'Total Sales'!$A:$A,0)-1, MATCH("CY"&amp;RIGHT(B$4,2),'Total Sales'!$B$9:$BI$9,0)+3*(B$5-1),1,3))</f>
        <v>#N/A</v>
      </c>
      <c r="C13" s="45" t="e">
        <f ca="1">SUM(OFFSET('Total Sales'!$A$1,MATCH($A13,'Total Sales'!$A:$A,0)-1, MATCH("CY"&amp;RIGHT(C$4,2),'Total Sales'!$B$9:$BI$9,0)+3*(C$5-1),1,3))</f>
        <v>#N/A</v>
      </c>
      <c r="D13" s="45" t="e">
        <f ca="1">SUM(OFFSET('Total Sales'!$A$1,MATCH($A13,'Total Sales'!$A:$A,0)-1, MATCH(TEXT(DATE(D$4,Preparação!$A$2,1),"[$-409]mmmm")&amp; " Forecast",'Total Sales'!$B$8:$BI$8,0)+3*(D$5-1),1,3))</f>
        <v>#N/A</v>
      </c>
      <c r="E13" s="50" t="e">
        <f ca="1">SUM(OFFSET('Total Sales'!$A$1,MATCH($A13,'Total Sales'!$A:$A,0)-1, MATCH(IF(MOD(Preparação!$A$2,3)=0,"Actual","Forecast"),'Total Sales'!$B$11:$BI$11,0)+3*(E$5-1),1,3))</f>
        <v>#N/A</v>
      </c>
      <c r="F13" s="45" t="e">
        <f ca="1">SUM(OFFSET('Total Sales'!$A$1,MATCH($A13,'Total Sales'!$A:$A,0)-1, MATCH("Budget",'Total Sales'!$B$11:$BI$11,0)+3*(F$5-1),1,3))</f>
        <v>#N/A</v>
      </c>
      <c r="G13" s="38" t="e">
        <f t="shared" ca="1" si="0"/>
        <v>#N/A</v>
      </c>
      <c r="H13" s="38" t="e">
        <f t="shared" ca="1" si="1"/>
        <v>#N/A</v>
      </c>
      <c r="I13" s="38" t="e">
        <f t="shared" ca="1" si="2"/>
        <v>#N/A</v>
      </c>
      <c r="J13" s="39" t="str">
        <f t="shared" ca="1" si="3"/>
        <v>n.a.</v>
      </c>
      <c r="K13" s="40" t="str">
        <f t="shared" ca="1" si="4"/>
        <v>n.a.</v>
      </c>
    </row>
    <row r="14" spans="1:11" ht="14.45" x14ac:dyDescent="0.35">
      <c r="A14" s="37" t="s">
        <v>28</v>
      </c>
      <c r="B14" s="45" t="e">
        <f ca="1">SUM(OFFSET('Total Sales'!$A$1,MATCH($A14,'Total Sales'!$A:$A,0)-1, MATCH("CY"&amp;RIGHT(B$4,2),'Total Sales'!$B$9:$BI$9,0)+3*(B$5-1),1,3))</f>
        <v>#N/A</v>
      </c>
      <c r="C14" s="45" t="e">
        <f ca="1">SUM(OFFSET('Total Sales'!$A$1,MATCH($A14,'Total Sales'!$A:$A,0)-1, MATCH("CY"&amp;RIGHT(C$4,2),'Total Sales'!$B$9:$BI$9,0)+3*(C$5-1),1,3))</f>
        <v>#N/A</v>
      </c>
      <c r="D14" s="45" t="e">
        <f ca="1">SUM(OFFSET('Total Sales'!$A$1,MATCH($A14,'Total Sales'!$A:$A,0)-1, MATCH(TEXT(DATE(D$4,Preparação!$A$2,1),"[$-409]mmmm")&amp; " Forecast",'Total Sales'!$B$8:$BI$8,0)+3*(D$5-1),1,3))</f>
        <v>#N/A</v>
      </c>
      <c r="E14" s="50" t="e">
        <f ca="1">SUM(OFFSET('Total Sales'!$A$1,MATCH($A14,'Total Sales'!$A:$A,0)-1, MATCH(IF(MOD(Preparação!$A$2,3)=0,"Actual","Forecast"),'Total Sales'!$B$11:$BI$11,0)+3*(E$5-1),1,3))</f>
        <v>#N/A</v>
      </c>
      <c r="F14" s="45" t="e">
        <f ca="1">SUM(OFFSET('Total Sales'!$A$1,MATCH($A14,'Total Sales'!$A:$A,0)-1, MATCH("Budget",'Total Sales'!$B$11:$BI$11,0)+3*(F$5-1),1,3))</f>
        <v>#N/A</v>
      </c>
      <c r="G14" s="38" t="e">
        <f t="shared" ca="1" si="0"/>
        <v>#N/A</v>
      </c>
      <c r="H14" s="38" t="e">
        <f t="shared" ca="1" si="1"/>
        <v>#N/A</v>
      </c>
      <c r="I14" s="38" t="e">
        <f t="shared" ca="1" si="2"/>
        <v>#N/A</v>
      </c>
      <c r="J14" s="39" t="str">
        <f t="shared" ca="1" si="3"/>
        <v>n.a.</v>
      </c>
      <c r="K14" s="40" t="str">
        <f t="shared" ca="1" si="4"/>
        <v>n.a.</v>
      </c>
    </row>
    <row r="15" spans="1:11" ht="14.45" x14ac:dyDescent="0.35">
      <c r="A15" s="37" t="s">
        <v>30</v>
      </c>
      <c r="B15" s="45" t="e">
        <f ca="1">SUM(OFFSET('Total Sales'!$A$1,MATCH($A15,'Total Sales'!$A:$A,0)-1, MATCH("CY"&amp;RIGHT(B$4,2),'Total Sales'!$B$9:$BI$9,0)+3*(B$5-1),1,3))</f>
        <v>#N/A</v>
      </c>
      <c r="C15" s="45" t="e">
        <f ca="1">SUM(OFFSET('Total Sales'!$A$1,MATCH($A15,'Total Sales'!$A:$A,0)-1, MATCH("CY"&amp;RIGHT(C$4,2),'Total Sales'!$B$9:$BI$9,0)+3*(C$5-1),1,3))</f>
        <v>#N/A</v>
      </c>
      <c r="D15" s="45">
        <f ca="1">SUM(OFFSET('Total Sales'!$A$1,MATCH($A15,'Total Sales'!$A:$A,0)-1, MATCH(TEXT(DATE(D$4,Preparação!$A$2,1),"[$-409]mmmm")&amp; " Forecast",'Total Sales'!$B$8:$BI$8,0)+3*(D$5-1),1,3))</f>
        <v>0</v>
      </c>
      <c r="E15" s="50">
        <f ca="1">SUM(OFFSET('Total Sales'!$A$1,MATCH($A15,'Total Sales'!$A:$A,0)-1, MATCH(IF(MOD(Preparação!$A$2,3)=0,"Actual","Forecast"),'Total Sales'!$B$11:$BI$11,0)+3*(E$5-1),1,3))</f>
        <v>0</v>
      </c>
      <c r="F15" s="45">
        <f ca="1">SUM(OFFSET('Total Sales'!$A$1,MATCH($A15,'Total Sales'!$A:$A,0)-1, MATCH("Budget",'Total Sales'!$B$11:$BI$11,0)+3*(F$5-1),1,3))</f>
        <v>0</v>
      </c>
      <c r="G15" s="38">
        <f t="shared" ca="1" si="0"/>
        <v>0</v>
      </c>
      <c r="H15" s="38">
        <f t="shared" ca="1" si="1"/>
        <v>0</v>
      </c>
      <c r="I15" s="38" t="e">
        <f t="shared" ca="1" si="2"/>
        <v>#N/A</v>
      </c>
      <c r="J15" s="39" t="str">
        <f t="shared" ca="1" si="3"/>
        <v>n.a.</v>
      </c>
      <c r="K15" s="40" t="str">
        <f t="shared" ca="1" si="4"/>
        <v>n.a.</v>
      </c>
    </row>
    <row r="16" spans="1:11" ht="14.45" x14ac:dyDescent="0.35">
      <c r="A16" s="37" t="s">
        <v>52</v>
      </c>
      <c r="B16" s="46" t="e">
        <f ca="1">SUM(OFFSET('Total Sales'!$A$1,MATCH($A16,'Total Sales'!$A:$A,0)-1, MATCH("CY"&amp;RIGHT(B$4,2),'Total Sales'!$B$9:$BI$9,0)+3*(B$5-1),1,3))</f>
        <v>#N/A</v>
      </c>
      <c r="C16" s="46" t="e">
        <f ca="1">SUM(OFFSET('Total Sales'!$A$1,MATCH($A16,'Total Sales'!$A:$A,0)-1, MATCH("CY"&amp;RIGHT(C$4,2),'Total Sales'!$B$9:$BI$9,0)+3*(C$5-1),1,3))</f>
        <v>#N/A</v>
      </c>
      <c r="D16" s="46">
        <f ca="1">SUM(OFFSET('Total Sales'!$A$1,MATCH($A16,'Total Sales'!$A:$A,0)-1, MATCH(TEXT(DATE(D$4,Preparação!$A$2,1),"[$-409]mmmm")&amp; " Forecast",'Total Sales'!$B$8:$BI$8,0)+3*(D$5-1),1,3))</f>
        <v>-609.14253000000008</v>
      </c>
      <c r="E16" s="50">
        <f ca="1">SUM(OFFSET('Total Sales'!$A$1,MATCH($A16,'Total Sales'!$A:$A,0)-1, MATCH(IF(MOD(Preparação!$A$2,3)=0,"Actual","Forecast"),'Total Sales'!$B$11:$BI$11,0)+3*(E$5-1),1,3))</f>
        <v>-618.90444000000002</v>
      </c>
      <c r="F16" s="46">
        <f ca="1">SUM(OFFSET('Total Sales'!$A$1,MATCH($A16,'Total Sales'!$A:$A,0)-1, MATCH("Budget",'Total Sales'!$B$11:$BI$11,0)+3*(F$5-1),1,3))</f>
        <v>-573.88126999999997</v>
      </c>
      <c r="G16" s="38">
        <f t="shared" ca="1" si="0"/>
        <v>-9.7619099999999435</v>
      </c>
      <c r="H16" s="38">
        <f t="shared" ca="1" si="1"/>
        <v>-45.02317000000005</v>
      </c>
      <c r="I16" s="38" t="e">
        <f t="shared" ca="1" si="2"/>
        <v>#N/A</v>
      </c>
      <c r="J16" s="39" t="str">
        <f t="shared" ca="1" si="3"/>
        <v>n.a.</v>
      </c>
      <c r="K16" s="40" t="str">
        <f t="shared" ca="1" si="4"/>
        <v>n.a.</v>
      </c>
    </row>
    <row r="17" spans="1:11" ht="14.45" x14ac:dyDescent="0.35">
      <c r="A17" s="41" t="s">
        <v>53</v>
      </c>
      <c r="B17" s="42" t="e">
        <f ca="1">SUM(B7,B8:B16)</f>
        <v>#N/A</v>
      </c>
      <c r="C17" s="42" t="e">
        <f ca="1">SUM(C7,C8:C16)</f>
        <v>#N/A</v>
      </c>
      <c r="D17" s="42" t="e">
        <f ca="1">SUM(D7,D8:D16)</f>
        <v>#N/A</v>
      </c>
      <c r="E17" s="108" t="e">
        <f ca="1">SUM(E7,E8:E16)</f>
        <v>#N/A</v>
      </c>
      <c r="F17" s="113" t="e">
        <f ca="1">SUM(F7,F8:F16)</f>
        <v>#N/A</v>
      </c>
      <c r="G17" s="42" t="e">
        <f t="shared" ca="1" si="0"/>
        <v>#N/A</v>
      </c>
      <c r="H17" s="42" t="e">
        <f ca="1">E17-F17</f>
        <v>#N/A</v>
      </c>
      <c r="I17" s="42" t="e">
        <f t="shared" ca="1" si="2"/>
        <v>#N/A</v>
      </c>
      <c r="J17" s="43" t="str">
        <f t="shared" ca="1" si="3"/>
        <v>n.a.</v>
      </c>
      <c r="K17" s="44" t="str">
        <f t="shared" ca="1" si="4"/>
        <v>n.a.</v>
      </c>
    </row>
    <row r="18" spans="1:11" ht="7.5" customHeight="1" x14ac:dyDescent="0.35"/>
    <row r="19" spans="1:11" ht="14.45" x14ac:dyDescent="0.35">
      <c r="A19" s="41" t="s">
        <v>27</v>
      </c>
      <c r="B19" s="42" t="e">
        <f ca="1">SUM(OFFSET('Total Sales'!$A$1,MATCH($A19,'Total Sales'!$A:$A,0)-1, MATCH("CY"&amp;RIGHT(B$4,2),'Total Sales'!$B$9:$BI$9,0)+3*(B$5-1),1,3))</f>
        <v>#N/A</v>
      </c>
      <c r="C19" s="42" t="e">
        <f ca="1">SUM(OFFSET('Total Sales'!$A$1,MATCH($A19,'Total Sales'!$A:$A,0)-1, MATCH("CY"&amp;RIGHT(C$4,2),'Total Sales'!$B$9:$BI$9,0)+3*(C$5-1),1,3))</f>
        <v>#N/A</v>
      </c>
      <c r="D19" s="42" t="e">
        <f ca="1">SUM(OFFSET('Total Sales'!$A$1,MATCH($A19,'Total Sales'!$A:$A,0)-1, MATCH(TEXT(DATE(D$4,Preparação!$A$2,1),"[$-409]mmmm")&amp; " Forecast",'Total Sales'!$B$8:$BI$8,0)+3*(D$5-1),1,3))</f>
        <v>#N/A</v>
      </c>
      <c r="E19" s="108" t="e">
        <f ca="1">SUM(OFFSET('Total Sales'!$A$1,MATCH($A19,'Total Sales'!$A:$A,0)-1, MATCH(IF(MOD(Preparação!$A$2,3)=0,"Actual","Forecast"),'Total Sales'!$B$11:$BI$11,0)+3*(E$5-1),1,3))</f>
        <v>#N/A</v>
      </c>
      <c r="F19" s="113" t="e">
        <f ca="1">SUM(OFFSET('Total Sales'!$A$1,MATCH($A19,'Total Sales'!$A:$A,0)-1, MATCH("Budget",'Total Sales'!$B$11:$BI$11,0)+3*(F$5-1),1,3))</f>
        <v>#N/A</v>
      </c>
      <c r="G19" s="42" t="e">
        <f t="shared" ref="G19" ca="1" si="5">E19-D19</f>
        <v>#N/A</v>
      </c>
      <c r="H19" s="42" t="e">
        <f t="shared" ref="H19" ca="1" si="6">E19-F19</f>
        <v>#N/A</v>
      </c>
      <c r="I19" s="42" t="e">
        <f t="shared" ref="I19" ca="1" si="7">E19-B19</f>
        <v>#N/A</v>
      </c>
      <c r="J19" s="43" t="str">
        <f t="shared" ref="J19" ca="1" si="8">IFERROR(E19/B19-1,"n.a.")</f>
        <v>n.a.</v>
      </c>
      <c r="K19" s="44" t="str">
        <f t="shared" ref="K19" ca="1" si="9">IFERROR(E19/C19-1,"n.a.")</f>
        <v>n.a.</v>
      </c>
    </row>
    <row r="20" spans="1:11" ht="4.5" customHeight="1" x14ac:dyDescent="0.35"/>
    <row r="21" spans="1:11" ht="14.45" x14ac:dyDescent="0.35">
      <c r="A21" s="75" t="str">
        <f>"*Last Forecast as of " &amp;TEXT(DATE(D$4,Preparação!$A$2,1),"[$-409]mmmm/aaaa")</f>
        <v>*Last Forecast as of July/Saturday</v>
      </c>
    </row>
    <row r="23" spans="1:11" ht="14.45" x14ac:dyDescent="0.35">
      <c r="A23" s="27"/>
      <c r="B23" s="12">
        <f t="shared" ref="B23:G23" si="10">$E$4</f>
        <v>2017</v>
      </c>
      <c r="C23" s="12">
        <f t="shared" si="10"/>
        <v>2017</v>
      </c>
      <c r="D23" s="14">
        <f t="shared" si="10"/>
        <v>2017</v>
      </c>
      <c r="E23" s="109">
        <f t="shared" si="10"/>
        <v>2017</v>
      </c>
      <c r="F23" s="109">
        <f t="shared" si="10"/>
        <v>2017</v>
      </c>
      <c r="G23" s="109">
        <f t="shared" si="10"/>
        <v>2017</v>
      </c>
      <c r="H23" s="122">
        <f>$E$4-1</f>
        <v>2016</v>
      </c>
      <c r="I23" s="122">
        <f t="shared" ref="I23:J23" si="11">$E$4-1</f>
        <v>2016</v>
      </c>
      <c r="J23" s="122">
        <f t="shared" si="11"/>
        <v>2016</v>
      </c>
    </row>
    <row r="24" spans="1:11" ht="14.45" x14ac:dyDescent="0.35">
      <c r="A24" s="28" t="s">
        <v>51</v>
      </c>
      <c r="B24" s="16">
        <f>DATE(B23,3*($E$5-1)+1,1)</f>
        <v>42917</v>
      </c>
      <c r="C24" s="16">
        <f>DATE(C23,3*($E$5-1)+2,1)</f>
        <v>42948</v>
      </c>
      <c r="D24" s="17">
        <f>DATE(D23,3*($E$5-1)+3,1)</f>
        <v>42979</v>
      </c>
      <c r="E24" s="110">
        <f>DATE(E23,3*($E$5-1)+1,1)</f>
        <v>42917</v>
      </c>
      <c r="F24" s="110">
        <f>DATE(F23,3*($E$5-1)+2,1)</f>
        <v>42948</v>
      </c>
      <c r="G24" s="110">
        <f>DATE(G23,3*($E$5-1)+3,1)</f>
        <v>42979</v>
      </c>
      <c r="H24" s="123">
        <f>DATE(H23,3*($E$5-1)+1,1)</f>
        <v>42552</v>
      </c>
      <c r="I24" s="123">
        <f>DATE(I23,3*($E$5-1)+2,1)</f>
        <v>42583</v>
      </c>
      <c r="J24" s="123">
        <f>DATE(J23,3*($E$5-1)+3,1)</f>
        <v>42614</v>
      </c>
    </row>
    <row r="25" spans="1:11" ht="14.45" x14ac:dyDescent="0.35">
      <c r="A25" s="58"/>
      <c r="B25" s="106" t="str">
        <f>IF(MONTH(B24)=Preparação!$A$2,"MTD",IF(MONTH(B24)&lt;=Preparação!$A$2,"Act","FOR"))</f>
        <v>MTD</v>
      </c>
      <c r="C25" s="106" t="str">
        <f>IF(MONTH(C24)=Preparação!$A$2,"MTD",IF(MONTH(C24)&lt;=Preparação!$A$2,"Act","FOR"))</f>
        <v>FOR</v>
      </c>
      <c r="D25" s="107" t="str">
        <f>IF(MONTH(D24)=Preparação!$A$2,"MTD",IF(MONTH(D24)&lt;=Preparação!$A$2,"Act","FOR"))</f>
        <v>FOR</v>
      </c>
      <c r="E25" s="111" t="s">
        <v>78</v>
      </c>
      <c r="F25" s="111" t="s">
        <v>78</v>
      </c>
      <c r="G25" s="111" t="s">
        <v>78</v>
      </c>
      <c r="H25" s="124" t="s">
        <v>48</v>
      </c>
      <c r="I25" s="124" t="s">
        <v>48</v>
      </c>
      <c r="J25" s="124" t="s">
        <v>48</v>
      </c>
    </row>
    <row r="26" spans="1:11" x14ac:dyDescent="0.25">
      <c r="A26" s="37" t="str">
        <f t="shared" ref="A26:A35" si="12">A7</f>
        <v>BA Surveying &amp; Engineering w IDS</v>
      </c>
      <c r="B26" s="45">
        <f>IF(MONTH(B$24)=Preparação!$A$2,INDEX(Preparação!$R$31:$R$42,MATCH($A26,Preparação!$M$30:$M$42,0)),INDEX('Total Sales'!$A:$AK,MATCH($A7,'Total Sales'!$A:$A,0),IF(B$25="FOR",MATCH("Forecast",'Total Sales'!$11:$11,0)-1,1)+MONTH(B$24)))</f>
        <v>6.7561200000000001</v>
      </c>
      <c r="C26" s="45" t="e">
        <f>IF(MONTH(C$24)=Preparação!$A$2,INDEX(Preparação!$R$31:$R$42,MATCH($A26,Preparação!$M$30:$M$42,0)),INDEX('Total Sales'!$A:$AK,MATCH($A7,'Total Sales'!$A:$A,0),IF(C$25="FOR",MATCH("Forecast",'Total Sales'!$11:$11,0)-1,1)+MONTH(C$24)))</f>
        <v>#N/A</v>
      </c>
      <c r="D26" s="45" t="e">
        <f>IF(MONTH(D$24)=Preparação!$A$2,INDEX(Preparação!$R$31:$R$42,MATCH($A26,Preparação!$M$30:$M$42,0)),INDEX('Total Sales'!$A:$AK,MATCH($A7,'Total Sales'!$A:$A,0),IF(D$25="FOR",MATCH("Forecast",'Total Sales'!$11:$11,0)-1,1)+MONTH(D$24)))</f>
        <v>#N/A</v>
      </c>
      <c r="E26" s="45" t="e">
        <f>INDEX('Total Sales'!$A:$BI,MATCH($A26,'Total Sales'!$A:$A,0),MATCH("Budget",'Total Sales'!$11:$11,0)-1+MONTH(E$24))</f>
        <v>#N/A</v>
      </c>
      <c r="F26" s="45" t="e">
        <f>INDEX('Total Sales'!$A:$BI,MATCH($A26,'Total Sales'!$A:$A,0),MATCH("Budget",'Total Sales'!$11:$11,0)-1+MONTH(F$24))</f>
        <v>#N/A</v>
      </c>
      <c r="G26" s="45" t="e">
        <f>INDEX('Total Sales'!$A:$BI,MATCH($A26,'Total Sales'!$A:$A,0),MATCH("Budget",'Total Sales'!$11:$11,0)-1+MONTH(G$24))</f>
        <v>#N/A</v>
      </c>
      <c r="H26" s="45" t="e">
        <f>INDEX('Total Sales'!$A:$AK,MATCH($A7,'Total Sales'!$A:$A,0),MATCH("CY"&amp;TEXT(H$24,"AA"),'Total Sales'!$9:$9,0)-1+MONTH(H$24))</f>
        <v>#N/A</v>
      </c>
      <c r="I26" s="45" t="e">
        <f>INDEX('Total Sales'!$A:$AK,MATCH($A7,'Total Sales'!$A:$A,0),MATCH("CY"&amp;TEXT(I$24,"AA"),'Total Sales'!$9:$9,0)-1+MONTH(I$24))</f>
        <v>#N/A</v>
      </c>
      <c r="J26" s="45" t="e">
        <f>INDEX('Total Sales'!$A:$AK,MATCH($A7,'Total Sales'!$A:$A,0),MATCH("CY"&amp;TEXT(J$24,"AA"),'Total Sales'!$9:$9,0)-1+MONTH(J$24))</f>
        <v>#N/A</v>
      </c>
    </row>
    <row r="27" spans="1:11" x14ac:dyDescent="0.25">
      <c r="A27" s="37" t="str">
        <f t="shared" si="12"/>
        <v>BA Terrestrial Laser Scanning w IDS</v>
      </c>
      <c r="B27" s="45">
        <f>IF(MONTH(B$24)=Preparação!$A$2,INDEX(Preparação!$R$31:$R$42,MATCH($A27,Preparação!$M$30:$M$42,0)),INDEX('Total Sales'!$A:$AK,MATCH($A8,'Total Sales'!$A:$A,0),IF(B$25="FOR",MATCH("Forecast",'Total Sales'!$11:$11,0)-1,1)+MONTH(B$24)))</f>
        <v>0.10555999999999999</v>
      </c>
      <c r="C27" s="45" t="e">
        <f>IF(MONTH(C$24)=Preparação!$A$2,INDEX(Preparação!$R$31:$R$42,MATCH($A27,Preparação!$M$30:$M$42,0)),INDEX('Total Sales'!$A:$AK,MATCH($A8,'Total Sales'!$A:$A,0),IF(C$25="FOR",MATCH("Forecast",'Total Sales'!$11:$11,0)-1,1)+MONTH(C$24)))</f>
        <v>#N/A</v>
      </c>
      <c r="D27" s="45" t="e">
        <f>IF(MONTH(D$24)=Preparação!$A$2,INDEX(Preparação!$R$31:$R$42,MATCH($A27,Preparação!$M$30:$M$42,0)),INDEX('Total Sales'!$A:$AK,MATCH($A8,'Total Sales'!$A:$A,0),IF(D$25="FOR",MATCH("Forecast",'Total Sales'!$11:$11,0)-1,1)+MONTH(D$24)))</f>
        <v>#N/A</v>
      </c>
      <c r="E27" s="45" t="e">
        <f>INDEX('Total Sales'!$A:$BI,MATCH($A27,'Total Sales'!$A:$A,0),MATCH("Budget",'Total Sales'!$11:$11,0)-1+MONTH(E$24))</f>
        <v>#N/A</v>
      </c>
      <c r="F27" s="45" t="e">
        <f>INDEX('Total Sales'!$A:$BI,MATCH($A27,'Total Sales'!$A:$A,0),MATCH("Budget",'Total Sales'!$11:$11,0)-1+MONTH(F$24))</f>
        <v>#N/A</v>
      </c>
      <c r="G27" s="45" t="e">
        <f>INDEX('Total Sales'!$A:$BI,MATCH($A27,'Total Sales'!$A:$A,0),MATCH("Budget",'Total Sales'!$11:$11,0)-1+MONTH(G$24))</f>
        <v>#N/A</v>
      </c>
      <c r="H27" s="45" t="e">
        <f>INDEX('Total Sales'!$A:$AK,MATCH($A8,'Total Sales'!$A:$A,0),MATCH("CY"&amp;TEXT(H$24,"AA"),'Total Sales'!$9:$9,0)-1+MONTH(H$24))</f>
        <v>#N/A</v>
      </c>
      <c r="I27" s="45" t="e">
        <f>INDEX('Total Sales'!$A:$AK,MATCH($A8,'Total Sales'!$A:$A,0),MATCH("CY"&amp;TEXT(I$24,"AA"),'Total Sales'!$9:$9,0)-1+MONTH(I$24))</f>
        <v>#N/A</v>
      </c>
      <c r="J27" s="45" t="e">
        <f>INDEX('Total Sales'!$A:$AK,MATCH($A8,'Total Sales'!$A:$A,0),MATCH("CY"&amp;TEXT(J$24,"AA"),'Total Sales'!$9:$9,0)-1+MONTH(J$24))</f>
        <v>#N/A</v>
      </c>
    </row>
    <row r="28" spans="1:11" x14ac:dyDescent="0.25">
      <c r="A28" s="37" t="str">
        <f t="shared" si="12"/>
        <v>BU GMAT Solutions w IDS</v>
      </c>
      <c r="B28" s="45">
        <f>IF(MONTH(B$24)=Preparação!$A$2,INDEX(Preparação!$R$31:$R$42,MATCH($A28,Preparação!$M$30:$M$42,0)),INDEX('Total Sales'!$A:$AK,MATCH($A9,'Total Sales'!$A:$A,0),IF(B$25="FOR",MATCH("Forecast",'Total Sales'!$11:$11,0)-1,1)+MONTH(B$24)))</f>
        <v>2.8724599999999998</v>
      </c>
      <c r="C28" s="45">
        <f>IF(MONTH(C$24)=Preparação!$A$2,INDEX(Preparação!$R$31:$R$42,MATCH($A28,Preparação!$M$30:$M$42,0)),INDEX('Total Sales'!$A:$AK,MATCH($A9,'Total Sales'!$A:$A,0),IF(C$25="FOR",MATCH("Forecast",'Total Sales'!$11:$11,0)-1,1)+MONTH(C$24)))</f>
        <v>48.047559999999997</v>
      </c>
      <c r="D28" s="45">
        <f>IF(MONTH(D$24)=Preparação!$A$2,INDEX(Preparação!$R$31:$R$42,MATCH($A28,Preparação!$M$30:$M$42,0)),INDEX('Total Sales'!$A:$AK,MATCH($A9,'Total Sales'!$A:$A,0),IF(D$25="FOR",MATCH("Forecast",'Total Sales'!$11:$11,0)-1,1)+MONTH(D$24)))</f>
        <v>23.818169999999999</v>
      </c>
      <c r="E28" s="45">
        <f>INDEX('Total Sales'!$A:$BI,MATCH($A28,'Total Sales'!$A:$A,0),MATCH("Budget",'Total Sales'!$11:$11,0)-1+MONTH(E$24))</f>
        <v>49.686230000000002</v>
      </c>
      <c r="F28" s="45">
        <f>INDEX('Total Sales'!$A:$BI,MATCH($A28,'Total Sales'!$A:$A,0),MATCH("Budget",'Total Sales'!$11:$11,0)-1+MONTH(F$24))</f>
        <v>46.612480000000005</v>
      </c>
      <c r="G28" s="45">
        <f>INDEX('Total Sales'!$A:$BI,MATCH($A28,'Total Sales'!$A:$A,0),MATCH("Budget",'Total Sales'!$11:$11,0)-1+MONTH(G$24))</f>
        <v>23.143450000000001</v>
      </c>
      <c r="H28" s="45" t="e">
        <f>INDEX('Total Sales'!$A:$AK,MATCH($A9,'Total Sales'!$A:$A,0),MATCH("CY"&amp;TEXT(H$24,"AA"),'Total Sales'!$9:$9,0)-1+MONTH(H$24))</f>
        <v>#N/A</v>
      </c>
      <c r="I28" s="45" t="e">
        <f>INDEX('Total Sales'!$A:$AK,MATCH($A9,'Total Sales'!$A:$A,0),MATCH("CY"&amp;TEXT(I$24,"AA"),'Total Sales'!$9:$9,0)-1+MONTH(I$24))</f>
        <v>#N/A</v>
      </c>
      <c r="J28" s="45" t="e">
        <f>INDEX('Total Sales'!$A:$AK,MATCH($A9,'Total Sales'!$A:$A,0),MATCH("CY"&amp;TEXT(J$24,"AA"),'Total Sales'!$9:$9,0)-1+MONTH(J$24))</f>
        <v>#N/A</v>
      </c>
    </row>
    <row r="29" spans="1:11" x14ac:dyDescent="0.25">
      <c r="A29" s="37" t="str">
        <f t="shared" si="12"/>
        <v>BU Construction &amp; Engineering w IDS</v>
      </c>
      <c r="B29" s="45">
        <f>IF(MONTH(B$24)=Preparação!$A$2,INDEX(Preparação!$R$31:$R$42,MATCH($A29,Preparação!$M$30:$M$42,0)),INDEX('Total Sales'!$A:$AK,MATCH($A10,'Total Sales'!$A:$A,0),IF(B$25="FOR",MATCH("Forecast",'Total Sales'!$11:$11,0)-1,1)+MONTH(B$24)))</f>
        <v>9.027709999999999</v>
      </c>
      <c r="C29" s="45">
        <f>IF(MONTH(C$24)=Preparação!$A$2,INDEX(Preparação!$R$31:$R$42,MATCH($A29,Preparação!$M$30:$M$42,0)),INDEX('Total Sales'!$A:$AK,MATCH($A10,'Total Sales'!$A:$A,0),IF(C$25="FOR",MATCH("Forecast",'Total Sales'!$11:$11,0)-1,1)+MONTH(C$24)))</f>
        <v>16.072990000000001</v>
      </c>
      <c r="D29" s="45">
        <f>IF(MONTH(D$24)=Preparação!$A$2,INDEX(Preparação!$R$31:$R$42,MATCH($A29,Preparação!$M$30:$M$42,0)),INDEX('Total Sales'!$A:$AK,MATCH($A10,'Total Sales'!$A:$A,0),IF(D$25="FOR",MATCH("Forecast",'Total Sales'!$11:$11,0)-1,1)+MONTH(D$24)))</f>
        <v>3.6326000000000001</v>
      </c>
      <c r="E29" s="45">
        <f>INDEX('Total Sales'!$A:$BI,MATCH($A29,'Total Sales'!$A:$A,0),MATCH("Budget",'Total Sales'!$11:$11,0)-1+MONTH(E$24))</f>
        <v>0</v>
      </c>
      <c r="F29" s="45">
        <f>INDEX('Total Sales'!$A:$BI,MATCH($A29,'Total Sales'!$A:$A,0),MATCH("Budget",'Total Sales'!$11:$11,0)-1+MONTH(F$24))</f>
        <v>14.957929999999999</v>
      </c>
      <c r="G29" s="45">
        <f>INDEX('Total Sales'!$A:$BI,MATCH($A29,'Total Sales'!$A:$A,0),MATCH("Budget",'Total Sales'!$11:$11,0)-1+MONTH(G$24))</f>
        <v>3.5418099999999999</v>
      </c>
      <c r="H29" s="45" t="e">
        <f>INDEX('Total Sales'!$A:$AK,MATCH($A10,'Total Sales'!$A:$A,0),MATCH("CY"&amp;TEXT(H$24,"AA"),'Total Sales'!$9:$9,0)-1+MONTH(H$24))</f>
        <v>#N/A</v>
      </c>
      <c r="I29" s="45" t="e">
        <f>INDEX('Total Sales'!$A:$AK,MATCH($A10,'Total Sales'!$A:$A,0),MATCH("CY"&amp;TEXT(I$24,"AA"),'Total Sales'!$9:$9,0)-1+MONTH(I$24))</f>
        <v>#N/A</v>
      </c>
      <c r="J29" s="45" t="e">
        <f>INDEX('Total Sales'!$A:$AK,MATCH($A10,'Total Sales'!$A:$A,0),MATCH("CY"&amp;TEXT(J$24,"AA"),'Total Sales'!$9:$9,0)-1+MONTH(J$24))</f>
        <v>#N/A</v>
      </c>
    </row>
    <row r="30" spans="1:11" x14ac:dyDescent="0.25">
      <c r="A30" s="37" t="str">
        <f t="shared" si="12"/>
        <v>BU Machine Control Construction w IDS</v>
      </c>
      <c r="B30" s="45">
        <f>IF(MONTH(B$24)=Preparação!$A$2,INDEX(Preparação!$R$31:$R$42,MATCH($A30,Preparação!$M$30:$M$42,0)),INDEX('Total Sales'!$A:$AK,MATCH($A11,'Total Sales'!$A:$A,0),IF(B$25="FOR",MATCH("Forecast",'Total Sales'!$11:$11,0)-1,1)+MONTH(B$24)))</f>
        <v>8.1124700000000001</v>
      </c>
      <c r="C30" s="45">
        <f>IF(MONTH(C$24)=Preparação!$A$2,INDEX(Preparação!$R$31:$R$42,MATCH($A30,Preparação!$M$30:$M$42,0)),INDEX('Total Sales'!$A:$AK,MATCH($A11,'Total Sales'!$A:$A,0),IF(C$25="FOR",MATCH("Forecast",'Total Sales'!$11:$11,0)-1,1)+MONTH(C$24)))</f>
        <v>136.98853000000003</v>
      </c>
      <c r="D30" s="45">
        <f>IF(MONTH(D$24)=Preparação!$A$2,INDEX(Preparação!$R$31:$R$42,MATCH($A30,Preparação!$M$30:$M$42,0)),INDEX('Total Sales'!$A:$AK,MATCH($A11,'Total Sales'!$A:$A,0),IF(D$25="FOR",MATCH("Forecast",'Total Sales'!$11:$11,0)-1,1)+MONTH(D$24)))</f>
        <v>317.24495000000002</v>
      </c>
      <c r="E30" s="45">
        <f>INDEX('Total Sales'!$A:$BI,MATCH($A30,'Total Sales'!$A:$A,0),MATCH("Budget",'Total Sales'!$11:$11,0)-1+MONTH(E$24))</f>
        <v>149.71081999999998</v>
      </c>
      <c r="F30" s="45">
        <f>INDEX('Total Sales'!$A:$BI,MATCH($A30,'Total Sales'!$A:$A,0),MATCH("Budget",'Total Sales'!$11:$11,0)-1+MONTH(F$24))</f>
        <v>132.21687</v>
      </c>
      <c r="G30" s="45">
        <f>INDEX('Total Sales'!$A:$BI,MATCH($A30,'Total Sales'!$A:$A,0),MATCH("Budget",'Total Sales'!$11:$11,0)-1+MONTH(G$24))</f>
        <v>306.65224000000001</v>
      </c>
      <c r="H30" s="45" t="e">
        <f>INDEX('Total Sales'!$A:$AK,MATCH($A11,'Total Sales'!$A:$A,0),MATCH("CY"&amp;TEXT(H$24,"AA"),'Total Sales'!$9:$9,0)-1+MONTH(H$24))</f>
        <v>#N/A</v>
      </c>
      <c r="I30" s="45" t="e">
        <f>INDEX('Total Sales'!$A:$AK,MATCH($A11,'Total Sales'!$A:$A,0),MATCH("CY"&amp;TEXT(I$24,"AA"),'Total Sales'!$9:$9,0)-1+MONTH(I$24))</f>
        <v>#N/A</v>
      </c>
      <c r="J30" s="45" t="e">
        <f>INDEX('Total Sales'!$A:$AK,MATCH($A11,'Total Sales'!$A:$A,0),MATCH("CY"&amp;TEXT(J$24,"AA"),'Total Sales'!$9:$9,0)-1+MONTH(J$24))</f>
        <v>#N/A</v>
      </c>
    </row>
    <row r="31" spans="1:11" x14ac:dyDescent="0.25">
      <c r="A31" s="37" t="str">
        <f t="shared" si="12"/>
        <v>BU Measuring Tools w IDS</v>
      </c>
      <c r="B31" s="45">
        <f>IF(MONTH(B$24)=Preparação!$A$2,INDEX(Preparação!$R$31:$R$42,MATCH($A31,Preparação!$M$30:$M$42,0)),INDEX('Total Sales'!$A:$AK,MATCH($A12,'Total Sales'!$A:$A,0),IF(B$25="FOR",MATCH("Forecast",'Total Sales'!$11:$11,0)-1,1)+MONTH(B$24)))</f>
        <v>66.623236089300917</v>
      </c>
      <c r="C31" s="45" t="e">
        <f>IF(MONTH(C$24)=Preparação!$A$2,INDEX(Preparação!$R$31:$R$42,MATCH($A31,Preparação!$M$30:$M$42,0)),INDEX('Total Sales'!$A:$AK,MATCH($A12,'Total Sales'!$A:$A,0),IF(C$25="FOR",MATCH("Forecast",'Total Sales'!$11:$11,0)-1,1)+MONTH(C$24)))</f>
        <v>#N/A</v>
      </c>
      <c r="D31" s="45" t="e">
        <f>IF(MONTH(D$24)=Preparação!$A$2,INDEX(Preparação!$R$31:$R$42,MATCH($A31,Preparação!$M$30:$M$42,0)),INDEX('Total Sales'!$A:$AK,MATCH($A12,'Total Sales'!$A:$A,0),IF(D$25="FOR",MATCH("Forecast",'Total Sales'!$11:$11,0)-1,1)+MONTH(D$24)))</f>
        <v>#N/A</v>
      </c>
      <c r="E31" s="45" t="e">
        <f>INDEX('Total Sales'!$A:$BI,MATCH($A31,'Total Sales'!$A:$A,0),MATCH("Budget",'Total Sales'!$11:$11,0)-1+MONTH(E$24))</f>
        <v>#N/A</v>
      </c>
      <c r="F31" s="45" t="e">
        <f>INDEX('Total Sales'!$A:$BI,MATCH($A31,'Total Sales'!$A:$A,0),MATCH("Budget",'Total Sales'!$11:$11,0)-1+MONTH(F$24))</f>
        <v>#N/A</v>
      </c>
      <c r="G31" s="45" t="e">
        <f>INDEX('Total Sales'!$A:$BI,MATCH($A31,'Total Sales'!$A:$A,0),MATCH("Budget",'Total Sales'!$11:$11,0)-1+MONTH(G$24))</f>
        <v>#N/A</v>
      </c>
      <c r="H31" s="45" t="e">
        <f>INDEX('Total Sales'!$A:$AK,MATCH($A12,'Total Sales'!$A:$A,0),MATCH("CY"&amp;TEXT(H$24,"AA"),'Total Sales'!$9:$9,0)-1+MONTH(H$24))</f>
        <v>#N/A</v>
      </c>
      <c r="I31" s="45" t="e">
        <f>INDEX('Total Sales'!$A:$AK,MATCH($A12,'Total Sales'!$A:$A,0),MATCH("CY"&amp;TEXT(I$24,"AA"),'Total Sales'!$9:$9,0)-1+MONTH(I$24))</f>
        <v>#N/A</v>
      </c>
      <c r="J31" s="45" t="e">
        <f>INDEX('Total Sales'!$A:$AK,MATCH($A12,'Total Sales'!$A:$A,0),MATCH("CY"&amp;TEXT(J$24,"AA"),'Total Sales'!$9:$9,0)-1+MONTH(J$24))</f>
        <v>#N/A</v>
      </c>
    </row>
    <row r="32" spans="1:11" x14ac:dyDescent="0.25">
      <c r="A32" s="37" t="str">
        <f t="shared" si="12"/>
        <v>BU Construction Tools w IDS</v>
      </c>
      <c r="B32" s="45">
        <f>IF(MONTH(B$24)=Preparação!$A$2,INDEX(Preparação!$R$31:$R$42,MATCH($A32,Preparação!$M$30:$M$42,0)),INDEX('Total Sales'!$A:$AK,MATCH($A13,'Total Sales'!$A:$A,0),IF(B$25="FOR",MATCH("Forecast",'Total Sales'!$11:$11,0)-1,1)+MONTH(B$24)))</f>
        <v>0</v>
      </c>
      <c r="C32" s="45" t="e">
        <f>IF(MONTH(C$24)=Preparação!$A$2,INDEX(Preparação!$R$31:$R$42,MATCH($A32,Preparação!$M$30:$M$42,0)),INDEX('Total Sales'!$A:$AK,MATCH($A13,'Total Sales'!$A:$A,0),IF(C$25="FOR",MATCH("Forecast",'Total Sales'!$11:$11,0)-1,1)+MONTH(C$24)))</f>
        <v>#N/A</v>
      </c>
      <c r="D32" s="45" t="e">
        <f>IF(MONTH(D$24)=Preparação!$A$2,INDEX(Preparação!$R$31:$R$42,MATCH($A32,Preparação!$M$30:$M$42,0)),INDEX('Total Sales'!$A:$AK,MATCH($A13,'Total Sales'!$A:$A,0),IF(D$25="FOR",MATCH("Forecast",'Total Sales'!$11:$11,0)-1,1)+MONTH(D$24)))</f>
        <v>#N/A</v>
      </c>
      <c r="E32" s="45" t="e">
        <f>INDEX('Total Sales'!$A:$BI,MATCH($A32,'Total Sales'!$A:$A,0),MATCH("Budget",'Total Sales'!$11:$11,0)-1+MONTH(E$24))</f>
        <v>#N/A</v>
      </c>
      <c r="F32" s="45" t="e">
        <f>INDEX('Total Sales'!$A:$BI,MATCH($A32,'Total Sales'!$A:$A,0),MATCH("Budget",'Total Sales'!$11:$11,0)-1+MONTH(F$24))</f>
        <v>#N/A</v>
      </c>
      <c r="G32" s="45" t="e">
        <f>INDEX('Total Sales'!$A:$BI,MATCH($A32,'Total Sales'!$A:$A,0),MATCH("Budget",'Total Sales'!$11:$11,0)-1+MONTH(G$24))</f>
        <v>#N/A</v>
      </c>
      <c r="H32" s="45" t="e">
        <f>INDEX('Total Sales'!$A:$AK,MATCH($A13,'Total Sales'!$A:$A,0),MATCH("CY"&amp;TEXT(H$24,"AA"),'Total Sales'!$9:$9,0)-1+MONTH(H$24))</f>
        <v>#N/A</v>
      </c>
      <c r="I32" s="45" t="e">
        <f>INDEX('Total Sales'!$A:$AK,MATCH($A13,'Total Sales'!$A:$A,0),MATCH("CY"&amp;TEXT(I$24,"AA"),'Total Sales'!$9:$9,0)-1+MONTH(I$24))</f>
        <v>#N/A</v>
      </c>
      <c r="J32" s="45" t="e">
        <f>INDEX('Total Sales'!$A:$AK,MATCH($A13,'Total Sales'!$A:$A,0),MATCH("CY"&amp;TEXT(J$24,"AA"),'Total Sales'!$9:$9,0)-1+MONTH(J$24))</f>
        <v>#N/A</v>
      </c>
    </row>
    <row r="33" spans="1:10" x14ac:dyDescent="0.25">
      <c r="A33" s="37" t="str">
        <f t="shared" si="12"/>
        <v>Regional Dealer Division</v>
      </c>
      <c r="B33" s="45">
        <f>IF(MONTH(B$24)=Preparação!$A$2,INDEX(Preparação!$R$31:$R$42,MATCH($A33,Preparação!$M$30:$M$42,0)),INDEX('Total Sales'!$A:$AK,MATCH($A14,'Total Sales'!$A:$A,0),IF(B$25="FOR",MATCH("Forecast",'Total Sales'!$11:$11,0)-1,1)+MONTH(B$24)))</f>
        <v>-21.694390000000002</v>
      </c>
      <c r="C33" s="45" t="e">
        <f>IF(MONTH(C$24)=Preparação!$A$2,INDEX(Preparação!$R$31:$R$42,MATCH($A33,Preparação!$M$30:$M$42,0)),INDEX('Total Sales'!$A:$AK,MATCH($A14,'Total Sales'!$A:$A,0),IF(C$25="FOR",MATCH("Forecast",'Total Sales'!$11:$11,0)-1,1)+MONTH(C$24)))</f>
        <v>#N/A</v>
      </c>
      <c r="D33" s="45" t="e">
        <f>IF(MONTH(D$24)=Preparação!$A$2,INDEX(Preparação!$R$31:$R$42,MATCH($A33,Preparação!$M$30:$M$42,0)),INDEX('Total Sales'!$A:$AK,MATCH($A14,'Total Sales'!$A:$A,0),IF(D$25="FOR",MATCH("Forecast",'Total Sales'!$11:$11,0)-1,1)+MONTH(D$24)))</f>
        <v>#N/A</v>
      </c>
      <c r="E33" s="45" t="e">
        <f>INDEX('Total Sales'!$A:$BI,MATCH($A33,'Total Sales'!$A:$A,0),MATCH("Budget",'Total Sales'!$11:$11,0)-1+MONTH(E$24))</f>
        <v>#N/A</v>
      </c>
      <c r="F33" s="45" t="e">
        <f>INDEX('Total Sales'!$A:$BI,MATCH($A33,'Total Sales'!$A:$A,0),MATCH("Budget",'Total Sales'!$11:$11,0)-1+MONTH(F$24))</f>
        <v>#N/A</v>
      </c>
      <c r="G33" s="45" t="e">
        <f>INDEX('Total Sales'!$A:$BI,MATCH($A33,'Total Sales'!$A:$A,0),MATCH("Budget",'Total Sales'!$11:$11,0)-1+MONTH(G$24))</f>
        <v>#N/A</v>
      </c>
      <c r="H33" s="45" t="e">
        <f>INDEX('Total Sales'!$A:$AK,MATCH($A14,'Total Sales'!$A:$A,0),MATCH("CY"&amp;TEXT(H$24,"AA"),'Total Sales'!$9:$9,0)-1+MONTH(H$24))</f>
        <v>#N/A</v>
      </c>
      <c r="I33" s="45" t="e">
        <f>INDEX('Total Sales'!$A:$AK,MATCH($A14,'Total Sales'!$A:$A,0),MATCH("CY"&amp;TEXT(I$24,"AA"),'Total Sales'!$9:$9,0)-1+MONTH(I$24))</f>
        <v>#N/A</v>
      </c>
      <c r="J33" s="45" t="e">
        <f>INDEX('Total Sales'!$A:$AK,MATCH($A14,'Total Sales'!$A:$A,0),MATCH("CY"&amp;TEXT(J$24,"AA"),'Total Sales'!$9:$9,0)-1+MONTH(J$24))</f>
        <v>#N/A</v>
      </c>
    </row>
    <row r="34" spans="1:10" x14ac:dyDescent="0.25">
      <c r="A34" s="37" t="str">
        <f t="shared" si="12"/>
        <v>Leica Shared Services</v>
      </c>
      <c r="B34" s="45">
        <f>IF(MONTH(B$24)=Preparação!$A$2,INDEX(Preparação!$R$31:$R$42,MATCH($A34,Preparação!$M$30:$M$42,0)),INDEX('Total Sales'!$A:$AK,MATCH($A15,'Total Sales'!$A:$A,0),IF(B$25="FOR",MATCH("Forecast",'Total Sales'!$11:$11,0)-1,1)+MONTH(B$24)))</f>
        <v>52.152509999999999</v>
      </c>
      <c r="C34" s="45">
        <f>IF(MONTH(C$24)=Preparação!$A$2,INDEX(Preparação!$R$31:$R$42,MATCH($A34,Preparação!$M$30:$M$42,0)),INDEX('Total Sales'!$A:$AK,MATCH($A15,'Total Sales'!$A:$A,0),IF(C$25="FOR",MATCH("Forecast",'Total Sales'!$11:$11,0)-1,1)+MONTH(C$24)))</f>
        <v>0</v>
      </c>
      <c r="D34" s="45">
        <f>IF(MONTH(D$24)=Preparação!$A$2,INDEX(Preparação!$R$31:$R$42,MATCH($A34,Preparação!$M$30:$M$42,0)),INDEX('Total Sales'!$A:$AK,MATCH($A15,'Total Sales'!$A:$A,0),IF(D$25="FOR",MATCH("Forecast",'Total Sales'!$11:$11,0)-1,1)+MONTH(D$24)))</f>
        <v>0</v>
      </c>
      <c r="E34" s="45">
        <f>INDEX('Total Sales'!$A:$BI,MATCH($A34,'Total Sales'!$A:$A,0),MATCH("Budget",'Total Sales'!$11:$11,0)-1+MONTH(E$24))</f>
        <v>0</v>
      </c>
      <c r="F34" s="45">
        <f>INDEX('Total Sales'!$A:$BI,MATCH($A34,'Total Sales'!$A:$A,0),MATCH("Budget",'Total Sales'!$11:$11,0)-1+MONTH(F$24))</f>
        <v>0</v>
      </c>
      <c r="G34" s="45">
        <f>INDEX('Total Sales'!$A:$BI,MATCH($A34,'Total Sales'!$A:$A,0),MATCH("Budget",'Total Sales'!$11:$11,0)-1+MONTH(G$24))</f>
        <v>0</v>
      </c>
      <c r="H34" s="45" t="e">
        <f>INDEX('Total Sales'!$A:$AK,MATCH($A15,'Total Sales'!$A:$A,0),MATCH("CY"&amp;TEXT(H$24,"AA"),'Total Sales'!$9:$9,0)-1+MONTH(H$24))</f>
        <v>#N/A</v>
      </c>
      <c r="I34" s="45" t="e">
        <f>INDEX('Total Sales'!$A:$AK,MATCH($A15,'Total Sales'!$A:$A,0),MATCH("CY"&amp;TEXT(I$24,"AA"),'Total Sales'!$9:$9,0)-1+MONTH(I$24))</f>
        <v>#N/A</v>
      </c>
      <c r="J34" s="45" t="e">
        <f>INDEX('Total Sales'!$A:$AK,MATCH($A15,'Total Sales'!$A:$A,0),MATCH("CY"&amp;TEXT(J$24,"AA"),'Total Sales'!$9:$9,0)-1+MONTH(J$24))</f>
        <v>#N/A</v>
      </c>
    </row>
    <row r="35" spans="1:10" x14ac:dyDescent="0.25">
      <c r="A35" s="37" t="str">
        <f t="shared" si="12"/>
        <v>GSR IDS</v>
      </c>
      <c r="B35" s="45">
        <f>IF(MONTH(B$24)=Preparação!$A$2,INDEX(Preparação!$R$31:$R$42,MATCH($A35,Preparação!$M$30:$M$42,0)),INDEX('Total Sales'!$A:$AK,MATCH($A16,'Total Sales'!$A:$A,0),IF(B$25="FOR",MATCH("Forecast",'Total Sales'!$11:$11,0)-1,1)+MONTH(B$24)))</f>
        <v>0</v>
      </c>
      <c r="C35" s="45">
        <f>IF(MONTH(C$24)=Preparação!$A$2,INDEX(Preparação!$R$31:$R$42,MATCH($A35,Preparação!$M$30:$M$42,0)),INDEX('Total Sales'!$A:$AK,MATCH($A16,'Total Sales'!$A:$A,0),IF(C$25="FOR",MATCH("Forecast",'Total Sales'!$11:$11,0)-1,1)+MONTH(C$24)))</f>
        <v>-267.65604999999999</v>
      </c>
      <c r="D35" s="45">
        <f>IF(MONTH(D$24)=Preparação!$A$2,INDEX(Preparação!$R$31:$R$42,MATCH($A35,Preparação!$M$30:$M$42,0)),INDEX('Total Sales'!$A:$AK,MATCH($A16,'Total Sales'!$A:$A,0),IF(D$25="FOR",MATCH("Forecast",'Total Sales'!$11:$11,0)-1,1)+MONTH(D$24)))</f>
        <v>-186.25231000000002</v>
      </c>
      <c r="E35" s="45">
        <f>INDEX('Total Sales'!$A:$BI,MATCH($A35,'Total Sales'!$A:$A,0),MATCH("Budget",'Total Sales'!$11:$11,0)-1+MONTH(E$24))</f>
        <v>-144.79881000000003</v>
      </c>
      <c r="F35" s="45">
        <f>INDEX('Total Sales'!$A:$BI,MATCH($A35,'Total Sales'!$A:$A,0),MATCH("Budget",'Total Sales'!$11:$11,0)-1+MONTH(F$24))</f>
        <v>-260.90877</v>
      </c>
      <c r="G35" s="45">
        <f>INDEX('Total Sales'!$A:$BI,MATCH($A35,'Total Sales'!$A:$A,0),MATCH("Budget",'Total Sales'!$11:$11,0)-1+MONTH(G$24))</f>
        <v>-168.17368999999999</v>
      </c>
      <c r="H35" s="45" t="e">
        <f>INDEX('Total Sales'!$A:$AK,MATCH($A16,'Total Sales'!$A:$A,0),MATCH("CY"&amp;TEXT(H$24,"AA"),'Total Sales'!$9:$9,0)-1+MONTH(H$24))</f>
        <v>#N/A</v>
      </c>
      <c r="I35" s="45" t="e">
        <f>INDEX('Total Sales'!$A:$AK,MATCH($A16,'Total Sales'!$A:$A,0),MATCH("CY"&amp;TEXT(I$24,"AA"),'Total Sales'!$9:$9,0)-1+MONTH(I$24))</f>
        <v>#N/A</v>
      </c>
      <c r="J35" s="45" t="e">
        <f>INDEX('Total Sales'!$A:$AK,MATCH($A16,'Total Sales'!$A:$A,0),MATCH("CY"&amp;TEXT(J$24,"AA"),'Total Sales'!$9:$9,0)-1+MONTH(J$24))</f>
        <v>#N/A</v>
      </c>
    </row>
    <row r="36" spans="1:10" x14ac:dyDescent="0.25">
      <c r="A36" s="41" t="s">
        <v>53</v>
      </c>
      <c r="B36" s="117">
        <f t="shared" ref="B36:J36" si="13">SUM(B26,B27:B35)</f>
        <v>123.95567608930091</v>
      </c>
      <c r="C36" s="42" t="e">
        <f t="shared" si="13"/>
        <v>#N/A</v>
      </c>
      <c r="D36" s="42" t="e">
        <f t="shared" si="13"/>
        <v>#N/A</v>
      </c>
      <c r="E36" s="112" t="e">
        <f t="shared" si="13"/>
        <v>#N/A</v>
      </c>
      <c r="F36" s="112" t="e">
        <f t="shared" si="13"/>
        <v>#N/A</v>
      </c>
      <c r="G36" s="112" t="e">
        <f t="shared" si="13"/>
        <v>#N/A</v>
      </c>
      <c r="H36" s="112" t="e">
        <f t="shared" si="13"/>
        <v>#N/A</v>
      </c>
      <c r="I36" s="112" t="e">
        <f t="shared" si="13"/>
        <v>#N/A</v>
      </c>
      <c r="J36" s="112" t="e">
        <f t="shared" si="13"/>
        <v>#N/A</v>
      </c>
    </row>
    <row r="38" spans="1:10" x14ac:dyDescent="0.25">
      <c r="A38" s="41" t="s">
        <v>27</v>
      </c>
      <c r="B38" s="117" t="e">
        <f>IF(MONTH(B$24)=Preparação!$A$2,INDEX(Preparação!$R$31:$R$42,MATCH($A38,Preparação!$M$30:$M$42,0)),INDEX('Total Sales'!$A:$AK,MATCH($A19,'Total Sales'!$A:$A,0),IF(B$25="FOR",MATCH("Forecast",'Total Sales'!$11:$11,0)-1,1)+MONTH(B$24)))</f>
        <v>#REF!</v>
      </c>
      <c r="C38" s="42" t="e">
        <f>IF(MONTH(C$24)=Preparação!$A$2,INDEX(Preparação!$R$31:$R$42,MATCH($A38,Preparação!$M$30:$M$42,0)),INDEX('Total Sales'!$A:$AK,MATCH($A19,'Total Sales'!$A:$A,0),IF(C$25="FOR",MATCH("Forecast",'Total Sales'!$11:$11,0)-1,1)+MONTH(C$24)))</f>
        <v>#N/A</v>
      </c>
      <c r="D38" s="42" t="e">
        <f>IF(MONTH(D$24)=Preparação!$A$2,INDEX(Preparação!$R$31:$R$42,MATCH($A38,Preparação!$M$30:$M$42,0)),INDEX('Total Sales'!$A:$AK,MATCH($A19,'Total Sales'!$A:$A,0),IF(D$25="FOR",MATCH("Forecast",'Total Sales'!$11:$11,0)-1,1)+MONTH(D$24)))</f>
        <v>#N/A</v>
      </c>
      <c r="E38" s="112" t="e">
        <f>INDEX('Total Sales'!$A:$BI,MATCH($A38,'Total Sales'!$A:$A,0),MATCH("Budget",'Total Sales'!$11:$11,0)-1+MONTH(E$24))</f>
        <v>#N/A</v>
      </c>
      <c r="F38" s="112" t="e">
        <f>INDEX('Total Sales'!$A:$BI,MATCH($A38,'Total Sales'!$A:$A,0),MATCH("Budget",'Total Sales'!$11:$11,0)-1+MONTH(F$24))</f>
        <v>#N/A</v>
      </c>
      <c r="G38" s="112" t="e">
        <f>INDEX('Total Sales'!$A:$BI,MATCH($A38,'Total Sales'!$A:$A,0),MATCH("Budget",'Total Sales'!$11:$11,0)-1+MONTH(G$24))</f>
        <v>#N/A</v>
      </c>
      <c r="H38" s="112" t="e">
        <f>INDEX('Total Sales'!$A:$AK,MATCH($A38,'Total Sales'!$A:$A,0),MATCH("CY"&amp;TEXT(H$24,"AA"),'Total Sales'!$9:$9,0)-1+MONTH(H$24))</f>
        <v>#N/A</v>
      </c>
      <c r="I38" s="112" t="e">
        <f>INDEX('Total Sales'!$A:$AK,MATCH($A38,'Total Sales'!$A:$A,0),MATCH("CY"&amp;TEXT(I$24,"AA"),'Total Sales'!$9:$9,0)-1+MONTH(I$24))</f>
        <v>#N/A</v>
      </c>
      <c r="J38" s="112" t="e">
        <f>INDEX('Total Sales'!$A:$AK,MATCH($A38,'Total Sales'!$A:$A,0),MATCH("CY"&amp;TEXT(J$24,"AA"),'Total Sales'!$9:$9,0)-1+MONTH(J$24))</f>
        <v>#N/A</v>
      </c>
    </row>
    <row r="41" spans="1:10" x14ac:dyDescent="0.25">
      <c r="A41" s="27"/>
      <c r="B41" s="12">
        <f t="shared" ref="B41:J41" si="14">$E$4</f>
        <v>2017</v>
      </c>
      <c r="C41" s="12">
        <f t="shared" si="14"/>
        <v>2017</v>
      </c>
      <c r="D41" s="14">
        <f t="shared" si="14"/>
        <v>2017</v>
      </c>
      <c r="E41" s="12">
        <f t="shared" si="14"/>
        <v>2017</v>
      </c>
      <c r="F41" s="12">
        <f t="shared" si="14"/>
        <v>2017</v>
      </c>
      <c r="G41" s="14">
        <f t="shared" si="14"/>
        <v>2017</v>
      </c>
      <c r="H41" s="12">
        <f t="shared" si="14"/>
        <v>2017</v>
      </c>
      <c r="I41" s="12">
        <f t="shared" si="14"/>
        <v>2017</v>
      </c>
      <c r="J41" s="14">
        <f t="shared" si="14"/>
        <v>2017</v>
      </c>
    </row>
    <row r="42" spans="1:10" x14ac:dyDescent="0.25">
      <c r="A42" s="28" t="s">
        <v>51</v>
      </c>
      <c r="B42" s="16">
        <f>DATE(B41,3*($E$5-1)+1,1)</f>
        <v>42917</v>
      </c>
      <c r="C42" s="16">
        <f>DATE(C41,3*($E$5-1)+2,1)</f>
        <v>42948</v>
      </c>
      <c r="D42" s="17">
        <f>DATE(D41,3*($E$5-1)+3,1)</f>
        <v>42979</v>
      </c>
      <c r="E42" s="16">
        <f>DATE(E41,3*($E$5-1)+1,1)</f>
        <v>42917</v>
      </c>
      <c r="F42" s="16">
        <f>DATE(F41,3*($E$5-1)+2,1)</f>
        <v>42948</v>
      </c>
      <c r="G42" s="17">
        <f>DATE(G41,3*($E$5-1)+3,1)</f>
        <v>42979</v>
      </c>
      <c r="H42" s="16">
        <f>DATE(H41,3*($E$5-1)+1,1)</f>
        <v>42917</v>
      </c>
      <c r="I42" s="16">
        <f>DATE(I41,3*($E$5-1)+2,1)</f>
        <v>42948</v>
      </c>
      <c r="J42" s="17">
        <f>DATE(J41,3*($E$5-1)+3,1)</f>
        <v>42979</v>
      </c>
    </row>
    <row r="43" spans="1:10" x14ac:dyDescent="0.25">
      <c r="A43" s="58"/>
      <c r="B43" s="106" t="str">
        <f>IF(MONTH(B42)&lt;=Preparação!$A$2,"Act","FOR") &amp; "/BUD"</f>
        <v>Act/BUD</v>
      </c>
      <c r="C43" s="106" t="str">
        <f>IF(MONTH(C42)&lt;=Preparação!$A$2,"Act","FOR")&amp; "/BUD"</f>
        <v>FOR/BUD</v>
      </c>
      <c r="D43" s="107" t="str">
        <f>IF(MONTH(D42)&lt;=Preparação!$A$2,"Act","FOR")&amp;"/BUD"</f>
        <v>FOR/BUD</v>
      </c>
      <c r="E43" s="106" t="str">
        <f>B43</f>
        <v>Act/BUD</v>
      </c>
      <c r="F43" s="106" t="str">
        <f t="shared" ref="F43:G43" si="15">C43</f>
        <v>FOR/BUD</v>
      </c>
      <c r="G43" s="107" t="str">
        <f t="shared" si="15"/>
        <v>FOR/BUD</v>
      </c>
      <c r="H43" s="106" t="str">
        <f>IF(MONTH(H42)&lt;=Preparação!$A$2,"Act","FOR") &amp; "/LY"</f>
        <v>Act/LY</v>
      </c>
      <c r="I43" s="106" t="str">
        <f>IF(MONTH(I42)&lt;=Preparação!$A$2,"Act","FOR") &amp; "/LY"</f>
        <v>FOR/LY</v>
      </c>
      <c r="J43" s="107" t="str">
        <f>IF(MONTH(J42)&lt;=Preparação!$A$2,"Act","FOR") &amp; "/LY"</f>
        <v>FOR/LY</v>
      </c>
    </row>
    <row r="44" spans="1:10" x14ac:dyDescent="0.25">
      <c r="A44" s="37" t="s">
        <v>38</v>
      </c>
      <c r="B44" s="45" t="e">
        <f t="shared" ref="B44:B53" si="16">B26-E26</f>
        <v>#N/A</v>
      </c>
      <c r="C44" s="45" t="e">
        <f t="shared" ref="C44:C53" si="17">C26-F26</f>
        <v>#N/A</v>
      </c>
      <c r="D44" s="45" t="e">
        <f t="shared" ref="D44:D53" si="18">D26-G26</f>
        <v>#N/A</v>
      </c>
      <c r="E44" s="118" t="e">
        <f t="shared" ref="E44:E54" si="19">IF(E26=0,"",B26/E26-1)</f>
        <v>#N/A</v>
      </c>
      <c r="F44" s="118" t="e">
        <f t="shared" ref="F44:F54" si="20">IF(F26=0,"",C26/F26-1)</f>
        <v>#N/A</v>
      </c>
      <c r="G44" s="118" t="e">
        <f t="shared" ref="G44:G54" si="21">IF(G26=0,"",D26/G26-1)</f>
        <v>#N/A</v>
      </c>
      <c r="H44" s="118" t="e">
        <f t="shared" ref="H44:H54" si="22">IF(H26=0,"",B26/H26-1)</f>
        <v>#N/A</v>
      </c>
      <c r="I44" s="118" t="e">
        <f t="shared" ref="I44:I54" si="23">IF(I26=0,"",C26/I26-1)</f>
        <v>#N/A</v>
      </c>
      <c r="J44" s="118" t="e">
        <f t="shared" ref="J44:J54" si="24">IF(J26=0,"",D26/J26-1)</f>
        <v>#N/A</v>
      </c>
    </row>
    <row r="45" spans="1:10" x14ac:dyDescent="0.25">
      <c r="A45" s="37" t="s">
        <v>39</v>
      </c>
      <c r="B45" s="45" t="e">
        <f t="shared" si="16"/>
        <v>#N/A</v>
      </c>
      <c r="C45" s="45" t="e">
        <f t="shared" si="17"/>
        <v>#N/A</v>
      </c>
      <c r="D45" s="45" t="e">
        <f t="shared" si="18"/>
        <v>#N/A</v>
      </c>
      <c r="E45" s="118" t="e">
        <f t="shared" si="19"/>
        <v>#N/A</v>
      </c>
      <c r="F45" s="118" t="e">
        <f t="shared" si="20"/>
        <v>#N/A</v>
      </c>
      <c r="G45" s="118" t="e">
        <f t="shared" si="21"/>
        <v>#N/A</v>
      </c>
      <c r="H45" s="118" t="e">
        <f t="shared" si="22"/>
        <v>#N/A</v>
      </c>
      <c r="I45" s="118" t="e">
        <f t="shared" si="23"/>
        <v>#N/A</v>
      </c>
      <c r="J45" s="118" t="e">
        <f t="shared" si="24"/>
        <v>#N/A</v>
      </c>
    </row>
    <row r="46" spans="1:10" x14ac:dyDescent="0.25">
      <c r="A46" s="37" t="s">
        <v>40</v>
      </c>
      <c r="B46" s="45">
        <f t="shared" si="16"/>
        <v>-46.813770000000005</v>
      </c>
      <c r="C46" s="45">
        <f t="shared" si="17"/>
        <v>1.4350799999999921</v>
      </c>
      <c r="D46" s="45">
        <f t="shared" si="18"/>
        <v>0.6747199999999971</v>
      </c>
      <c r="E46" s="118">
        <f t="shared" si="19"/>
        <v>-0.94218800661672253</v>
      </c>
      <c r="F46" s="118">
        <f t="shared" si="20"/>
        <v>3.0787462928382858E-2</v>
      </c>
      <c r="G46" s="118">
        <f t="shared" si="21"/>
        <v>2.9153821059522134E-2</v>
      </c>
      <c r="H46" s="118" t="e">
        <f t="shared" si="22"/>
        <v>#N/A</v>
      </c>
      <c r="I46" s="118" t="e">
        <f t="shared" si="23"/>
        <v>#N/A</v>
      </c>
      <c r="J46" s="118" t="e">
        <f t="shared" si="24"/>
        <v>#N/A</v>
      </c>
    </row>
    <row r="47" spans="1:10" x14ac:dyDescent="0.25">
      <c r="A47" s="37" t="s">
        <v>41</v>
      </c>
      <c r="B47" s="45">
        <f t="shared" si="16"/>
        <v>9.027709999999999</v>
      </c>
      <c r="C47" s="45">
        <f t="shared" si="17"/>
        <v>1.1150600000000015</v>
      </c>
      <c r="D47" s="45">
        <f t="shared" si="18"/>
        <v>9.0790000000000148E-2</v>
      </c>
      <c r="E47" s="118" t="str">
        <f t="shared" si="19"/>
        <v/>
      </c>
      <c r="F47" s="118">
        <f t="shared" si="20"/>
        <v>7.4546411167855542E-2</v>
      </c>
      <c r="G47" s="118">
        <f t="shared" si="21"/>
        <v>2.5633786115009105E-2</v>
      </c>
      <c r="H47" s="118" t="e">
        <f t="shared" si="22"/>
        <v>#N/A</v>
      </c>
      <c r="I47" s="118" t="e">
        <f t="shared" si="23"/>
        <v>#N/A</v>
      </c>
      <c r="J47" s="118" t="e">
        <f t="shared" si="24"/>
        <v>#N/A</v>
      </c>
    </row>
    <row r="48" spans="1:10" x14ac:dyDescent="0.25">
      <c r="A48" s="37" t="s">
        <v>43</v>
      </c>
      <c r="B48" s="45">
        <f t="shared" si="16"/>
        <v>-141.59834999999998</v>
      </c>
      <c r="C48" s="45">
        <f t="shared" si="17"/>
        <v>4.7716600000000255</v>
      </c>
      <c r="D48" s="45">
        <f t="shared" si="18"/>
        <v>10.592710000000011</v>
      </c>
      <c r="E48" s="118">
        <f t="shared" si="19"/>
        <v>-0.94581240019926416</v>
      </c>
      <c r="F48" s="118">
        <f t="shared" si="20"/>
        <v>3.6089645746416599E-2</v>
      </c>
      <c r="G48" s="118">
        <f t="shared" si="21"/>
        <v>3.4543070678368482E-2</v>
      </c>
      <c r="H48" s="118" t="e">
        <f t="shared" si="22"/>
        <v>#N/A</v>
      </c>
      <c r="I48" s="118" t="e">
        <f t="shared" si="23"/>
        <v>#N/A</v>
      </c>
      <c r="J48" s="118" t="e">
        <f t="shared" si="24"/>
        <v>#N/A</v>
      </c>
    </row>
    <row r="49" spans="1:11" x14ac:dyDescent="0.25">
      <c r="A49" s="37" t="s">
        <v>46</v>
      </c>
      <c r="B49" s="45" t="e">
        <f t="shared" si="16"/>
        <v>#N/A</v>
      </c>
      <c r="C49" s="45" t="e">
        <f t="shared" si="17"/>
        <v>#N/A</v>
      </c>
      <c r="D49" s="45" t="e">
        <f t="shared" si="18"/>
        <v>#N/A</v>
      </c>
      <c r="E49" s="118" t="e">
        <f t="shared" si="19"/>
        <v>#N/A</v>
      </c>
      <c r="F49" s="118" t="e">
        <f t="shared" si="20"/>
        <v>#N/A</v>
      </c>
      <c r="G49" s="118" t="e">
        <f t="shared" si="21"/>
        <v>#N/A</v>
      </c>
      <c r="H49" s="118" t="e">
        <f t="shared" si="22"/>
        <v>#N/A</v>
      </c>
      <c r="I49" s="118" t="e">
        <f t="shared" si="23"/>
        <v>#N/A</v>
      </c>
      <c r="J49" s="118" t="e">
        <f t="shared" si="24"/>
        <v>#N/A</v>
      </c>
    </row>
    <row r="50" spans="1:11" x14ac:dyDescent="0.25">
      <c r="A50" s="37" t="s">
        <v>45</v>
      </c>
      <c r="B50" s="45" t="e">
        <f t="shared" si="16"/>
        <v>#N/A</v>
      </c>
      <c r="C50" s="45" t="e">
        <f t="shared" si="17"/>
        <v>#N/A</v>
      </c>
      <c r="D50" s="45" t="e">
        <f t="shared" si="18"/>
        <v>#N/A</v>
      </c>
      <c r="E50" s="118" t="e">
        <f t="shared" si="19"/>
        <v>#N/A</v>
      </c>
      <c r="F50" s="118" t="e">
        <f t="shared" si="20"/>
        <v>#N/A</v>
      </c>
      <c r="G50" s="118" t="e">
        <f t="shared" si="21"/>
        <v>#N/A</v>
      </c>
      <c r="H50" s="118" t="e">
        <f t="shared" si="22"/>
        <v>#N/A</v>
      </c>
      <c r="I50" s="118" t="e">
        <f t="shared" si="23"/>
        <v>#N/A</v>
      </c>
      <c r="J50" s="118" t="e">
        <f t="shared" si="24"/>
        <v>#N/A</v>
      </c>
    </row>
    <row r="51" spans="1:11" x14ac:dyDescent="0.25">
      <c r="A51" s="37" t="s">
        <v>28</v>
      </c>
      <c r="B51" s="45" t="e">
        <f t="shared" si="16"/>
        <v>#N/A</v>
      </c>
      <c r="C51" s="45" t="e">
        <f t="shared" si="17"/>
        <v>#N/A</v>
      </c>
      <c r="D51" s="45" t="e">
        <f t="shared" si="18"/>
        <v>#N/A</v>
      </c>
      <c r="E51" s="118" t="e">
        <f t="shared" si="19"/>
        <v>#N/A</v>
      </c>
      <c r="F51" s="118" t="e">
        <f t="shared" si="20"/>
        <v>#N/A</v>
      </c>
      <c r="G51" s="118" t="e">
        <f t="shared" si="21"/>
        <v>#N/A</v>
      </c>
      <c r="H51" s="118" t="e">
        <f t="shared" si="22"/>
        <v>#N/A</v>
      </c>
      <c r="I51" s="118" t="e">
        <f t="shared" si="23"/>
        <v>#N/A</v>
      </c>
      <c r="J51" s="118" t="e">
        <f t="shared" si="24"/>
        <v>#N/A</v>
      </c>
    </row>
    <row r="52" spans="1:11" x14ac:dyDescent="0.25">
      <c r="A52" s="37" t="s">
        <v>30</v>
      </c>
      <c r="B52" s="45">
        <f t="shared" si="16"/>
        <v>52.152509999999999</v>
      </c>
      <c r="C52" s="45">
        <f t="shared" si="17"/>
        <v>0</v>
      </c>
      <c r="D52" s="45">
        <f t="shared" si="18"/>
        <v>0</v>
      </c>
      <c r="E52" s="118" t="str">
        <f t="shared" si="19"/>
        <v/>
      </c>
      <c r="F52" s="118" t="str">
        <f t="shared" si="20"/>
        <v/>
      </c>
      <c r="G52" s="118" t="str">
        <f t="shared" si="21"/>
        <v/>
      </c>
      <c r="H52" s="118" t="e">
        <f t="shared" si="22"/>
        <v>#N/A</v>
      </c>
      <c r="I52" s="118" t="e">
        <f t="shared" si="23"/>
        <v>#N/A</v>
      </c>
      <c r="J52" s="118" t="e">
        <f t="shared" si="24"/>
        <v>#N/A</v>
      </c>
    </row>
    <row r="53" spans="1:11" x14ac:dyDescent="0.25">
      <c r="A53" s="37" t="s">
        <v>52</v>
      </c>
      <c r="B53" s="45">
        <f t="shared" si="16"/>
        <v>144.79881000000003</v>
      </c>
      <c r="C53" s="45">
        <f t="shared" si="17"/>
        <v>-6.7472799999999893</v>
      </c>
      <c r="D53" s="45">
        <f t="shared" si="18"/>
        <v>-18.078620000000029</v>
      </c>
      <c r="E53" s="118">
        <f t="shared" si="19"/>
        <v>-1</v>
      </c>
      <c r="F53" s="118">
        <f t="shared" si="20"/>
        <v>2.5860686860008641E-2</v>
      </c>
      <c r="G53" s="118">
        <f t="shared" si="21"/>
        <v>0.1074996927283931</v>
      </c>
      <c r="H53" s="118" t="e">
        <f t="shared" si="22"/>
        <v>#N/A</v>
      </c>
      <c r="I53" s="118" t="e">
        <f t="shared" si="23"/>
        <v>#N/A</v>
      </c>
      <c r="J53" s="118" t="e">
        <f t="shared" si="24"/>
        <v>#N/A</v>
      </c>
    </row>
    <row r="54" spans="1:11" x14ac:dyDescent="0.25">
      <c r="A54" s="41" t="s">
        <v>53</v>
      </c>
      <c r="B54" s="117" t="e">
        <f>SUM(B44,B45:B53)</f>
        <v>#N/A</v>
      </c>
      <c r="C54" s="42" t="e">
        <f>SUM(C44,C45:C53)</f>
        <v>#N/A</v>
      </c>
      <c r="D54" s="42" t="e">
        <f>SUM(D44,D45:D53)</f>
        <v>#N/A</v>
      </c>
      <c r="E54" s="119" t="e">
        <f t="shared" si="19"/>
        <v>#N/A</v>
      </c>
      <c r="F54" s="120" t="e">
        <f t="shared" si="20"/>
        <v>#N/A</v>
      </c>
      <c r="G54" s="120" t="e">
        <f t="shared" si="21"/>
        <v>#N/A</v>
      </c>
      <c r="H54" s="119" t="e">
        <f t="shared" si="22"/>
        <v>#N/A</v>
      </c>
      <c r="I54" s="120" t="e">
        <f t="shared" si="23"/>
        <v>#N/A</v>
      </c>
      <c r="J54" s="120" t="e">
        <f t="shared" si="24"/>
        <v>#N/A</v>
      </c>
    </row>
    <row r="56" spans="1:11" x14ac:dyDescent="0.25">
      <c r="A56" s="41" t="s">
        <v>27</v>
      </c>
      <c r="B56" s="117" t="e">
        <f>B38-E38</f>
        <v>#REF!</v>
      </c>
      <c r="C56" s="42" t="e">
        <f>C38-F38</f>
        <v>#N/A</v>
      </c>
      <c r="D56" s="42" t="e">
        <f>D38-G38</f>
        <v>#N/A</v>
      </c>
      <c r="E56" s="121" t="e">
        <f>IF(E38=0,"",B38/E38-1)</f>
        <v>#N/A</v>
      </c>
      <c r="F56" s="121" t="e">
        <f>IF(F38=0,"",C38/F38-1)</f>
        <v>#N/A</v>
      </c>
      <c r="G56" s="121" t="e">
        <f>IF(G38=0,"",D38/G38-1)</f>
        <v>#N/A</v>
      </c>
      <c r="H56" s="121" t="e">
        <f>IF(H38=0,"",B38/H38-1)</f>
        <v>#N/A</v>
      </c>
      <c r="I56" s="121" t="e">
        <f>IF(I38=0,"",C38/I38-1)</f>
        <v>#N/A</v>
      </c>
      <c r="J56" s="121" t="e">
        <f>IF(J38=0,"",D38/J38-1)</f>
        <v>#N/A</v>
      </c>
    </row>
    <row r="59" spans="1:11" x14ac:dyDescent="0.25">
      <c r="A59" s="27"/>
      <c r="B59" s="12">
        <f>E59-1</f>
        <v>2015</v>
      </c>
      <c r="C59" s="53">
        <f>IF(E60=1,E59-1,E59)</f>
        <v>2016</v>
      </c>
      <c r="D59" s="53">
        <v>2016</v>
      </c>
      <c r="E59" s="47">
        <v>2016</v>
      </c>
      <c r="F59" s="114">
        <v>2016</v>
      </c>
      <c r="G59" s="330" t="s">
        <v>57</v>
      </c>
      <c r="H59" s="331"/>
      <c r="I59" s="331"/>
      <c r="J59" s="331"/>
      <c r="K59" s="332"/>
    </row>
    <row r="60" spans="1:11" x14ac:dyDescent="0.25">
      <c r="A60" s="28" t="s">
        <v>51</v>
      </c>
      <c r="B60" s="15">
        <f>E60</f>
        <v>3</v>
      </c>
      <c r="C60" s="54">
        <f>IF(E60=1,4,E60-1)</f>
        <v>2</v>
      </c>
      <c r="D60" s="54">
        <f>E60</f>
        <v>3</v>
      </c>
      <c r="E60" s="48">
        <f>Preparação!$R$9</f>
        <v>3</v>
      </c>
      <c r="F60" s="115">
        <f>Preparação!$R$9</f>
        <v>3</v>
      </c>
      <c r="G60" s="333"/>
      <c r="H60" s="334"/>
      <c r="I60" s="334"/>
      <c r="J60" s="334"/>
      <c r="K60" s="335"/>
    </row>
    <row r="61" spans="1:11" x14ac:dyDescent="0.25">
      <c r="A61" s="58"/>
      <c r="B61" s="55" t="s">
        <v>48</v>
      </c>
      <c r="C61" s="56" t="s">
        <v>48</v>
      </c>
      <c r="D61" s="56" t="s">
        <v>48</v>
      </c>
      <c r="E61" s="48" t="s">
        <v>54</v>
      </c>
      <c r="F61" s="116" t="s">
        <v>78</v>
      </c>
      <c r="G61" s="59" t="s">
        <v>83</v>
      </c>
      <c r="H61" s="60" t="s">
        <v>82</v>
      </c>
      <c r="I61" s="60" t="s">
        <v>81</v>
      </c>
      <c r="J61" s="60" t="s">
        <v>80</v>
      </c>
      <c r="K61" s="61" t="s">
        <v>82</v>
      </c>
    </row>
    <row r="62" spans="1:11" x14ac:dyDescent="0.25">
      <c r="A62" s="37" t="s">
        <v>38</v>
      </c>
      <c r="B62" s="45" t="e">
        <f ca="1">SUM(OFFSET('Total Sales'!$A$1,MATCH($A62,'Total Sales'!$A:$A,0)-1, MATCH("CY"&amp;RIGHT(B$4,2),'Total Sales'!$B$9:$BI$9,0)+3*(B$5-1),1,3))</f>
        <v>#N/A</v>
      </c>
      <c r="C62" s="45" t="e">
        <f ca="1">SUM(OFFSET('Total Sales'!$A$1,MATCH($A62,'Total Sales'!$A:$A,0)-1, MATCH("CY"&amp;RIGHT(C$4,2),'Total Sales'!$B$9:$BI$9,0)+3*(C$5-1),1,3))</f>
        <v>#N/A</v>
      </c>
      <c r="D62" s="45" t="e">
        <f ca="1">SUM(OFFSET('Total Sales'!$A$1,MATCH($A62,'Total Sales'!$A:$A,0)-1, MATCH("CY"&amp;RIGHT(D$59,2),'Total Sales'!$B$9:$BI$9,0)+3*(D$60-1),1,3))</f>
        <v>#N/A</v>
      </c>
      <c r="E62" s="49" t="e">
        <f ca="1">SUM(OFFSET('Total Sales'!$A$1,MATCH($A62,'Total Sales'!$A:$A,0)-1, MATCH("Forecast",'Total Sales'!$B$11:$BI$11,0)+3*(E$5-1),1,3))</f>
        <v>#N/A</v>
      </c>
      <c r="F62" s="45" t="e">
        <f ca="1">SUM(OFFSET('Total Sales'!$A$1,MATCH($A62,'Total Sales'!$A:$A,0)-1, MATCH("Budget",'Total Sales'!$B$11:$BI$11,0)+3*(F$5-1),1,3))</f>
        <v>#N/A</v>
      </c>
      <c r="G62" s="38" t="e">
        <f ca="1">D62-B62</f>
        <v>#N/A</v>
      </c>
      <c r="H62" s="38" t="e">
        <f ca="1">D62-F62</f>
        <v>#N/A</v>
      </c>
      <c r="I62" s="38" t="e">
        <f ca="1">D62-C62</f>
        <v>#N/A</v>
      </c>
      <c r="J62" s="39" t="str">
        <f ca="1">IFERROR(D62/B62-1,"n.a.")</f>
        <v>n.a.</v>
      </c>
      <c r="K62" s="40" t="str">
        <f ca="1">IFERROR(D62/F62-1,"n.a.")</f>
        <v>n.a.</v>
      </c>
    </row>
    <row r="63" spans="1:11" x14ac:dyDescent="0.25">
      <c r="A63" s="37" t="s">
        <v>39</v>
      </c>
      <c r="B63" s="45" t="e">
        <f ca="1">SUM(OFFSET('Total Sales'!$A$1,MATCH($A63,'Total Sales'!$A:$A,0)-1, MATCH("CY"&amp;RIGHT(B$4,2),'Total Sales'!$B$9:$BI$9,0)+3*(B$5-1),1,3))</f>
        <v>#N/A</v>
      </c>
      <c r="C63" s="45" t="e">
        <f ca="1">SUM(OFFSET('Total Sales'!$A$1,MATCH($A63,'Total Sales'!$A:$A,0)-1, MATCH("CY"&amp;RIGHT(C$4,2),'Total Sales'!$B$9:$BI$9,0)+3*(C$5-1),1,3))</f>
        <v>#N/A</v>
      </c>
      <c r="D63" s="45" t="e">
        <f ca="1">SUM(OFFSET('Total Sales'!$A$1,MATCH($A63,'Total Sales'!$A:$A,0)-1, MATCH("CY"&amp;RIGHT(D$59,2),'Total Sales'!$B$9:$BI$9,0)+3*(D$60-1),1,3))</f>
        <v>#N/A</v>
      </c>
      <c r="E63" s="50" t="e">
        <f ca="1">SUM(OFFSET('Total Sales'!$A$1,MATCH($A63,'Total Sales'!$A:$A,0)-1, MATCH("Forecast",'Total Sales'!$B$11:$BI$11,0)+3*(E$5-1),1,3))</f>
        <v>#N/A</v>
      </c>
      <c r="F63" s="45" t="e">
        <f ca="1">SUM(OFFSET('Total Sales'!$A$1,MATCH($A63,'Total Sales'!$A:$A,0)-1, MATCH("Budget",'Total Sales'!$B$11:$BI$11,0)+3*(F$5-1),1,3))</f>
        <v>#N/A</v>
      </c>
      <c r="G63" s="38" t="e">
        <f t="shared" ref="G63:G71" ca="1" si="25">D63-B63</f>
        <v>#N/A</v>
      </c>
      <c r="H63" s="38" t="e">
        <f t="shared" ref="H63:H71" ca="1" si="26">E63-F63</f>
        <v>#N/A</v>
      </c>
      <c r="I63" s="38" t="e">
        <f t="shared" ref="I63:I71" ca="1" si="27">D63-C63</f>
        <v>#N/A</v>
      </c>
      <c r="J63" s="39" t="str">
        <f t="shared" ref="J63:J72" ca="1" si="28">IFERROR(E63/B63-1,"n.a.")</f>
        <v>n.a.</v>
      </c>
      <c r="K63" s="40" t="str">
        <f t="shared" ref="K63:K71" ca="1" si="29">IFERROR(D63/F63-1,"n.a.")</f>
        <v>n.a.</v>
      </c>
    </row>
    <row r="64" spans="1:11" x14ac:dyDescent="0.25">
      <c r="A64" s="37" t="s">
        <v>40</v>
      </c>
      <c r="B64" s="45" t="e">
        <f ca="1">SUM(OFFSET('Total Sales'!$A$1,MATCH($A64,'Total Sales'!$A:$A,0)-1, MATCH("CY"&amp;RIGHT(B$4,2),'Total Sales'!$B$9:$BI$9,0)+3*(B$5-1),1,3))</f>
        <v>#N/A</v>
      </c>
      <c r="C64" s="45" t="e">
        <f ca="1">SUM(OFFSET('Total Sales'!$A$1,MATCH($A64,'Total Sales'!$A:$A,0)-1, MATCH("CY"&amp;RIGHT(C$4,2),'Total Sales'!$B$9:$BI$9,0)+3*(C$5-1),1,3))</f>
        <v>#N/A</v>
      </c>
      <c r="D64" s="45" t="e">
        <f ca="1">SUM(OFFSET('Total Sales'!$A$1,MATCH($A64,'Total Sales'!$A:$A,0)-1, MATCH("CY"&amp;RIGHT(D$59,2),'Total Sales'!$B$9:$BI$9,0)+3*(D$60-1),1,3))</f>
        <v>#N/A</v>
      </c>
      <c r="E64" s="50">
        <f ca="1">SUM(OFFSET('Total Sales'!$A$1,MATCH($A64,'Total Sales'!$A:$A,0)-1, MATCH("Forecast",'Total Sales'!$B$11:$BI$11,0)+3*(E$5-1),1,3))</f>
        <v>93.272817999999987</v>
      </c>
      <c r="F64" s="45">
        <f ca="1">SUM(OFFSET('Total Sales'!$A$1,MATCH($A64,'Total Sales'!$A:$A,0)-1, MATCH("Budget",'Total Sales'!$B$11:$BI$11,0)+3*(F$5-1),1,3))</f>
        <v>119.44216</v>
      </c>
      <c r="G64" s="38" t="e">
        <f t="shared" ca="1" si="25"/>
        <v>#N/A</v>
      </c>
      <c r="H64" s="38">
        <f t="shared" ca="1" si="26"/>
        <v>-26.169342000000015</v>
      </c>
      <c r="I64" s="38" t="e">
        <f t="shared" ca="1" si="27"/>
        <v>#N/A</v>
      </c>
      <c r="J64" s="39" t="str">
        <f t="shared" ca="1" si="28"/>
        <v>n.a.</v>
      </c>
      <c r="K64" s="40" t="str">
        <f t="shared" ca="1" si="29"/>
        <v>n.a.</v>
      </c>
    </row>
    <row r="65" spans="1:11" x14ac:dyDescent="0.25">
      <c r="A65" s="37" t="s">
        <v>41</v>
      </c>
      <c r="B65" s="45" t="e">
        <f ca="1">SUM(OFFSET('Total Sales'!$A$1,MATCH($A65,'Total Sales'!$A:$A,0)-1, MATCH("CY"&amp;RIGHT(B$4,2),'Total Sales'!$B$9:$BI$9,0)+3*(B$5-1),1,3))</f>
        <v>#N/A</v>
      </c>
      <c r="C65" s="45" t="e">
        <f ca="1">SUM(OFFSET('Total Sales'!$A$1,MATCH($A65,'Total Sales'!$A:$A,0)-1, MATCH("CY"&amp;RIGHT(C$4,2),'Total Sales'!$B$9:$BI$9,0)+3*(C$5-1),1,3))</f>
        <v>#N/A</v>
      </c>
      <c r="D65" s="45" t="e">
        <f ca="1">SUM(OFFSET('Total Sales'!$A$1,MATCH($A65,'Total Sales'!$A:$A,0)-1, MATCH("CY"&amp;RIGHT(D$59,2),'Total Sales'!$B$9:$BI$9,0)+3*(D$60-1),1,3))</f>
        <v>#N/A</v>
      </c>
      <c r="E65" s="50">
        <f ca="1">SUM(OFFSET('Total Sales'!$A$1,MATCH($A65,'Total Sales'!$A:$A,0)-1, MATCH("Forecast",'Total Sales'!$B$11:$BI$11,0)+3*(E$5-1),1,3))</f>
        <v>19.790047000000001</v>
      </c>
      <c r="F65" s="45">
        <f ca="1">SUM(OFFSET('Total Sales'!$A$1,MATCH($A65,'Total Sales'!$A:$A,0)-1, MATCH("Budget",'Total Sales'!$B$11:$BI$11,0)+3*(F$5-1),1,3))</f>
        <v>18.499739999999999</v>
      </c>
      <c r="G65" s="38" t="e">
        <f t="shared" ca="1" si="25"/>
        <v>#N/A</v>
      </c>
      <c r="H65" s="38">
        <f t="shared" ca="1" si="26"/>
        <v>1.2903070000000021</v>
      </c>
      <c r="I65" s="38" t="e">
        <f t="shared" ca="1" si="27"/>
        <v>#N/A</v>
      </c>
      <c r="J65" s="39" t="str">
        <f t="shared" ca="1" si="28"/>
        <v>n.a.</v>
      </c>
      <c r="K65" s="40" t="str">
        <f t="shared" ca="1" si="29"/>
        <v>n.a.</v>
      </c>
    </row>
    <row r="66" spans="1:11" x14ac:dyDescent="0.25">
      <c r="A66" s="37" t="s">
        <v>43</v>
      </c>
      <c r="B66" s="45" t="e">
        <f ca="1">SUM(OFFSET('Total Sales'!$A$1,MATCH($A66,'Total Sales'!$A:$A,0)-1, MATCH("CY"&amp;RIGHT(B$4,2),'Total Sales'!$B$9:$BI$9,0)+3*(B$5-1),1,3))</f>
        <v>#N/A</v>
      </c>
      <c r="C66" s="45" t="e">
        <f ca="1">SUM(OFFSET('Total Sales'!$A$1,MATCH($A66,'Total Sales'!$A:$A,0)-1, MATCH("CY"&amp;RIGHT(C$4,2),'Total Sales'!$B$9:$BI$9,0)+3*(C$5-1),1,3))</f>
        <v>#N/A</v>
      </c>
      <c r="D66" s="45" t="e">
        <f ca="1">SUM(OFFSET('Total Sales'!$A$1,MATCH($A66,'Total Sales'!$A:$A,0)-1, MATCH("CY"&amp;RIGHT(D$59,2),'Total Sales'!$B$9:$BI$9,0)+3*(D$60-1),1,3))</f>
        <v>#N/A</v>
      </c>
      <c r="E66" s="50">
        <f ca="1">SUM(OFFSET('Total Sales'!$A$1,MATCH($A66,'Total Sales'!$A:$A,0)-1, MATCH("Forecast",'Total Sales'!$B$11:$BI$11,0)+3*(E$5-1),1,3))</f>
        <v>479.62684400000001</v>
      </c>
      <c r="F66" s="45">
        <f ca="1">SUM(OFFSET('Total Sales'!$A$1,MATCH($A66,'Total Sales'!$A:$A,0)-1, MATCH("Budget",'Total Sales'!$B$11:$BI$11,0)+3*(F$5-1),1,3))</f>
        <v>588.57992999999999</v>
      </c>
      <c r="G66" s="38" t="e">
        <f t="shared" ca="1" si="25"/>
        <v>#N/A</v>
      </c>
      <c r="H66" s="38">
        <f t="shared" ca="1" si="26"/>
        <v>-108.95308599999998</v>
      </c>
      <c r="I66" s="38" t="e">
        <f t="shared" ca="1" si="27"/>
        <v>#N/A</v>
      </c>
      <c r="J66" s="39" t="str">
        <f t="shared" ca="1" si="28"/>
        <v>n.a.</v>
      </c>
      <c r="K66" s="40" t="str">
        <f t="shared" ca="1" si="29"/>
        <v>n.a.</v>
      </c>
    </row>
    <row r="67" spans="1:11" x14ac:dyDescent="0.25">
      <c r="A67" s="37" t="s">
        <v>46</v>
      </c>
      <c r="B67" s="45" t="e">
        <f ca="1">SUM(OFFSET('Total Sales'!$A$1,MATCH($A67,'Total Sales'!$A:$A,0)-1, MATCH("CY"&amp;RIGHT(B$4,2),'Total Sales'!$B$9:$BI$9,0)+3*(B$5-1),1,3))</f>
        <v>#N/A</v>
      </c>
      <c r="C67" s="45" t="e">
        <f ca="1">SUM(OFFSET('Total Sales'!$A$1,MATCH($A67,'Total Sales'!$A:$A,0)-1, MATCH("CY"&amp;RIGHT(C$4,2),'Total Sales'!$B$9:$BI$9,0)+3*(C$5-1),1,3))</f>
        <v>#N/A</v>
      </c>
      <c r="D67" s="45" t="e">
        <f ca="1">SUM(OFFSET('Total Sales'!$A$1,MATCH($A67,'Total Sales'!$A:$A,0)-1, MATCH("CY"&amp;RIGHT(D$59,2),'Total Sales'!$B$9:$BI$9,0)+3*(D$60-1),1,3))</f>
        <v>#N/A</v>
      </c>
      <c r="E67" s="50" t="e">
        <f ca="1">SUM(OFFSET('Total Sales'!$A$1,MATCH($A67,'Total Sales'!$A:$A,0)-1, MATCH("Forecast",'Total Sales'!$B$11:$BI$11,0)+3*(E$5-1),1,3))</f>
        <v>#N/A</v>
      </c>
      <c r="F67" s="45" t="e">
        <f ca="1">SUM(OFFSET('Total Sales'!$A$1,MATCH($A67,'Total Sales'!$A:$A,0)-1, MATCH("Budget",'Total Sales'!$B$11:$BI$11,0)+3*(F$5-1),1,3))</f>
        <v>#N/A</v>
      </c>
      <c r="G67" s="38" t="e">
        <f t="shared" ca="1" si="25"/>
        <v>#N/A</v>
      </c>
      <c r="H67" s="38" t="e">
        <f t="shared" ca="1" si="26"/>
        <v>#N/A</v>
      </c>
      <c r="I67" s="38" t="e">
        <f t="shared" ca="1" si="27"/>
        <v>#N/A</v>
      </c>
      <c r="J67" s="39" t="str">
        <f t="shared" ca="1" si="28"/>
        <v>n.a.</v>
      </c>
      <c r="K67" s="40" t="str">
        <f t="shared" ca="1" si="29"/>
        <v>n.a.</v>
      </c>
    </row>
    <row r="68" spans="1:11" x14ac:dyDescent="0.25">
      <c r="A68" s="37" t="s">
        <v>45</v>
      </c>
      <c r="B68" s="45" t="e">
        <f ca="1">SUM(OFFSET('Total Sales'!$A$1,MATCH($A68,'Total Sales'!$A:$A,0)-1, MATCH("CY"&amp;RIGHT(B$4,2),'Total Sales'!$B$9:$BI$9,0)+3*(B$5-1),1,3))</f>
        <v>#N/A</v>
      </c>
      <c r="C68" s="45" t="e">
        <f ca="1">SUM(OFFSET('Total Sales'!$A$1,MATCH($A68,'Total Sales'!$A:$A,0)-1, MATCH("CY"&amp;RIGHT(C$4,2),'Total Sales'!$B$9:$BI$9,0)+3*(C$5-1),1,3))</f>
        <v>#N/A</v>
      </c>
      <c r="D68" s="45" t="e">
        <f ca="1">SUM(OFFSET('Total Sales'!$A$1,MATCH($A68,'Total Sales'!$A:$A,0)-1, MATCH("CY"&amp;RIGHT(D$59,2),'Total Sales'!$B$9:$BI$9,0)+3*(D$60-1),1,3))</f>
        <v>#N/A</v>
      </c>
      <c r="E68" s="50" t="e">
        <f ca="1">SUM(OFFSET('Total Sales'!$A$1,MATCH($A68,'Total Sales'!$A:$A,0)-1, MATCH("Forecast",'Total Sales'!$B$11:$BI$11,0)+3*(E$5-1),1,3))</f>
        <v>#N/A</v>
      </c>
      <c r="F68" s="45" t="e">
        <f ca="1">SUM(OFFSET('Total Sales'!$A$1,MATCH($A68,'Total Sales'!$A:$A,0)-1, MATCH("Budget",'Total Sales'!$B$11:$BI$11,0)+3*(F$5-1),1,3))</f>
        <v>#N/A</v>
      </c>
      <c r="G68" s="38" t="e">
        <f t="shared" ca="1" si="25"/>
        <v>#N/A</v>
      </c>
      <c r="H68" s="38" t="e">
        <f t="shared" ca="1" si="26"/>
        <v>#N/A</v>
      </c>
      <c r="I68" s="38" t="e">
        <f t="shared" ca="1" si="27"/>
        <v>#N/A</v>
      </c>
      <c r="J68" s="39" t="str">
        <f t="shared" ca="1" si="28"/>
        <v>n.a.</v>
      </c>
      <c r="K68" s="40" t="str">
        <f t="shared" ca="1" si="29"/>
        <v>n.a.</v>
      </c>
    </row>
    <row r="69" spans="1:11" x14ac:dyDescent="0.25">
      <c r="A69" s="37" t="s">
        <v>28</v>
      </c>
      <c r="B69" s="45" t="e">
        <f ca="1">SUM(OFFSET('Total Sales'!$A$1,MATCH($A69,'Total Sales'!$A:$A,0)-1, MATCH("CY"&amp;RIGHT(B$4,2),'Total Sales'!$B$9:$BI$9,0)+3*(B$5-1),1,3))</f>
        <v>#N/A</v>
      </c>
      <c r="C69" s="45" t="e">
        <f ca="1">SUM(OFFSET('Total Sales'!$A$1,MATCH($A69,'Total Sales'!$A:$A,0)-1, MATCH("CY"&amp;RIGHT(C$4,2),'Total Sales'!$B$9:$BI$9,0)+3*(C$5-1),1,3))</f>
        <v>#N/A</v>
      </c>
      <c r="D69" s="45" t="e">
        <f ca="1">SUM(OFFSET('Total Sales'!$A$1,MATCH($A69,'Total Sales'!$A:$A,0)-1, MATCH("CY"&amp;RIGHT(D$59,2),'Total Sales'!$B$9:$BI$9,0)+3*(D$60-1),1,3))</f>
        <v>#N/A</v>
      </c>
      <c r="E69" s="50" t="e">
        <f ca="1">SUM(OFFSET('Total Sales'!$A$1,MATCH($A69,'Total Sales'!$A:$A,0)-1, MATCH("Forecast",'Total Sales'!$B$11:$BI$11,0)+3*(E$5-1),1,3))</f>
        <v>#N/A</v>
      </c>
      <c r="F69" s="45" t="e">
        <f ca="1">SUM(OFFSET('Total Sales'!$A$1,MATCH($A69,'Total Sales'!$A:$A,0)-1, MATCH("Budget",'Total Sales'!$B$11:$BI$11,0)+3*(F$5-1),1,3))</f>
        <v>#N/A</v>
      </c>
      <c r="G69" s="38" t="e">
        <f t="shared" ca="1" si="25"/>
        <v>#N/A</v>
      </c>
      <c r="H69" s="38" t="e">
        <f t="shared" ca="1" si="26"/>
        <v>#N/A</v>
      </c>
      <c r="I69" s="38" t="e">
        <f t="shared" ca="1" si="27"/>
        <v>#N/A</v>
      </c>
      <c r="J69" s="39" t="str">
        <f t="shared" ca="1" si="28"/>
        <v>n.a.</v>
      </c>
      <c r="K69" s="40" t="str">
        <f t="shared" ca="1" si="29"/>
        <v>n.a.</v>
      </c>
    </row>
    <row r="70" spans="1:11" x14ac:dyDescent="0.25">
      <c r="A70" s="37" t="s">
        <v>30</v>
      </c>
      <c r="B70" s="45" t="e">
        <f ca="1">SUM(OFFSET('Total Sales'!$A$1,MATCH($A70,'Total Sales'!$A:$A,0)-1, MATCH("CY"&amp;RIGHT(B$4,2),'Total Sales'!$B$9:$BI$9,0)+3*(B$5-1),1,3))</f>
        <v>#N/A</v>
      </c>
      <c r="C70" s="45" t="e">
        <f ca="1">SUM(OFFSET('Total Sales'!$A$1,MATCH($A70,'Total Sales'!$A:$A,0)-1, MATCH("CY"&amp;RIGHT(C$4,2),'Total Sales'!$B$9:$BI$9,0)+3*(C$5-1),1,3))</f>
        <v>#N/A</v>
      </c>
      <c r="D70" s="45" t="e">
        <f ca="1">SUM(OFFSET('Total Sales'!$A$1,MATCH($A70,'Total Sales'!$A:$A,0)-1, MATCH("CY"&amp;RIGHT(D$59,2),'Total Sales'!$B$9:$BI$9,0)+3*(D$60-1),1,3))</f>
        <v>#N/A</v>
      </c>
      <c r="E70" s="50">
        <f ca="1">SUM(OFFSET('Total Sales'!$A$1,MATCH($A70,'Total Sales'!$A:$A,0)-1, MATCH("Forecast",'Total Sales'!$B$11:$BI$11,0)+3*(E$5-1),1,3))</f>
        <v>0</v>
      </c>
      <c r="F70" s="45">
        <f ca="1">SUM(OFFSET('Total Sales'!$A$1,MATCH($A70,'Total Sales'!$A:$A,0)-1, MATCH("Budget",'Total Sales'!$B$11:$BI$11,0)+3*(F$5-1),1,3))</f>
        <v>0</v>
      </c>
      <c r="G70" s="38" t="e">
        <f t="shared" ca="1" si="25"/>
        <v>#N/A</v>
      </c>
      <c r="H70" s="38">
        <f t="shared" ca="1" si="26"/>
        <v>0</v>
      </c>
      <c r="I70" s="38" t="e">
        <f t="shared" ca="1" si="27"/>
        <v>#N/A</v>
      </c>
      <c r="J70" s="39" t="str">
        <f t="shared" ca="1" si="28"/>
        <v>n.a.</v>
      </c>
      <c r="K70" s="40" t="str">
        <f t="shared" ca="1" si="29"/>
        <v>n.a.</v>
      </c>
    </row>
    <row r="71" spans="1:11" x14ac:dyDescent="0.25">
      <c r="A71" s="37" t="s">
        <v>52</v>
      </c>
      <c r="B71" s="46" t="e">
        <f ca="1">SUM(OFFSET('Total Sales'!$A$1,MATCH($A71,'Total Sales'!$A:$A,0)-1, MATCH("CY"&amp;RIGHT(B$4,2),'Total Sales'!$B$9:$BI$9,0)+3*(B$5-1),1,3))</f>
        <v>#N/A</v>
      </c>
      <c r="C71" s="46" t="e">
        <f ca="1">SUM(OFFSET('Total Sales'!$A$1,MATCH($A71,'Total Sales'!$A:$A,0)-1, MATCH("CY"&amp;RIGHT(C$4,2),'Total Sales'!$B$9:$BI$9,0)+3*(C$5-1),1,3))</f>
        <v>#N/A</v>
      </c>
      <c r="D71" s="46" t="e">
        <f ca="1">SUM(OFFSET('Total Sales'!$A$1,MATCH($A71,'Total Sales'!$A:$A,0)-1, MATCH("CY"&amp;RIGHT(D$59,2),'Total Sales'!$B$9:$BI$9,0)+3*(D$60-1),1,3))</f>
        <v>#N/A</v>
      </c>
      <c r="E71" s="50">
        <f ca="1">SUM(OFFSET('Total Sales'!$A$1,MATCH($A71,'Total Sales'!$A:$A,0)-1, MATCH("Forecast",'Total Sales'!$B$11:$BI$11,0)+3*(E$5-1),1,3))</f>
        <v>-618.90444000000002</v>
      </c>
      <c r="F71" s="46">
        <f ca="1">SUM(OFFSET('Total Sales'!$A$1,MATCH($A71,'Total Sales'!$A:$A,0)-1, MATCH("Budget",'Total Sales'!$B$11:$BI$11,0)+3*(F$5-1),1,3))</f>
        <v>-573.88126999999997</v>
      </c>
      <c r="G71" s="38" t="e">
        <f t="shared" ca="1" si="25"/>
        <v>#N/A</v>
      </c>
      <c r="H71" s="38">
        <f t="shared" ca="1" si="26"/>
        <v>-45.02317000000005</v>
      </c>
      <c r="I71" s="38" t="e">
        <f t="shared" ca="1" si="27"/>
        <v>#N/A</v>
      </c>
      <c r="J71" s="39" t="str">
        <f t="shared" ca="1" si="28"/>
        <v>n.a.</v>
      </c>
      <c r="K71" s="40" t="str">
        <f t="shared" ca="1" si="29"/>
        <v>n.a.</v>
      </c>
    </row>
    <row r="72" spans="1:11" x14ac:dyDescent="0.25">
      <c r="A72" s="41" t="s">
        <v>53</v>
      </c>
      <c r="B72" s="42" t="e">
        <f t="shared" ref="B72:G72" ca="1" si="30">SUM(B62,B63:B71)</f>
        <v>#N/A</v>
      </c>
      <c r="C72" s="42" t="e">
        <f t="shared" ca="1" si="30"/>
        <v>#N/A</v>
      </c>
      <c r="D72" s="42" t="e">
        <f t="shared" ca="1" si="30"/>
        <v>#N/A</v>
      </c>
      <c r="E72" s="108" t="e">
        <f t="shared" ca="1" si="30"/>
        <v>#N/A</v>
      </c>
      <c r="F72" s="113" t="e">
        <f t="shared" ca="1" si="30"/>
        <v>#N/A</v>
      </c>
      <c r="G72" s="42" t="e">
        <f t="shared" ca="1" si="30"/>
        <v>#N/A</v>
      </c>
      <c r="H72" s="42" t="e">
        <f ca="1">E72-F72</f>
        <v>#N/A</v>
      </c>
      <c r="I72" s="42" t="e">
        <f t="shared" ref="I72" ca="1" si="31">E72-B72</f>
        <v>#N/A</v>
      </c>
      <c r="J72" s="43" t="str">
        <f t="shared" ca="1" si="28"/>
        <v>n.a.</v>
      </c>
      <c r="K72" s="44" t="str">
        <f t="shared" ref="K72" ca="1" si="32">IFERROR(E72/C72-1,"n.a.")</f>
        <v>n.a.</v>
      </c>
    </row>
    <row r="74" spans="1:11" x14ac:dyDescent="0.25">
      <c r="A74" s="41" t="s">
        <v>27</v>
      </c>
      <c r="B74" s="42" t="e">
        <f ca="1">SUM(OFFSET('Total Sales'!$A$1,MATCH($A74,'Total Sales'!$A:$A,0)-1, MATCH("CY"&amp;RIGHT(B$4,2),'Total Sales'!$B$9:$BI$9,0)+3*(B$5-1),1,3))</f>
        <v>#N/A</v>
      </c>
      <c r="C74" s="42" t="e">
        <f ca="1">SUM(OFFSET('Total Sales'!$A$1,MATCH($A74,'Total Sales'!$A:$A,0)-1, MATCH("CY"&amp;RIGHT(C$4,2),'Total Sales'!$B$9:$BI$9,0)+3*(C$5-1),1,3))</f>
        <v>#N/A</v>
      </c>
      <c r="D74" s="42" t="e">
        <f ca="1">SUM(OFFSET('Total Sales'!$A$1,MATCH($A74,'Total Sales'!$A:$A,0)-1, MATCH("CY"&amp;RIGHT(D$59,2),'Total Sales'!$B$9:$BI$9,0)+3*(D$60-1),1,3))</f>
        <v>#N/A</v>
      </c>
      <c r="E74" s="108" t="e">
        <f ca="1">SUM(OFFSET('Total Sales'!$A$1,MATCH($A74,'Total Sales'!$A:$A,0)-1, MATCH("Forecast",'Total Sales'!$B$11:$BI$11,0)+3*(E$5-1),1,3))</f>
        <v>#N/A</v>
      </c>
      <c r="F74" s="113" t="e">
        <f ca="1">SUM(OFFSET('Total Sales'!$A$1,MATCH($A74,'Total Sales'!$A:$A,0)-1, MATCH("Budget",'Total Sales'!$B$11:$BI$11,0)+3*(F$5-1),1,3))</f>
        <v>#N/A</v>
      </c>
      <c r="G74" s="42" t="e">
        <f t="shared" ref="G74" ca="1" si="33">D74-B74</f>
        <v>#N/A</v>
      </c>
      <c r="H74" s="42" t="e">
        <f t="shared" ref="H74" ca="1" si="34">E74-F74</f>
        <v>#N/A</v>
      </c>
      <c r="I74" s="42" t="e">
        <f ca="1">D74-C74</f>
        <v>#N/A</v>
      </c>
      <c r="J74" s="43" t="str">
        <f t="shared" ref="J74" ca="1" si="35">IFERROR(E74/B74-1,"n.a.")</f>
        <v>n.a.</v>
      </c>
      <c r="K74" s="44" t="str">
        <f t="shared" ref="K74" ca="1" si="36">IFERROR(D74/F74-1,"n.a.")</f>
        <v>n.a.</v>
      </c>
    </row>
  </sheetData>
  <mergeCells count="2">
    <mergeCell ref="G4:K5"/>
    <mergeCell ref="G59:K60"/>
  </mergeCells>
  <conditionalFormatting sqref="D23:D35 D44:D53 G44:G53 J44:J53">
    <cfRule type="expression" dxfId="23" priority="40">
      <formula>$D$25="FOR"</formula>
    </cfRule>
  </conditionalFormatting>
  <conditionalFormatting sqref="B23:B25">
    <cfRule type="expression" dxfId="22" priority="42">
      <formula>$B$25="FOR"</formula>
    </cfRule>
  </conditionalFormatting>
  <conditionalFormatting sqref="C23:C35 C44:C53 F44:F53 I44:I53">
    <cfRule type="expression" dxfId="21" priority="41">
      <formula>$C$25="FOR"</formula>
    </cfRule>
  </conditionalFormatting>
  <conditionalFormatting sqref="C36">
    <cfRule type="expression" dxfId="20" priority="39">
      <formula>$C$25="FOR"</formula>
    </cfRule>
  </conditionalFormatting>
  <conditionalFormatting sqref="D36">
    <cfRule type="expression" dxfId="19" priority="36">
      <formula>$D$25="FOR"</formula>
    </cfRule>
  </conditionalFormatting>
  <conditionalFormatting sqref="D41:D43">
    <cfRule type="expression" dxfId="18" priority="25">
      <formula>$D$25="FOR"</formula>
    </cfRule>
  </conditionalFormatting>
  <conditionalFormatting sqref="B41:B43">
    <cfRule type="expression" dxfId="17" priority="27">
      <formula>$B$25="FOR"</formula>
    </cfRule>
  </conditionalFormatting>
  <conditionalFormatting sqref="C41:C43">
    <cfRule type="expression" dxfId="16" priority="26">
      <formula>$C$25="FOR"</formula>
    </cfRule>
  </conditionalFormatting>
  <conditionalFormatting sqref="C54">
    <cfRule type="expression" dxfId="15" priority="24">
      <formula>$C$25="FOR"</formula>
    </cfRule>
  </conditionalFormatting>
  <conditionalFormatting sqref="D54">
    <cfRule type="expression" dxfId="14" priority="21">
      <formula>$D$25="FOR"</formula>
    </cfRule>
  </conditionalFormatting>
  <conditionalFormatting sqref="G41:G43">
    <cfRule type="expression" dxfId="13" priority="18">
      <formula>$D$25="FOR"</formula>
    </cfRule>
  </conditionalFormatting>
  <conditionalFormatting sqref="E41:E43">
    <cfRule type="expression" dxfId="12" priority="20">
      <formula>$B$25="FOR"</formula>
    </cfRule>
  </conditionalFormatting>
  <conditionalFormatting sqref="F41:F43">
    <cfRule type="expression" dxfId="11" priority="19">
      <formula>$C$25="FOR"</formula>
    </cfRule>
  </conditionalFormatting>
  <conditionalFormatting sqref="F54">
    <cfRule type="expression" dxfId="10" priority="17">
      <formula>$C$25="FOR"</formula>
    </cfRule>
  </conditionalFormatting>
  <conditionalFormatting sqref="G54">
    <cfRule type="expression" dxfId="9" priority="14">
      <formula>$D$25="FOR"</formula>
    </cfRule>
  </conditionalFormatting>
  <conditionalFormatting sqref="C38">
    <cfRule type="expression" dxfId="8" priority="11">
      <formula>$C$25="FOR"</formula>
    </cfRule>
  </conditionalFormatting>
  <conditionalFormatting sqref="D38">
    <cfRule type="expression" dxfId="7" priority="10">
      <formula>$D$25="FOR"</formula>
    </cfRule>
  </conditionalFormatting>
  <conditionalFormatting sqref="C56">
    <cfRule type="expression" dxfId="6" priority="9">
      <formula>$C$25="FOR"</formula>
    </cfRule>
  </conditionalFormatting>
  <conditionalFormatting sqref="D56">
    <cfRule type="expression" dxfId="5" priority="8">
      <formula>$D$25="FOR"</formula>
    </cfRule>
  </conditionalFormatting>
  <conditionalFormatting sqref="J41:J43">
    <cfRule type="expression" dxfId="4" priority="5">
      <formula>$D$25="FOR"</formula>
    </cfRule>
  </conditionalFormatting>
  <conditionalFormatting sqref="H41:H43">
    <cfRule type="expression" dxfId="3" priority="7">
      <formula>$B$25="FOR"</formula>
    </cfRule>
  </conditionalFormatting>
  <conditionalFormatting sqref="I41:I43">
    <cfRule type="expression" dxfId="2" priority="6">
      <formula>$C$25="FOR"</formula>
    </cfRule>
  </conditionalFormatting>
  <conditionalFormatting sqref="I54">
    <cfRule type="expression" dxfId="1" priority="4">
      <formula>$C$25="FOR"</formula>
    </cfRule>
  </conditionalFormatting>
  <conditionalFormatting sqref="J54">
    <cfRule type="expression" dxfId="0" priority="1">
      <formula>$D$25="FOR"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1"/>
  <ignoredErrors>
    <ignoredError sqref="C26:C34 C38 C3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V47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4" width="10.7109375" customWidth="1"/>
    <col min="5" max="5" width="2.85546875" customWidth="1"/>
    <col min="6" max="6" width="9.5703125" bestFit="1" customWidth="1"/>
    <col min="7" max="7" width="8.85546875" customWidth="1"/>
    <col min="17" max="17" width="11" bestFit="1" customWidth="1"/>
    <col min="18" max="18" width="10.7109375" bestFit="1" customWidth="1"/>
  </cols>
  <sheetData>
    <row r="1" spans="1:22" ht="14.45" x14ac:dyDescent="0.35">
      <c r="B1" t="s">
        <v>84</v>
      </c>
      <c r="R1" s="78">
        <v>1</v>
      </c>
      <c r="S1" s="78">
        <v>2</v>
      </c>
      <c r="T1" s="78">
        <v>3</v>
      </c>
      <c r="U1" s="78">
        <v>4</v>
      </c>
      <c r="V1" s="8" t="s">
        <v>88</v>
      </c>
    </row>
    <row r="2" spans="1:22" ht="14.45" x14ac:dyDescent="0.35">
      <c r="A2">
        <v>7</v>
      </c>
      <c r="F2" s="8">
        <f>B3</f>
        <v>2019</v>
      </c>
      <c r="G2" s="8">
        <f>F2</f>
        <v>2019</v>
      </c>
      <c r="H2" s="8">
        <f>F2-1</f>
        <v>2018</v>
      </c>
      <c r="I2" s="8">
        <f>G2</f>
        <v>2019</v>
      </c>
      <c r="Q2" t="s">
        <v>65</v>
      </c>
      <c r="R2" s="4">
        <f ca="1">SUM(OFFSET('Total Sales'!$A$1,MATCH('Mtd Dashboard'!$B$2,'Total Sales'!$A:$A,0)-1,(Preparação!R$1-1)*3+1,1,3))</f>
        <v>4305.0667869999997</v>
      </c>
      <c r="S2" s="4">
        <f ca="1">SUM(OFFSET('Total Sales'!$A$1,MATCH('Mtd Dashboard'!$B$2,'Total Sales'!$A:$A,0)-1,(Preparação!S$1-1)*3+1,1,3))</f>
        <v>6017.098215</v>
      </c>
      <c r="T2" s="4">
        <f ca="1">SUM(OFFSET('Total Sales'!$A$1,MATCH('Mtd Dashboard'!$B$2,'Total Sales'!$A:$A,0)-1,(Preparação!T$1-1)*3+1,1,3))</f>
        <v>903.94710400000008</v>
      </c>
      <c r="U2" s="4">
        <f ca="1">SUM(OFFSET('Total Sales'!$A$1,MATCH('Mtd Dashboard'!$B$2,'Total Sales'!$A:$A,0)-1,(Preparação!U$1-1)*3+1,1,3))</f>
        <v>0</v>
      </c>
    </row>
    <row r="3" spans="1:22" ht="14.45" x14ac:dyDescent="0.35">
      <c r="B3" s="8">
        <v>2019</v>
      </c>
      <c r="C3" s="8">
        <f>B3-1</f>
        <v>2018</v>
      </c>
      <c r="D3" s="8" t="s">
        <v>54</v>
      </c>
      <c r="E3" s="8"/>
      <c r="F3" s="8" t="s">
        <v>48</v>
      </c>
      <c r="G3" s="8" t="s">
        <v>54</v>
      </c>
      <c r="H3" s="8" t="s">
        <v>48</v>
      </c>
      <c r="I3" s="8" t="s">
        <v>74</v>
      </c>
      <c r="J3" s="8"/>
      <c r="K3" s="8"/>
      <c r="L3" s="8"/>
      <c r="Q3" t="s">
        <v>66</v>
      </c>
      <c r="R3" s="4"/>
      <c r="S3" s="4"/>
      <c r="T3" s="4"/>
      <c r="U3" s="4">
        <v>4250</v>
      </c>
    </row>
    <row r="4" spans="1:22" ht="14.45" x14ac:dyDescent="0.35">
      <c r="A4" s="36">
        <v>42005</v>
      </c>
      <c r="B4" s="4">
        <f>IF(MONTH($A4)&lt;=$A$2,F4,NA())</f>
        <v>824.68546600000002</v>
      </c>
      <c r="C4" s="4">
        <f>H4</f>
        <v>418.50155299999994</v>
      </c>
      <c r="D4" s="4" t="e">
        <f>IF(MONTH($A4)=$A$2,$F4,IF(MONTH($A4)&lt;=$A$2,NA(),$G4))</f>
        <v>#N/A</v>
      </c>
      <c r="E4" s="9"/>
      <c r="F4" s="4">
        <f>INDEX('Total Sales'!$A:$AK,MATCH('Mtd Dashboard'!$B$2,'Total Sales'!$A:$A,0),MATCH("CY" &amp;RIGHT(F$2,2),'Total Sales'!$9:$9,0)+MONTH($A4)-1)</f>
        <v>824.68546600000002</v>
      </c>
      <c r="G4" s="4">
        <f>INDEX('Total Sales'!$A:$AK,MATCH('Mtd Dashboard'!$B$2,'Total Sales'!$A:$A,0),MATCH("Forecast",'Total Sales'!$11:$11,0)+MONTH($A4)-1)</f>
        <v>824.68546600000013</v>
      </c>
      <c r="H4" s="4">
        <f>INDEX('Total Sales'!$A:$AK,MATCH('Mtd Dashboard'!$B$2,'Total Sales'!$A:$A,0),MATCH("CY" &amp;RIGHT(H$2,2),'Total Sales'!$9:$9,0)+MONTH($A4)-1)</f>
        <v>418.50155299999994</v>
      </c>
      <c r="I4" s="4">
        <f>INDEX('Total Sales'!$A:$BI,MATCH('Mtd Dashboard'!$B$2,'Total Sales'!$A:$A,0),MATCH("Budget",'Total Sales'!$11:$11,0)+MONTH($A4)-1)</f>
        <v>1092.3024300000002</v>
      </c>
      <c r="M4" t="s">
        <v>7</v>
      </c>
      <c r="N4" s="4">
        <f ca="1">SUM(OFFSET(I4,0,0,MAX(1,A2),1))</f>
        <v>12663.804563750688</v>
      </c>
      <c r="O4" t="e">
        <f>NA()</f>
        <v>#N/A</v>
      </c>
      <c r="Q4" t="s">
        <v>67</v>
      </c>
      <c r="R4" s="4"/>
      <c r="S4" s="4"/>
      <c r="T4" s="4"/>
      <c r="U4" s="4">
        <v>530</v>
      </c>
    </row>
    <row r="5" spans="1:22" ht="14.45" x14ac:dyDescent="0.35">
      <c r="A5" s="36">
        <v>42036</v>
      </c>
      <c r="B5" s="4">
        <f t="shared" ref="B5:B15" si="0">IF(MONTH($A5)&lt;=$A$2,F5,NA())</f>
        <v>860.37697700000001</v>
      </c>
      <c r="C5" s="4">
        <f t="shared" ref="C5:C15" si="1">H5</f>
        <v>1304.7029029999999</v>
      </c>
      <c r="D5" s="4" t="e">
        <f t="shared" ref="D5:D15" si="2">IF(MONTH($A5)=$A$2,$F5,IF(MONTH($A5)&lt;=$A$2,NA(),$G5))</f>
        <v>#N/A</v>
      </c>
      <c r="E5" s="9"/>
      <c r="F5" s="4">
        <f>INDEX('Total Sales'!$A:$AK,MATCH('Mtd Dashboard'!$B$2,'Total Sales'!$A:$A,0),MATCH("CY" &amp;RIGHT(F$2,2),'Total Sales'!$9:$9,0)+MONTH($A5)-1)</f>
        <v>860.37697700000001</v>
      </c>
      <c r="G5" s="4">
        <f>INDEX('Total Sales'!$A:$AK,MATCH('Mtd Dashboard'!$B$2,'Total Sales'!$A:$A,0),MATCH("Forecast",'Total Sales'!$11:$11,0)+MONTH($A5)-1)</f>
        <v>860.37697700000001</v>
      </c>
      <c r="H5" s="4">
        <f>INDEX('Total Sales'!$A:$AK,MATCH('Mtd Dashboard'!$B$2,'Total Sales'!$A:$A,0),MATCH("CY" &amp;RIGHT(H$2,2),'Total Sales'!$9:$9,0)+MONTH($A5)-1)</f>
        <v>1304.7029029999999</v>
      </c>
      <c r="I5" s="4">
        <f>INDEX('Total Sales'!$A:$BI,MATCH('Mtd Dashboard'!$B$2,'Total Sales'!$A:$A,0),MATCH("Budget",'Total Sales'!$11:$11,0)+MONTH($A5)-1)</f>
        <v>1201.9807399999997</v>
      </c>
      <c r="M5">
        <f>C3</f>
        <v>2018</v>
      </c>
      <c r="N5" s="4">
        <f ca="1">SUM(OFFSET(C4,0,0,MAX(1,A2),1))</f>
        <v>8313.6365839999999</v>
      </c>
      <c r="O5" s="105">
        <v>0</v>
      </c>
      <c r="Q5" t="s">
        <v>7</v>
      </c>
      <c r="R5" s="4">
        <f ca="1">SUM(OFFSET('Total Sales'!$A$1,MATCH('Mtd Dashboard'!$B$2,'Total Sales'!$A:$A,0)-1,MATCH("Budget",'Total Sales'!$B$11:$BI$11,0)+(Preparação!R$1-1)*3,1,3))</f>
        <v>5249.0523568753442</v>
      </c>
      <c r="S5" s="4">
        <f ca="1">SUM(OFFSET('Total Sales'!$A$1,MATCH('Mtd Dashboard'!$B$2,'Total Sales'!$A:$A,0)-1,MATCH("Budget",'Total Sales'!$B$11:$BI$11,0)+(Preparação!S$1-1)*3,1,3))</f>
        <v>5841.1310368753439</v>
      </c>
      <c r="T5" s="4">
        <f ca="1">SUM(OFFSET('Total Sales'!$A$1,MATCH('Mtd Dashboard'!$B$2,'Total Sales'!$A:$A,0)-1,MATCH("Budget",'Total Sales'!$B$11:$BI$11,0)+(Preparação!T$1-1)*3,1,3))</f>
        <v>5782.9994217935418</v>
      </c>
      <c r="U5" s="4">
        <f ca="1">SUM(OFFSET('Total Sales'!$A$1,MATCH('Mtd Dashboard'!$B$2,'Total Sales'!$A:$A,0)-1,MATCH("Budget",'Total Sales'!$B$11:$BI$11,0)+(Preparação!U$1-1)*3,1,3))</f>
        <v>5203.5117368753436</v>
      </c>
      <c r="V5" s="80">
        <f ca="1">SUM(R5:U5)</f>
        <v>22076.694552419576</v>
      </c>
    </row>
    <row r="6" spans="1:22" ht="14.45" x14ac:dyDescent="0.35">
      <c r="A6" s="36">
        <v>42064</v>
      </c>
      <c r="B6" s="4">
        <f t="shared" si="0"/>
        <v>2620.0043439999999</v>
      </c>
      <c r="C6" s="4">
        <f t="shared" si="1"/>
        <v>1591.6693579999996</v>
      </c>
      <c r="D6" s="4" t="e">
        <f t="shared" si="2"/>
        <v>#N/A</v>
      </c>
      <c r="E6" s="9"/>
      <c r="F6" s="4">
        <f>INDEX('Total Sales'!$A:$AK,MATCH('Mtd Dashboard'!$B$2,'Total Sales'!$A:$A,0),MATCH("CY" &amp;RIGHT(F$2,2),'Total Sales'!$9:$9,0)+MONTH($A6)-1)</f>
        <v>2620.0043439999999</v>
      </c>
      <c r="G6" s="4">
        <f>INDEX('Total Sales'!$A:$AK,MATCH('Mtd Dashboard'!$B$2,'Total Sales'!$A:$A,0),MATCH("Forecast",'Total Sales'!$11:$11,0)+MONTH($A6)-1)</f>
        <v>2620.0043439999995</v>
      </c>
      <c r="H6" s="4">
        <f>INDEX('Total Sales'!$A:$AK,MATCH('Mtd Dashboard'!$B$2,'Total Sales'!$A:$A,0),MATCH("CY" &amp;RIGHT(H$2,2),'Total Sales'!$9:$9,0)+MONTH($A6)-1)</f>
        <v>1591.6693579999996</v>
      </c>
      <c r="I6" s="4">
        <f>INDEX('Total Sales'!$A:$BI,MATCH('Mtd Dashboard'!$B$2,'Total Sales'!$A:$A,0),MATCH("Budget",'Total Sales'!$11:$11,0)+MONTH($A6)-1)</f>
        <v>2954.7691868753445</v>
      </c>
      <c r="M6">
        <f>B3</f>
        <v>2019</v>
      </c>
      <c r="N6" s="4">
        <f ca="1">IF(A2=0,D4,SUM(OFFSET(B4,0,0,A2,1)))</f>
        <v>11226.112106000002</v>
      </c>
      <c r="O6" s="2">
        <f ca="1">N6/N5-1</f>
        <v>0.35032509450860583</v>
      </c>
      <c r="Q6" t="s">
        <v>69</v>
      </c>
      <c r="R6" s="4">
        <f ca="1">SUM(OFFSET('Total Sales'!$A$1,MATCH('Mtd Dashboard'!$B$2,'Total Sales'!$A:$A,0)-1,MATCH("CY" &amp;RIGHT($C$3,2),'Total Sales'!$B$9:$BI$9,0)+(Preparação!R$1-1)*3,1,3))</f>
        <v>3314.8738139999996</v>
      </c>
      <c r="S6" s="4">
        <f ca="1">SUM(OFFSET('Total Sales'!$A$1,MATCH('Mtd Dashboard'!$B$2,'Total Sales'!$A:$A,0)-1,MATCH("CY" &amp;RIGHT($C$3,2),'Total Sales'!$B$9:$BI$9,0)+(Preparação!S$1-1)*3,1,3))</f>
        <v>4255.9270580000002</v>
      </c>
      <c r="T6" s="4">
        <f ca="1">SUM(OFFSET('Total Sales'!$A$1,MATCH('Mtd Dashboard'!$B$2,'Total Sales'!$A:$A,0)-1,MATCH("CY" &amp;RIGHT($C$3,2),'Total Sales'!$B$9:$BI$9,0)+(Preparação!T$1-1)*3,1,3))</f>
        <v>4808.0935200000004</v>
      </c>
      <c r="U6" s="4">
        <f ca="1">SUM(OFFSET('Total Sales'!$A$1,MATCH('Mtd Dashboard'!$B$2,'Total Sales'!$A:$A,0)-1,MATCH("CY" &amp;RIGHT($C$3,2),'Total Sales'!$B$9:$BI$9,0)+(Preparação!U$1-1)*3,1,3))</f>
        <v>5050.3341579999997</v>
      </c>
      <c r="V6" s="80">
        <f ca="1">SUM(R6:U6)</f>
        <v>17429.22855</v>
      </c>
    </row>
    <row r="7" spans="1:22" ht="14.45" x14ac:dyDescent="0.35">
      <c r="A7" s="36">
        <v>42095</v>
      </c>
      <c r="B7" s="4">
        <f t="shared" si="0"/>
        <v>791.50460600000008</v>
      </c>
      <c r="C7" s="4">
        <f t="shared" si="1"/>
        <v>728.1378390000001</v>
      </c>
      <c r="D7" s="4" t="e">
        <f t="shared" si="2"/>
        <v>#N/A</v>
      </c>
      <c r="E7" s="9"/>
      <c r="F7" s="4">
        <f>INDEX('Total Sales'!$A:$AK,MATCH('Mtd Dashboard'!$B$2,'Total Sales'!$A:$A,0),MATCH("CY" &amp;RIGHT(F$2,2),'Total Sales'!$9:$9,0)+MONTH($A7)-1)</f>
        <v>791.50460600000008</v>
      </c>
      <c r="G7" s="4">
        <f>INDEX('Total Sales'!$A:$AK,MATCH('Mtd Dashboard'!$B$2,'Total Sales'!$A:$A,0),MATCH("Forecast",'Total Sales'!$11:$11,0)+MONTH($A7)-1)</f>
        <v>791.50460600000031</v>
      </c>
      <c r="H7" s="4">
        <f>INDEX('Total Sales'!$A:$AK,MATCH('Mtd Dashboard'!$B$2,'Total Sales'!$A:$A,0),MATCH("CY" &amp;RIGHT(H$2,2),'Total Sales'!$9:$9,0)+MONTH($A7)-1)</f>
        <v>728.1378390000001</v>
      </c>
      <c r="I7" s="4">
        <f>INDEX('Total Sales'!$A:$BI,MATCH('Mtd Dashboard'!$B$2,'Total Sales'!$A:$A,0),MATCH("Budget",'Total Sales'!$11:$11,0)+MONTH($A7)-1)</f>
        <v>1378.0100299999997</v>
      </c>
      <c r="N7" s="4"/>
      <c r="O7" s="2"/>
      <c r="Q7" t="s">
        <v>68</v>
      </c>
      <c r="R7" s="4">
        <f ca="1">SUM(OFFSET('Total Sales'!$A$1,MATCH('Mtd Dashboard'!$B$2,'Total Sales'!$A:$A,0)-1,MATCH("Forecast",'Total Sales'!$B$11:$BI$11,0)+(Preparação!R$1-1)*3,1,3))</f>
        <v>4305.0667869999997</v>
      </c>
      <c r="S7" s="4">
        <f ca="1">SUM(OFFSET('Total Sales'!$A$1,MATCH('Mtd Dashboard'!$B$2,'Total Sales'!$A:$A,0)-1,MATCH("Forecast",'Total Sales'!$B$11:$BI$11,0)+(Preparação!S$1-1)*3,1,3))</f>
        <v>6017.0982150000009</v>
      </c>
      <c r="T7" s="4">
        <f ca="1">SUM(OFFSET('Total Sales'!$A$1,MATCH('Mtd Dashboard'!$B$2,'Total Sales'!$A:$A,0)-1,MATCH("Forecast",'Total Sales'!$B$11:$BI$11,0)+(Preparação!T$1-1)*3,1,3))</f>
        <v>5788.1941924964121</v>
      </c>
      <c r="U7" s="4">
        <f ca="1">SUM(OFFSET('Total Sales'!$A$1,MATCH('Mtd Dashboard'!$B$2,'Total Sales'!$A:$A,0)-1,MATCH("Forecast",'Total Sales'!$B$11:$BI$11,0)+(Preparação!U$1-1)*3,1,3))</f>
        <v>5407.3973310719157</v>
      </c>
      <c r="V7" s="80">
        <f ca="1">SUM(R7:U7)</f>
        <v>21517.756525568329</v>
      </c>
    </row>
    <row r="8" spans="1:22" ht="14.45" x14ac:dyDescent="0.35">
      <c r="A8" s="36">
        <v>42125</v>
      </c>
      <c r="B8" s="4">
        <f t="shared" si="0"/>
        <v>1627.5473919999999</v>
      </c>
      <c r="C8" s="4">
        <f t="shared" si="1"/>
        <v>1245.402159</v>
      </c>
      <c r="D8" s="4" t="e">
        <f t="shared" si="2"/>
        <v>#N/A</v>
      </c>
      <c r="E8" s="9"/>
      <c r="F8" s="4">
        <f>INDEX('Total Sales'!$A:$AK,MATCH('Mtd Dashboard'!$B$2,'Total Sales'!$A:$A,0),MATCH("CY" &amp;RIGHT(F$2,2),'Total Sales'!$9:$9,0)+MONTH($A8)-1)</f>
        <v>1627.5473919999999</v>
      </c>
      <c r="G8" s="4">
        <f>INDEX('Total Sales'!$A:$AK,MATCH('Mtd Dashboard'!$B$2,'Total Sales'!$A:$A,0),MATCH("Forecast",'Total Sales'!$11:$11,0)+MONTH($A8)-1)</f>
        <v>1627.5473920000004</v>
      </c>
      <c r="H8" s="4">
        <f>INDEX('Total Sales'!$A:$AK,MATCH('Mtd Dashboard'!$B$2,'Total Sales'!$A:$A,0),MATCH("CY" &amp;RIGHT(H$2,2),'Total Sales'!$9:$9,0)+MONTH($A8)-1)</f>
        <v>1245.402159</v>
      </c>
      <c r="I8" s="4">
        <f>INDEX('Total Sales'!$A:$BI,MATCH('Mtd Dashboard'!$B$2,'Total Sales'!$A:$A,0),MATCH("Budget",'Total Sales'!$11:$11,0)+MONTH($A8)-1)</f>
        <v>2598.4580000000001</v>
      </c>
    </row>
    <row r="9" spans="1:22" x14ac:dyDescent="0.25">
      <c r="A9" s="36">
        <v>42156</v>
      </c>
      <c r="B9" s="4">
        <f t="shared" si="0"/>
        <v>3598.0462170000005</v>
      </c>
      <c r="C9" s="4">
        <f t="shared" si="1"/>
        <v>2282.38706</v>
      </c>
      <c r="D9" s="4" t="e">
        <f t="shared" si="2"/>
        <v>#N/A</v>
      </c>
      <c r="E9" s="9"/>
      <c r="F9" s="4">
        <f>INDEX('Total Sales'!$A:$AK,MATCH('Mtd Dashboard'!$B$2,'Total Sales'!$A:$A,0),MATCH("CY" &amp;RIGHT(F$2,2),'Total Sales'!$9:$9,0)+MONTH($A9)-1)</f>
        <v>3598.0462170000005</v>
      </c>
      <c r="G9" s="4">
        <f>INDEX('Total Sales'!$A:$AK,MATCH('Mtd Dashboard'!$B$2,'Total Sales'!$A:$A,0),MATCH("Forecast",'Total Sales'!$11:$11,0)+MONTH($A9)-1)</f>
        <v>3598.0462170000001</v>
      </c>
      <c r="H9" s="4">
        <f>INDEX('Total Sales'!$A:$AK,MATCH('Mtd Dashboard'!$B$2,'Total Sales'!$A:$A,0),MATCH("CY" &amp;RIGHT(H$2,2),'Total Sales'!$9:$9,0)+MONTH($A9)-1)</f>
        <v>2282.38706</v>
      </c>
      <c r="I9" s="4">
        <f>INDEX('Total Sales'!$A:$BI,MATCH('Mtd Dashboard'!$B$2,'Total Sales'!$A:$A,0),MATCH("Budget",'Total Sales'!$11:$11,0)+MONTH($A9)-1)</f>
        <v>1864.6630068753443</v>
      </c>
      <c r="M9" t="s">
        <v>105</v>
      </c>
      <c r="R9" s="78">
        <f>ROUNDUP(A2/3,0)</f>
        <v>3</v>
      </c>
      <c r="S9" s="8" t="s">
        <v>70</v>
      </c>
      <c r="T9" s="8" t="s">
        <v>7</v>
      </c>
    </row>
    <row r="10" spans="1:22" x14ac:dyDescent="0.25">
      <c r="A10" s="36">
        <v>42186</v>
      </c>
      <c r="B10" s="4">
        <f t="shared" si="0"/>
        <v>903.94710400000008</v>
      </c>
      <c r="C10" s="4">
        <f t="shared" si="1"/>
        <v>742.83571200000006</v>
      </c>
      <c r="D10" s="4">
        <f t="shared" si="2"/>
        <v>903.94710400000008</v>
      </c>
      <c r="E10" s="9"/>
      <c r="F10" s="4">
        <f>INDEX('Total Sales'!$A:$AK,MATCH('Mtd Dashboard'!$B$2,'Total Sales'!$A:$A,0),MATCH("CY" &amp;RIGHT(F$2,2),'Total Sales'!$9:$9,0)+MONTH($A10)-1)</f>
        <v>903.94710400000008</v>
      </c>
      <c r="G10" s="4">
        <f>INDEX('Total Sales'!$A:$AK,MATCH('Mtd Dashboard'!$B$2,'Total Sales'!$A:$A,0),MATCH("Forecast",'Total Sales'!$11:$11,0)+MONTH($A10)-1)</f>
        <v>903.94710399999997</v>
      </c>
      <c r="H10" s="4">
        <f>INDEX('Total Sales'!$A:$AK,MATCH('Mtd Dashboard'!$B$2,'Total Sales'!$A:$A,0),MATCH("CY" &amp;RIGHT(H$2,2),'Total Sales'!$9:$9,0)+MONTH($A10)-1)</f>
        <v>742.83571200000006</v>
      </c>
      <c r="I10" s="4">
        <f>INDEX('Total Sales'!$A:$BI,MATCH('Mtd Dashboard'!$B$2,'Total Sales'!$A:$A,0),MATCH("Budget",'Total Sales'!$11:$11,0)+MONTH($A10)-1)</f>
        <v>1573.6211699999999</v>
      </c>
      <c r="M10" t="s">
        <v>104</v>
      </c>
      <c r="Q10" t="s">
        <v>65</v>
      </c>
      <c r="R10" s="80">
        <f ca="1">OFFSET(Q2,0,$R$9)</f>
        <v>903.94710400000008</v>
      </c>
      <c r="S10" s="80">
        <f ca="1">R10</f>
        <v>903.94710400000008</v>
      </c>
    </row>
    <row r="11" spans="1:22" x14ac:dyDescent="0.25">
      <c r="A11" s="36">
        <v>42217</v>
      </c>
      <c r="B11" s="4" t="e">
        <f t="shared" si="0"/>
        <v>#N/A</v>
      </c>
      <c r="C11" s="4">
        <f t="shared" si="1"/>
        <v>741.48058200000003</v>
      </c>
      <c r="D11" s="4">
        <f t="shared" si="2"/>
        <v>2086.2379900000001</v>
      </c>
      <c r="E11" s="9"/>
      <c r="F11" s="4">
        <f>INDEX('Total Sales'!$A:$AK,MATCH('Mtd Dashboard'!$B$2,'Total Sales'!$A:$A,0),MATCH("CY" &amp;RIGHT(F$2,2),'Total Sales'!$9:$9,0)+MONTH($A11)-1)</f>
        <v>0</v>
      </c>
      <c r="G11" s="4">
        <f>INDEX('Total Sales'!$A:$AK,MATCH('Mtd Dashboard'!$B$2,'Total Sales'!$A:$A,0),MATCH("Forecast",'Total Sales'!$11:$11,0)+MONTH($A11)-1)</f>
        <v>2086.2379900000001</v>
      </c>
      <c r="H11" s="4">
        <f>INDEX('Total Sales'!$A:$AK,MATCH('Mtd Dashboard'!$B$2,'Total Sales'!$A:$A,0),MATCH("CY" &amp;RIGHT(H$2,2),'Total Sales'!$9:$9,0)+MONTH($A11)-1)</f>
        <v>741.48058200000003</v>
      </c>
      <c r="I11" s="4">
        <f>INDEX('Total Sales'!$A:$BI,MATCH('Mtd Dashboard'!$B$2,'Total Sales'!$A:$A,0),MATCH("Budget",'Total Sales'!$11:$11,0)+MONTH($A11)-1)</f>
        <v>1716.2243699999999</v>
      </c>
      <c r="M11" t="s">
        <v>97</v>
      </c>
      <c r="Q11" t="s">
        <v>66</v>
      </c>
      <c r="R11" s="80">
        <f ca="1">OFFSET(Q3,0,$R$9)</f>
        <v>0</v>
      </c>
      <c r="S11" s="80">
        <f ca="1">R11+S10</f>
        <v>903.94710400000008</v>
      </c>
    </row>
    <row r="12" spans="1:22" x14ac:dyDescent="0.25">
      <c r="A12" s="36">
        <v>42248</v>
      </c>
      <c r="B12" s="4" t="e">
        <f t="shared" si="0"/>
        <v>#N/A</v>
      </c>
      <c r="C12" s="4">
        <f t="shared" si="1"/>
        <v>3323.7772259999997</v>
      </c>
      <c r="D12" s="4">
        <f t="shared" si="2"/>
        <v>2798.0090984964118</v>
      </c>
      <c r="E12" s="9"/>
      <c r="F12" s="4">
        <f>INDEX('Total Sales'!$A:$AK,MATCH('Mtd Dashboard'!$B$2,'Total Sales'!$A:$A,0),MATCH("CY" &amp;RIGHT(F$2,2),'Total Sales'!$9:$9,0)+MONTH($A12)-1)</f>
        <v>0</v>
      </c>
      <c r="G12" s="4">
        <f>INDEX('Total Sales'!$A:$AK,MATCH('Mtd Dashboard'!$B$2,'Total Sales'!$A:$A,0),MATCH("Forecast",'Total Sales'!$11:$11,0)+MONTH($A12)-1)</f>
        <v>2798.0090984964118</v>
      </c>
      <c r="H12" s="4">
        <f>INDEX('Total Sales'!$A:$AK,MATCH('Mtd Dashboard'!$B$2,'Total Sales'!$A:$A,0),MATCH("CY" &amp;RIGHT(H$2,2),'Total Sales'!$9:$9,0)+MONTH($A12)-1)</f>
        <v>3323.7772259999997</v>
      </c>
      <c r="I12" s="4">
        <f>INDEX('Total Sales'!$A:$BI,MATCH('Mtd Dashboard'!$B$2,'Total Sales'!$A:$A,0),MATCH("Budget",'Total Sales'!$11:$11,0)+MONTH($A12)-1)</f>
        <v>2493.1538817935425</v>
      </c>
      <c r="M12" t="s">
        <v>121</v>
      </c>
      <c r="Q12" t="s">
        <v>67</v>
      </c>
      <c r="R12" s="80">
        <f ca="1">OFFSET(Q4,0,$R$9)</f>
        <v>0</v>
      </c>
      <c r="S12" s="80">
        <f ca="1">R12+S11</f>
        <v>903.94710400000008</v>
      </c>
    </row>
    <row r="13" spans="1:22" x14ac:dyDescent="0.25">
      <c r="A13" s="36">
        <v>42278</v>
      </c>
      <c r="B13" s="4" t="e">
        <f t="shared" si="0"/>
        <v>#N/A</v>
      </c>
      <c r="C13" s="4">
        <f t="shared" si="1"/>
        <v>941.60319600000025</v>
      </c>
      <c r="D13" s="4">
        <f t="shared" si="2"/>
        <v>1655.8203799999999</v>
      </c>
      <c r="E13" s="9"/>
      <c r="F13" s="4">
        <f>INDEX('Total Sales'!$A:$AK,MATCH('Mtd Dashboard'!$B$2,'Total Sales'!$A:$A,0),MATCH("CY" &amp;RIGHT(F$2,2),'Total Sales'!$9:$9,0)+MONTH($A13)-1)</f>
        <v>0</v>
      </c>
      <c r="G13" s="4">
        <f>INDEX('Total Sales'!$A:$AK,MATCH('Mtd Dashboard'!$B$2,'Total Sales'!$A:$A,0),MATCH("Forecast",'Total Sales'!$11:$11,0)+MONTH($A13)-1)</f>
        <v>1655.8203799999999</v>
      </c>
      <c r="H13" s="4">
        <f>INDEX('Total Sales'!$A:$AK,MATCH('Mtd Dashboard'!$B$2,'Total Sales'!$A:$A,0),MATCH("CY" &amp;RIGHT(H$2,2),'Total Sales'!$9:$9,0)+MONTH($A13)-1)</f>
        <v>941.60319600000025</v>
      </c>
      <c r="I13" s="4">
        <f>INDEX('Total Sales'!$A:$BI,MATCH('Mtd Dashboard'!$B$2,'Total Sales'!$A:$A,0),MATCH("Budget",'Total Sales'!$11:$11,0)+MONTH($A13)-1)</f>
        <v>1614.6324500000001</v>
      </c>
      <c r="M13" t="s">
        <v>130</v>
      </c>
      <c r="Q13" t="s">
        <v>7</v>
      </c>
      <c r="R13" s="80">
        <f ca="1">OFFSET(Q5,0,$R$9)</f>
        <v>5782.9994217935418</v>
      </c>
      <c r="S13" s="80"/>
      <c r="T13" s="80">
        <f ca="1">R13</f>
        <v>5782.9994217935418</v>
      </c>
    </row>
    <row r="14" spans="1:22" x14ac:dyDescent="0.25">
      <c r="A14" s="36">
        <v>42309</v>
      </c>
      <c r="B14" s="4" t="e">
        <f t="shared" si="0"/>
        <v>#N/A</v>
      </c>
      <c r="C14" s="4">
        <f t="shared" si="1"/>
        <v>842.14992899999982</v>
      </c>
      <c r="D14" s="4">
        <f t="shared" si="2"/>
        <v>2039.1526200000001</v>
      </c>
      <c r="E14" s="9"/>
      <c r="F14" s="4">
        <f>INDEX('Total Sales'!$A:$AK,MATCH('Mtd Dashboard'!$B$2,'Total Sales'!$A:$A,0),MATCH("CY" &amp;RIGHT(F$2,2),'Total Sales'!$9:$9,0)+MONTH($A14)-1)</f>
        <v>0</v>
      </c>
      <c r="G14" s="4">
        <f>INDEX('Total Sales'!$A:$AK,MATCH('Mtd Dashboard'!$B$2,'Total Sales'!$A:$A,0),MATCH("Forecast",'Total Sales'!$11:$11,0)+MONTH($A14)-1)</f>
        <v>2039.1526200000001</v>
      </c>
      <c r="H14" s="4">
        <f>INDEX('Total Sales'!$A:$AK,MATCH('Mtd Dashboard'!$B$2,'Total Sales'!$A:$A,0),MATCH("CY" &amp;RIGHT(H$2,2),'Total Sales'!$9:$9,0)+MONTH($A14)-1)</f>
        <v>842.14992899999982</v>
      </c>
      <c r="I14" s="4">
        <f>INDEX('Total Sales'!$A:$BI,MATCH('Mtd Dashboard'!$B$2,'Total Sales'!$A:$A,0),MATCH("Budget",'Total Sales'!$11:$11,0)+MONTH($A14)-1)</f>
        <v>1946.2761599999997</v>
      </c>
      <c r="M14" t="s">
        <v>134</v>
      </c>
    </row>
    <row r="15" spans="1:22" x14ac:dyDescent="0.25">
      <c r="A15" s="36">
        <v>42339</v>
      </c>
      <c r="B15" s="4" t="e">
        <f t="shared" si="0"/>
        <v>#N/A</v>
      </c>
      <c r="C15" s="4">
        <f t="shared" si="1"/>
        <v>3266.5810329999999</v>
      </c>
      <c r="D15" s="4">
        <f t="shared" si="2"/>
        <v>1712.4243310719155</v>
      </c>
      <c r="E15" s="9"/>
      <c r="F15" s="4">
        <f>INDEX('Total Sales'!$A:$AK,MATCH('Mtd Dashboard'!$B$2,'Total Sales'!$A:$A,0),MATCH("CY" &amp;RIGHT(F$2,2),'Total Sales'!$9:$9,0)+MONTH($A15)-1)</f>
        <v>0</v>
      </c>
      <c r="G15" s="4">
        <f>INDEX('Total Sales'!$A:$AK,MATCH('Mtd Dashboard'!$B$2,'Total Sales'!$A:$A,0),MATCH("Forecast",'Total Sales'!$11:$11,0)+MONTH($A15)-1)</f>
        <v>1712.4243310719155</v>
      </c>
      <c r="H15" s="4">
        <f>INDEX('Total Sales'!$A:$AK,MATCH('Mtd Dashboard'!$B$2,'Total Sales'!$A:$A,0),MATCH("CY" &amp;RIGHT(H$2,2),'Total Sales'!$9:$9,0)+MONTH($A15)-1)</f>
        <v>3266.5810329999999</v>
      </c>
      <c r="I15" s="4">
        <f>INDEX('Total Sales'!$A:$BI,MATCH('Mtd Dashboard'!$B$2,'Total Sales'!$A:$A,0),MATCH("Budget",'Total Sales'!$11:$11,0)+MONTH($A15)-1)</f>
        <v>1642.6031268753436</v>
      </c>
      <c r="M15" t="s">
        <v>124</v>
      </c>
    </row>
    <row r="16" spans="1:22" x14ac:dyDescent="0.25">
      <c r="M16" t="s">
        <v>125</v>
      </c>
    </row>
    <row r="17" spans="1:18" x14ac:dyDescent="0.25">
      <c r="B17" t="s">
        <v>85</v>
      </c>
      <c r="M17" t="s">
        <v>40</v>
      </c>
    </row>
    <row r="18" spans="1:18" x14ac:dyDescent="0.25">
      <c r="A18">
        <f>A2+1</f>
        <v>8</v>
      </c>
      <c r="M18" t="s">
        <v>41</v>
      </c>
    </row>
    <row r="19" spans="1:18" x14ac:dyDescent="0.25">
      <c r="B19" s="8">
        <f>B3</f>
        <v>2019</v>
      </c>
      <c r="C19" s="8">
        <f>C3</f>
        <v>2018</v>
      </c>
      <c r="D19" s="8" t="str">
        <f>D3</f>
        <v>FOR</v>
      </c>
      <c r="G19" t="s">
        <v>7</v>
      </c>
      <c r="H19" s="4">
        <f ca="1">SUM(OFFSET(I4,0,0,MAX(1,A2),1))</f>
        <v>12663.804563750688</v>
      </c>
      <c r="I19" t="e">
        <f>NA()</f>
        <v>#N/A</v>
      </c>
      <c r="M19" t="s">
        <v>43</v>
      </c>
    </row>
    <row r="20" spans="1:18" x14ac:dyDescent="0.25">
      <c r="A20" s="36">
        <f>A4</f>
        <v>42005</v>
      </c>
      <c r="B20" s="4">
        <f>IF(MONTH($A20)=$A$18,INDEX($R$29:$R$41,MATCH('Mtd Dashboard'!$B$2,Preparação!$M$30:$M$42,0)),IF(MONTH($A20)&lt;$A$18,F4,NA()))</f>
        <v>824.68546600000002</v>
      </c>
      <c r="C20" s="4">
        <f>H4</f>
        <v>418.50155299999994</v>
      </c>
      <c r="D20" s="4" t="e">
        <f>IF(MONTH($A20)&lt;$A$18,NA(),$G4)</f>
        <v>#N/A</v>
      </c>
      <c r="G20">
        <f>C3</f>
        <v>2018</v>
      </c>
      <c r="H20" s="4">
        <f ca="1">SUM(OFFSET(C20,0,0,MAX(1,A18),1))</f>
        <v>9055.117166</v>
      </c>
      <c r="I20" s="105">
        <v>0</v>
      </c>
      <c r="M20" s="1" t="s">
        <v>126</v>
      </c>
    </row>
    <row r="21" spans="1:18" x14ac:dyDescent="0.25">
      <c r="A21" s="36">
        <f t="shared" ref="A21:A31" si="3">A5</f>
        <v>42036</v>
      </c>
      <c r="B21" s="4">
        <f>IF(MONTH($A21)=$A$18,INDEX($R$29:$R$41,MATCH('Mtd Dashboard'!$B$2,Preparação!$M$30:$M$42,0)),IF(MONTH($A21)&lt;$A$18,F5,NA()))</f>
        <v>860.37697700000001</v>
      </c>
      <c r="C21" s="4">
        <f t="shared" ref="C21:C31" si="4">H5</f>
        <v>1304.7029029999999</v>
      </c>
      <c r="D21" s="4" t="e">
        <f t="shared" ref="D21:D31" si="5">IF(MONTH($A21)&lt;$A$18,NA(),$G5)</f>
        <v>#N/A</v>
      </c>
      <c r="G21">
        <f>B3</f>
        <v>2019</v>
      </c>
      <c r="H21" s="4">
        <f ca="1">IF(A18=0,D20,SUM(OFFSET(B20,0,0,A18,1)))</f>
        <v>11490.515682089303</v>
      </c>
      <c r="I21" s="2">
        <f ca="1">H21/H20-1</f>
        <v>0.2689527337353177</v>
      </c>
      <c r="M21" s="1" t="s">
        <v>127</v>
      </c>
    </row>
    <row r="22" spans="1:18" x14ac:dyDescent="0.25">
      <c r="A22" s="36">
        <f t="shared" si="3"/>
        <v>42064</v>
      </c>
      <c r="B22" s="4">
        <f>IF(MONTH($A22)=$A$18,INDEX($R$29:$R$41,MATCH('Mtd Dashboard'!$B$2,Preparação!$M$30:$M$42,0)),IF(MONTH($A22)&lt;$A$18,F6,NA()))</f>
        <v>2620.0043439999999</v>
      </c>
      <c r="C22" s="4">
        <f t="shared" si="4"/>
        <v>1591.6693579999996</v>
      </c>
      <c r="D22" s="4" t="e">
        <f t="shared" si="5"/>
        <v>#N/A</v>
      </c>
      <c r="M22" t="s">
        <v>27</v>
      </c>
    </row>
    <row r="23" spans="1:18" x14ac:dyDescent="0.25">
      <c r="A23" s="36">
        <f t="shared" si="3"/>
        <v>42095</v>
      </c>
      <c r="B23" s="4">
        <f>IF(MONTH($A23)=$A$18,INDEX($R$29:$R$41,MATCH('Mtd Dashboard'!$B$2,Preparação!$M$30:$M$42,0)),IF(MONTH($A23)&lt;$A$18,F7,NA()))</f>
        <v>791.50460600000008</v>
      </c>
      <c r="C23" s="4">
        <f t="shared" si="4"/>
        <v>728.1378390000001</v>
      </c>
      <c r="D23" s="4" t="e">
        <f t="shared" si="5"/>
        <v>#N/A</v>
      </c>
      <c r="H23" s="79">
        <f>DATE(2015,$K$23*3-2,1)</f>
        <v>42186</v>
      </c>
      <c r="I23" s="79">
        <f>DATE(2015,$K$23*3-1,1)</f>
        <v>42217</v>
      </c>
      <c r="J23" s="79">
        <f>DATE(2015,$K$23*3,1)</f>
        <v>42248</v>
      </c>
      <c r="K23" s="78">
        <f>MIN(INT(($A$18-1)/3)+1,4)</f>
        <v>3</v>
      </c>
      <c r="M23" t="s">
        <v>132</v>
      </c>
    </row>
    <row r="24" spans="1:18" x14ac:dyDescent="0.25">
      <c r="A24" s="36">
        <f t="shared" si="3"/>
        <v>42125</v>
      </c>
      <c r="B24" s="4">
        <f>IF(MONTH($A24)=$A$18,INDEX($R$29:$R$41,MATCH('Mtd Dashboard'!$B$2,Preparação!$M$30:$M$42,0)),IF(MONTH($A24)&lt;$A$18,F8,NA()))</f>
        <v>1627.5473919999999</v>
      </c>
      <c r="C24" s="4">
        <f t="shared" si="4"/>
        <v>1245.402159</v>
      </c>
      <c r="D24" s="4" t="e">
        <f t="shared" si="5"/>
        <v>#N/A</v>
      </c>
      <c r="G24" t="s">
        <v>7</v>
      </c>
      <c r="H24" s="4">
        <f>INDEX($I$4:$I$15,MONTH(H$23))</f>
        <v>1573.6211699999999</v>
      </c>
      <c r="I24" s="4">
        <f>INDEX($I$4:$I$15,MONTH(I$23))</f>
        <v>1716.2243699999999</v>
      </c>
      <c r="J24" s="4">
        <f>INDEX($I$4:$I$15,MONTH(J$23))</f>
        <v>2493.1538817935425</v>
      </c>
      <c r="K24" s="8" t="s">
        <v>86</v>
      </c>
      <c r="M24" t="s">
        <v>133</v>
      </c>
    </row>
    <row r="25" spans="1:18" x14ac:dyDescent="0.25">
      <c r="A25" s="36">
        <f t="shared" si="3"/>
        <v>42156</v>
      </c>
      <c r="B25" s="4">
        <f>IF(MONTH($A25)=$A$18,INDEX($R$29:$R$41,MATCH('Mtd Dashboard'!$B$2,Preparação!$M$30:$M$42,0)),IF(MONTH($A25)&lt;$A$18,F9,NA()))</f>
        <v>3598.0462170000005</v>
      </c>
      <c r="C25" s="4">
        <f t="shared" si="4"/>
        <v>2282.38706</v>
      </c>
      <c r="D25" s="4" t="e">
        <f t="shared" si="5"/>
        <v>#N/A</v>
      </c>
      <c r="G25" t="s">
        <v>68</v>
      </c>
      <c r="H25" s="4">
        <f>IF(MONTH(H$23)=$A$18,INDEX($R$29:$R$41,MATCH('Mtd Dashboard'!$B$2,$M$30:$M$42,0)),IF(MONTH(H$23)&gt;$A$18,INDEX($G$4:$G$15,MONTH(H$23)),INDEX($F$4:$F$15,MONTH(H$23))))</f>
        <v>903.94710400000008</v>
      </c>
      <c r="I25" s="4">
        <f>IF(MONTH(I$23)=$A$18,INDEX($R$29:$R$41,MATCH('Mtd Dashboard'!$B$2,$M$30:$M$42,0)),IF(MONTH(I$23)&gt;$A$18,INDEX($G$4:$G$15,MONTH(I$23)),INDEX($F$4:$F$15,MONTH(I$23))))</f>
        <v>264.40357608930088</v>
      </c>
      <c r="J25" s="4">
        <f>IF(MONTH(J$23)=$A$18,INDEX($R$29:$R$41,MATCH('Mtd Dashboard'!$B$2,$M$30:$M$42,0)),IF(MONTH(J$23)&gt;$A$18,INDEX($G$4:$G$15,MONTH(J$23)),INDEX($F$4:$F$15,MONTH(J$23))))</f>
        <v>2798.0090984964118</v>
      </c>
      <c r="K25" s="4">
        <f ca="1">SUM(OFFSET($G$3,INT(($A$18-1)/3)*3+1,0,3))</f>
        <v>5788.1941924964121</v>
      </c>
    </row>
    <row r="26" spans="1:18" x14ac:dyDescent="0.25">
      <c r="A26" s="36">
        <f t="shared" si="3"/>
        <v>42186</v>
      </c>
      <c r="B26" s="4">
        <f>IF(MONTH($A26)=$A$18,INDEX($R$29:$R$41,MATCH('Mtd Dashboard'!$B$2,Preparação!$M$30:$M$42,0)),IF(MONTH($A26)&lt;$A$18,F10,NA()))</f>
        <v>903.94710400000008</v>
      </c>
      <c r="C26" s="4">
        <f t="shared" si="4"/>
        <v>742.83571200000006</v>
      </c>
      <c r="D26" s="4" t="e">
        <f t="shared" si="5"/>
        <v>#N/A</v>
      </c>
      <c r="G26" t="s">
        <v>69</v>
      </c>
      <c r="H26" s="4">
        <f>INDEX($H$4:$H$15,MONTH(H$23))</f>
        <v>742.83571200000006</v>
      </c>
      <c r="I26" s="4">
        <f>INDEX($H$4:$H$15,MONTH(I$23))</f>
        <v>741.48058200000003</v>
      </c>
      <c r="J26" s="4">
        <f>INDEX($H$4:$H$15,MONTH(J$23))</f>
        <v>3323.7772259999997</v>
      </c>
    </row>
    <row r="27" spans="1:18" x14ac:dyDescent="0.25">
      <c r="A27" s="36">
        <f t="shared" si="3"/>
        <v>42217</v>
      </c>
      <c r="B27" s="4">
        <f>IF(MONTH($A27)=$A$18,INDEX($R$29:$R$41,MATCH('Mtd Dashboard'!$B$2,Preparação!$M$30:$M$42,0)),IF(MONTH($A27)&lt;$A$18,F11,NA()))</f>
        <v>264.40357608930088</v>
      </c>
      <c r="C27" s="4">
        <f t="shared" si="4"/>
        <v>741.48058200000003</v>
      </c>
      <c r="D27" s="4">
        <f t="shared" si="5"/>
        <v>2086.2379900000001</v>
      </c>
    </row>
    <row r="28" spans="1:18" x14ac:dyDescent="0.25">
      <c r="A28" s="36">
        <f t="shared" si="3"/>
        <v>42248</v>
      </c>
      <c r="B28" s="4" t="e">
        <f>IF(MONTH($A28)=$A$18,INDEX($R$29:$R$41,MATCH('Mtd Dashboard'!$B$2,Preparação!$M$30:$M$42,0)),IF(MONTH($A28)&lt;$A$18,F12,NA()))</f>
        <v>#N/A</v>
      </c>
      <c r="C28" s="4">
        <f t="shared" si="4"/>
        <v>3323.7772259999997</v>
      </c>
      <c r="D28" s="4">
        <f t="shared" si="5"/>
        <v>2798.0090984964118</v>
      </c>
      <c r="H28" s="79">
        <f>DATE(2016,A18,1)</f>
        <v>42583</v>
      </c>
      <c r="I28" s="78"/>
      <c r="J28" s="78">
        <f>MIN(INT(($A$18-1)/3)+1,4)</f>
        <v>3</v>
      </c>
      <c r="R28" s="125">
        <v>42767</v>
      </c>
    </row>
    <row r="29" spans="1:18" x14ac:dyDescent="0.25">
      <c r="A29" s="36">
        <f t="shared" si="3"/>
        <v>42278</v>
      </c>
      <c r="B29" s="4" t="e">
        <f>IF(MONTH($A29)=$A$18,INDEX($R$29:$R$41,MATCH('Mtd Dashboard'!$B$2,Preparação!$M$30:$M$42,0)),IF(MONTH($A29)&lt;$A$18,F13,NA()))</f>
        <v>#N/A</v>
      </c>
      <c r="C29" s="4">
        <f t="shared" si="4"/>
        <v>941.60319600000025</v>
      </c>
      <c r="D29" s="4">
        <f t="shared" si="5"/>
        <v>1655.8203799999999</v>
      </c>
      <c r="G29" t="s">
        <v>7</v>
      </c>
      <c r="H29" s="4">
        <f>INDEX($I$4:$I$15,MONTH(H$28))</f>
        <v>1716.2243699999999</v>
      </c>
      <c r="I29" s="2">
        <f>IFERROR(H$32/H29,"")</f>
        <v>0.15406119427688869</v>
      </c>
      <c r="J29" s="4">
        <f ca="1">SUM(OFFSET($I$3,INT(($A$18-1)/3)*3+1,0,3))</f>
        <v>5782.9994217935418</v>
      </c>
      <c r="K29" s="2">
        <f ca="1">IFERROR(J$32/J29,"")</f>
        <v>0.20203195519721293</v>
      </c>
      <c r="R29">
        <f>SUM(R31:R41)</f>
        <v>264.40357608930088</v>
      </c>
    </row>
    <row r="30" spans="1:18" x14ac:dyDescent="0.25">
      <c r="A30" s="36">
        <f t="shared" si="3"/>
        <v>42309</v>
      </c>
      <c r="B30" s="4" t="e">
        <f>IF(MONTH($A30)=$A$18,INDEX($R$29:$R$41,MATCH('Mtd Dashboard'!$B$2,Preparação!$M$30:$M$42,0)),IF(MONTH($A30)&lt;$A$18,F14,NA()))</f>
        <v>#N/A</v>
      </c>
      <c r="C30" s="4">
        <f t="shared" si="4"/>
        <v>842.14992899999982</v>
      </c>
      <c r="D30" s="4">
        <f t="shared" si="5"/>
        <v>2039.1526200000001</v>
      </c>
      <c r="G30" t="s">
        <v>69</v>
      </c>
      <c r="H30" s="4">
        <f>INDEX($H$4:$H$15,MONTH(H$28))</f>
        <v>741.48058200000003</v>
      </c>
      <c r="I30" s="2">
        <f>IFERROR(H$32/H30,"")</f>
        <v>0.35658867205412653</v>
      </c>
      <c r="J30" s="4">
        <f ca="1">SUM(OFFSET($H$3,INT(($A$18-1)/3)*3+1,0,3))</f>
        <v>4808.0935200000004</v>
      </c>
      <c r="K30" s="2">
        <f ca="1">IFERROR(J$32/J30,"")</f>
        <v>0.24299666286218596</v>
      </c>
      <c r="M30" t="s">
        <v>104</v>
      </c>
      <c r="R30">
        <f>SUM(R31:R40)</f>
        <v>212.25106608930091</v>
      </c>
    </row>
    <row r="31" spans="1:18" x14ac:dyDescent="0.25">
      <c r="A31" s="36">
        <f t="shared" si="3"/>
        <v>42339</v>
      </c>
      <c r="B31" s="4" t="e">
        <f>IF(MONTH($A31)=$A$18,INDEX($R$29:$R$41,MATCH('Mtd Dashboard'!$B$2,Preparação!$M$30:$M$42,0)),IF(MONTH($A31)&lt;$A$18,F15,NA()))</f>
        <v>#N/A</v>
      </c>
      <c r="C31" s="4">
        <f t="shared" si="4"/>
        <v>3266.5810329999999</v>
      </c>
      <c r="D31" s="4">
        <f t="shared" si="5"/>
        <v>1712.4243310719155</v>
      </c>
      <c r="G31" t="s">
        <v>9</v>
      </c>
      <c r="H31" s="4">
        <f>INDEX($G$4:$G$15,MONTH(H$28))</f>
        <v>2086.2379900000001</v>
      </c>
      <c r="I31" s="2">
        <f>IFERROR(H$32/H31,"")</f>
        <v>0.12673701531496934</v>
      </c>
      <c r="J31" s="4">
        <f ca="1">SUM(OFFSET($G$3,INT(($A$18-1)/3)*3+1,0,3))</f>
        <v>5788.1941924964121</v>
      </c>
      <c r="K31" s="2">
        <f ca="1">IFERROR(J$32/J31,"")</f>
        <v>0.20185063618008964</v>
      </c>
      <c r="M31" t="s">
        <v>97</v>
      </c>
      <c r="R31">
        <v>137.74367000000001</v>
      </c>
    </row>
    <row r="32" spans="1:18" x14ac:dyDescent="0.25">
      <c r="A32" s="36"/>
      <c r="G32" t="s">
        <v>115</v>
      </c>
      <c r="H32" s="4">
        <f>INDEX($R$29:$R$41,MATCH('Mtd Dashboard'!$B$2,$M$30:$M$42,0))</f>
        <v>264.40357608930088</v>
      </c>
      <c r="I32" s="4"/>
      <c r="J32" s="4">
        <f ca="1">SUM(OFFSET(H25,0,0,1,3-(3*J28-A18)))</f>
        <v>1168.350680089301</v>
      </c>
      <c r="K32" t="s">
        <v>116</v>
      </c>
      <c r="M32" t="s">
        <v>38</v>
      </c>
      <c r="R32">
        <v>2.7042299999999999</v>
      </c>
    </row>
    <row r="33" spans="1:18" x14ac:dyDescent="0.25">
      <c r="B33" t="s">
        <v>96</v>
      </c>
      <c r="M33" t="s">
        <v>39</v>
      </c>
      <c r="R33">
        <v>6.7561200000000001</v>
      </c>
    </row>
    <row r="34" spans="1:18" x14ac:dyDescent="0.25">
      <c r="M34" t="s">
        <v>40</v>
      </c>
      <c r="R34">
        <v>0.10555999999999999</v>
      </c>
    </row>
    <row r="35" spans="1:18" x14ac:dyDescent="0.25">
      <c r="B35" s="8">
        <f>B3</f>
        <v>2019</v>
      </c>
      <c r="C35" s="8">
        <f>C3</f>
        <v>2018</v>
      </c>
      <c r="D35" s="8" t="str">
        <f>$D$3</f>
        <v>FOR</v>
      </c>
      <c r="G35" t="s">
        <v>7</v>
      </c>
      <c r="H35" s="4">
        <f ca="1">SUM(OFFSET($I$4,0,0,MAX(1,$A$2),1))</f>
        <v>12663.804563750688</v>
      </c>
      <c r="I35" t="e">
        <f>NA()</f>
        <v>#N/A</v>
      </c>
      <c r="M35" t="s">
        <v>41</v>
      </c>
      <c r="R35">
        <v>2.8724599999999998</v>
      </c>
    </row>
    <row r="36" spans="1:18" x14ac:dyDescent="0.25">
      <c r="A36" s="36">
        <f>A20</f>
        <v>42005</v>
      </c>
      <c r="B36" s="4">
        <f t="shared" ref="B36:B40" si="6">IF(MONTH($A36)&lt;=$A$2,F4,NA())</f>
        <v>824.68546600000002</v>
      </c>
      <c r="C36" s="4">
        <f>H4</f>
        <v>418.50155299999994</v>
      </c>
      <c r="D36" s="4" t="e">
        <f>IF(MONTH($A36)&lt;$A$2,NA(),G4)</f>
        <v>#N/A</v>
      </c>
      <c r="G36">
        <f>$C$3</f>
        <v>2018</v>
      </c>
      <c r="H36" s="4">
        <f ca="1">SUM(OFFSET(H4,0,0,MAX(1,$A$2),1))</f>
        <v>8313.6365839999999</v>
      </c>
      <c r="I36" s="105">
        <v>0</v>
      </c>
      <c r="M36" t="s">
        <v>43</v>
      </c>
      <c r="R36">
        <v>9.027709999999999</v>
      </c>
    </row>
    <row r="37" spans="1:18" x14ac:dyDescent="0.25">
      <c r="A37" s="36">
        <f t="shared" ref="A37:A47" si="7">A21</f>
        <v>42036</v>
      </c>
      <c r="B37" s="4">
        <f t="shared" si="6"/>
        <v>860.37697700000001</v>
      </c>
      <c r="C37" s="4">
        <f t="shared" ref="C37:C47" si="8">H5</f>
        <v>1304.7029029999999</v>
      </c>
      <c r="D37" s="4" t="e">
        <f t="shared" ref="D37:D47" si="9">IF(MONTH($A37)&lt;$A$2,NA(),G5)</f>
        <v>#N/A</v>
      </c>
      <c r="G37">
        <f>$B$3</f>
        <v>2019</v>
      </c>
      <c r="H37" s="4">
        <f ca="1">IF($A$2=0,D36,SUM(OFFSET(B36,0,0,$A$2,1)))</f>
        <v>11226.112106000002</v>
      </c>
      <c r="I37" s="2">
        <f ca="1">H37/H36-1</f>
        <v>0.35032509450860583</v>
      </c>
      <c r="M37" t="s">
        <v>46</v>
      </c>
      <c r="R37">
        <v>8.1124700000000001</v>
      </c>
    </row>
    <row r="38" spans="1:18" x14ac:dyDescent="0.25">
      <c r="A38" s="36">
        <f t="shared" si="7"/>
        <v>42064</v>
      </c>
      <c r="B38" s="4">
        <f t="shared" si="6"/>
        <v>2620.0043439999999</v>
      </c>
      <c r="C38" s="4">
        <f t="shared" si="8"/>
        <v>1591.6693579999996</v>
      </c>
      <c r="D38" s="4" t="e">
        <f t="shared" si="9"/>
        <v>#N/A</v>
      </c>
      <c r="M38" t="s">
        <v>45</v>
      </c>
      <c r="R38">
        <v>66.623236089300917</v>
      </c>
    </row>
    <row r="39" spans="1:18" x14ac:dyDescent="0.25">
      <c r="A39" s="36">
        <f t="shared" si="7"/>
        <v>42095</v>
      </c>
      <c r="B39" s="4">
        <f t="shared" si="6"/>
        <v>791.50460600000008</v>
      </c>
      <c r="C39" s="4">
        <f t="shared" si="8"/>
        <v>728.1378390000001</v>
      </c>
      <c r="D39" s="4" t="e">
        <f t="shared" si="9"/>
        <v>#N/A</v>
      </c>
      <c r="H39" s="79">
        <f>DATE($C$3,$R$9*3-2,1)</f>
        <v>43282</v>
      </c>
      <c r="I39" s="79">
        <f>DATE($C$3,$R$9*3-1,1)</f>
        <v>43313</v>
      </c>
      <c r="J39" s="79">
        <f>DATE($C$3,$R$9*3,1)</f>
        <v>43344</v>
      </c>
      <c r="K39" s="78">
        <f>MIN(INT(($A$2-1)/3)+1,4)</f>
        <v>3</v>
      </c>
      <c r="L39" s="78"/>
      <c r="M39" t="s">
        <v>28</v>
      </c>
      <c r="R39">
        <v>0</v>
      </c>
    </row>
    <row r="40" spans="1:18" x14ac:dyDescent="0.25">
      <c r="A40" s="36">
        <f t="shared" si="7"/>
        <v>42125</v>
      </c>
      <c r="B40" s="4">
        <f t="shared" si="6"/>
        <v>1627.5473919999999</v>
      </c>
      <c r="C40" s="4">
        <f t="shared" si="8"/>
        <v>1245.402159</v>
      </c>
      <c r="D40" s="4" t="e">
        <f t="shared" si="9"/>
        <v>#N/A</v>
      </c>
      <c r="G40" t="s">
        <v>7</v>
      </c>
      <c r="H40" s="4">
        <f>INDEX($I$4:$I$15,MONTH(H$39))</f>
        <v>1573.6211699999999</v>
      </c>
      <c r="I40" s="4">
        <f>INDEX($I$4:$I$15,MONTH(I$39))</f>
        <v>1716.2243699999999</v>
      </c>
      <c r="J40" s="4">
        <f>INDEX($I$4:$I$15,MONTH(J$39))</f>
        <v>2493.1538817935425</v>
      </c>
      <c r="K40" s="256"/>
      <c r="L40" s="8"/>
      <c r="M40" t="s">
        <v>30</v>
      </c>
      <c r="R40">
        <v>-21.694390000000002</v>
      </c>
    </row>
    <row r="41" spans="1:18" x14ac:dyDescent="0.25">
      <c r="A41" s="36">
        <f t="shared" si="7"/>
        <v>42156</v>
      </c>
      <c r="B41" s="4">
        <f>IF(MONTH($A41)&lt;=$A$2,F9,NA())</f>
        <v>3598.0462170000005</v>
      </c>
      <c r="C41" s="4">
        <f t="shared" si="8"/>
        <v>2282.38706</v>
      </c>
      <c r="D41" s="4" t="e">
        <f t="shared" si="9"/>
        <v>#N/A</v>
      </c>
      <c r="G41" t="s">
        <v>68</v>
      </c>
      <c r="H41" s="4">
        <f>IF(MONTH(H$39)&gt;$A$2,INDEX($G$4:$G$15,MONTH(H$39)),INDEX($F$4:$F$15,MONTH(H$39)))</f>
        <v>903.94710400000008</v>
      </c>
      <c r="I41" s="4">
        <f>IF(MONTH(I$39)&gt;$A$2,INDEX($G$4:$G$15,MONTH(I$39)),INDEX($F$4:$F$15,MONTH(I$39)))</f>
        <v>2086.2379900000001</v>
      </c>
      <c r="J41" s="4">
        <f>IF(MONTH(J$39)&gt;$A$2,INDEX($G$4:$G$15,MONTH(J$39)),INDEX($F$4:$F$15,MONTH(J$39)))</f>
        <v>2798.0090984964118</v>
      </c>
      <c r="K41" s="256">
        <f ca="1">HLOOKUP(K39,$H$44:$K$47,4,FALSE)</f>
        <v>5788.1941924964121</v>
      </c>
      <c r="L41" s="4"/>
      <c r="M41" t="s">
        <v>52</v>
      </c>
      <c r="R41">
        <v>52.152509999999999</v>
      </c>
    </row>
    <row r="42" spans="1:18" x14ac:dyDescent="0.25">
      <c r="A42" s="36">
        <f t="shared" si="7"/>
        <v>42186</v>
      </c>
      <c r="B42" s="4">
        <f t="shared" ref="B42:B47" si="10">IF(MONTH($A42)&lt;=$A$2,F10,NA())</f>
        <v>903.94710400000008</v>
      </c>
      <c r="C42" s="4">
        <f t="shared" si="8"/>
        <v>742.83571200000006</v>
      </c>
      <c r="D42" s="4">
        <f t="shared" si="9"/>
        <v>903.94710399999997</v>
      </c>
      <c r="G42" t="s">
        <v>69</v>
      </c>
      <c r="H42" s="4">
        <f>INDEX($H$4:$H$15,MONTH(H$39))</f>
        <v>742.83571200000006</v>
      </c>
      <c r="I42" s="4">
        <f>INDEX($H$4:$H$15,MONTH(I$39))</f>
        <v>741.48058200000003</v>
      </c>
      <c r="J42" s="4">
        <f>INDEX($H$4:$H$15,MONTH(J$39))</f>
        <v>3323.7772259999997</v>
      </c>
      <c r="M42" t="s">
        <v>27</v>
      </c>
    </row>
    <row r="43" spans="1:18" x14ac:dyDescent="0.25">
      <c r="A43" s="36">
        <f t="shared" si="7"/>
        <v>42217</v>
      </c>
      <c r="B43" s="4" t="e">
        <f t="shared" si="10"/>
        <v>#N/A</v>
      </c>
      <c r="C43" s="4">
        <f t="shared" si="8"/>
        <v>741.48058200000003</v>
      </c>
      <c r="D43" s="4">
        <f t="shared" si="9"/>
        <v>2086.2379900000001</v>
      </c>
    </row>
    <row r="44" spans="1:18" x14ac:dyDescent="0.25">
      <c r="A44" s="36">
        <f t="shared" si="7"/>
        <v>42248</v>
      </c>
      <c r="B44" s="4" t="e">
        <f t="shared" si="10"/>
        <v>#N/A</v>
      </c>
      <c r="C44" s="4">
        <f t="shared" si="8"/>
        <v>3323.7772259999997</v>
      </c>
      <c r="D44" s="4">
        <f t="shared" si="9"/>
        <v>2798.0090984964118</v>
      </c>
      <c r="H44" s="78">
        <v>1</v>
      </c>
      <c r="I44" s="78">
        <v>2</v>
      </c>
      <c r="J44" s="78">
        <v>3</v>
      </c>
      <c r="K44" s="78">
        <v>4</v>
      </c>
    </row>
    <row r="45" spans="1:18" x14ac:dyDescent="0.25">
      <c r="A45" s="36">
        <f t="shared" si="7"/>
        <v>42278</v>
      </c>
      <c r="B45" s="4" t="e">
        <f t="shared" si="10"/>
        <v>#N/A</v>
      </c>
      <c r="C45" s="4">
        <f t="shared" si="8"/>
        <v>941.60319600000025</v>
      </c>
      <c r="D45" s="4">
        <f t="shared" si="9"/>
        <v>1655.8203799999999</v>
      </c>
      <c r="G45" t="s">
        <v>7</v>
      </c>
      <c r="H45" s="4">
        <f ca="1">SUM(OFFSET('Total Sales'!$A$1,MATCH('Mtd Dashboard'!$B$2,'Total Sales'!$A:$A,0)-1,MATCH("Budget",'Total Sales'!$B$11:$BI$11,0)+(Preparação!H$44-1)*3,1,3))</f>
        <v>5249.0523568753442</v>
      </c>
      <c r="I45" s="4">
        <f ca="1">SUM(OFFSET('Total Sales'!$A$1,MATCH('Mtd Dashboard'!$B$2,'Total Sales'!$A:$A,0)-1,MATCH("Budget",'Total Sales'!$B$11:$BI$11,0)+(Preparação!I$44-1)*3,1,3))</f>
        <v>5841.1310368753439</v>
      </c>
      <c r="J45" s="4">
        <f ca="1">SUM(OFFSET('Total Sales'!$A$1,MATCH('Mtd Dashboard'!$B$2,'Total Sales'!$A:$A,0)-1,MATCH("Budget",'Total Sales'!$B$11:$BI$11,0)+(Preparação!J$44-1)*3,1,3))</f>
        <v>5782.9994217935418</v>
      </c>
      <c r="K45" s="4">
        <f ca="1">SUM(OFFSET('Total Sales'!$A$1,MATCH('Mtd Dashboard'!$B$2,'Total Sales'!$A:$A,0)-1,MATCH("Budget",'Total Sales'!$B$11:$BI$11,0)+(Preparação!K$44-1)*3,1,3))</f>
        <v>5203.5117368753436</v>
      </c>
    </row>
    <row r="46" spans="1:18" x14ac:dyDescent="0.25">
      <c r="A46" s="36">
        <f t="shared" si="7"/>
        <v>42309</v>
      </c>
      <c r="B46" s="4" t="e">
        <f t="shared" si="10"/>
        <v>#N/A</v>
      </c>
      <c r="C46" s="4">
        <f t="shared" si="8"/>
        <v>842.14992899999982</v>
      </c>
      <c r="D46" s="4">
        <f t="shared" si="9"/>
        <v>2039.1526200000001</v>
      </c>
      <c r="G46" t="s">
        <v>69</v>
      </c>
      <c r="H46" s="4">
        <f ca="1">SUM(OFFSET('Total Sales'!$A$1,MATCH('Mtd Dashboard'!$B$2,'Total Sales'!$A:$A,0)-1,MATCH("CY" &amp;RIGHT($C$3,2),'Total Sales'!$B$9:$BI$9,0)+(Preparação!H$44-1)*3,1,3))</f>
        <v>3314.8738139999996</v>
      </c>
      <c r="I46" s="4">
        <f ca="1">SUM(OFFSET('Total Sales'!$A$1,MATCH('Mtd Dashboard'!$B$2,'Total Sales'!$A:$A,0)-1,MATCH("CY" &amp;RIGHT($C$3,2),'Total Sales'!$B$9:$BI$9,0)+(Preparação!I$44-1)*3,1,3))</f>
        <v>4255.9270580000002</v>
      </c>
      <c r="J46" s="4">
        <f ca="1">SUM(OFFSET('Total Sales'!$A$1,MATCH('Mtd Dashboard'!$B$2,'Total Sales'!$A:$A,0)-1,MATCH("CY" &amp;RIGHT($C$3,2),'Total Sales'!$B$9:$BI$9,0)+(Preparação!J$44-1)*3,1,3))</f>
        <v>4808.0935200000004</v>
      </c>
      <c r="K46" s="4">
        <f ca="1">SUM(OFFSET('Total Sales'!$A$1,MATCH('Mtd Dashboard'!$B$2,'Total Sales'!$A:$A,0)-1,MATCH("CY" &amp;RIGHT($C$3,2),'Total Sales'!$B$9:$BI$9,0)+(Preparação!K$44-1)*3,1,3))</f>
        <v>5050.3341579999997</v>
      </c>
    </row>
    <row r="47" spans="1:18" x14ac:dyDescent="0.25">
      <c r="A47" s="36">
        <f t="shared" si="7"/>
        <v>42339</v>
      </c>
      <c r="B47" s="4" t="e">
        <f t="shared" si="10"/>
        <v>#N/A</v>
      </c>
      <c r="C47" s="4">
        <f t="shared" si="8"/>
        <v>3266.5810329999999</v>
      </c>
      <c r="D47" s="4">
        <f t="shared" si="9"/>
        <v>1712.4243310719155</v>
      </c>
      <c r="G47" t="s">
        <v>68</v>
      </c>
      <c r="H47" s="4">
        <f ca="1">SUM(OFFSET('Total Sales'!$A$1,MATCH('Mtd Dashboard'!$B$2,'Total Sales'!$A:$A,0)-1,MATCH("Forecast",'Total Sales'!$B$11:$BI$11,0)+(Preparação!H$44-1)*3,1,3))</f>
        <v>4305.0667869999997</v>
      </c>
      <c r="I47" s="4">
        <f ca="1">SUM(OFFSET('Total Sales'!$A$1,MATCH('Mtd Dashboard'!$B$2,'Total Sales'!$A:$A,0)-1,MATCH("Forecast",'Total Sales'!$B$11:$BI$11,0)+(Preparação!I$44-1)*3,1,3))</f>
        <v>6017.0982150000009</v>
      </c>
      <c r="J47" s="4">
        <f ca="1">SUM(OFFSET('Total Sales'!$A$1,MATCH('Mtd Dashboard'!$B$2,'Total Sales'!$A:$A,0)-1,MATCH("Forecast",'Total Sales'!$B$11:$BI$11,0)+(Preparação!J$44-1)*3,1,3))</f>
        <v>5788.1941924964121</v>
      </c>
      <c r="K47" s="4">
        <f ca="1">SUM(OFFSET('Total Sales'!$A$1,MATCH('Mtd Dashboard'!$B$2,'Total Sales'!$A:$A,0)-1,MATCH("Forecast",'Total Sales'!$B$11:$BI$11,0)+(Preparação!K$44-1)*3,1,3))</f>
        <v>5407.3973310719157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J29:J32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AG22"/>
  <sheetViews>
    <sheetView showGridLines="0" workbookViewId="0">
      <selection activeCell="AG3" sqref="AG3"/>
    </sheetView>
  </sheetViews>
  <sheetFormatPr defaultRowHeight="15" outlineLevelCol="1" x14ac:dyDescent="0.25"/>
  <cols>
    <col min="1" max="1" width="16.5703125" customWidth="1"/>
    <col min="2" max="7" width="11.7109375" hidden="1" customWidth="1" outlineLevel="1"/>
    <col min="8" max="8" width="11.7109375" customWidth="1" collapsed="1"/>
    <col min="9" max="14" width="11.7109375" hidden="1" customWidth="1" outlineLevel="1"/>
    <col min="15" max="15" width="11.7109375" customWidth="1" collapsed="1"/>
    <col min="16" max="21" width="11.7109375" hidden="1" customWidth="1" outlineLevel="1"/>
    <col min="22" max="22" width="11.7109375" customWidth="1" collapsed="1"/>
    <col min="24" max="24" width="16.7109375" customWidth="1"/>
    <col min="25" max="25" width="11.85546875" customWidth="1"/>
    <col min="26" max="26" width="11.42578125" customWidth="1"/>
    <col min="27" max="27" width="11.140625" customWidth="1"/>
    <col min="28" max="28" width="1.5703125" customWidth="1"/>
    <col min="29" max="29" width="7.140625" bestFit="1" customWidth="1"/>
    <col min="30" max="30" width="7.85546875" bestFit="1" customWidth="1"/>
    <col min="31" max="31" width="7.85546875" customWidth="1"/>
    <col min="32" max="32" width="7.85546875" bestFit="1" customWidth="1"/>
  </cols>
  <sheetData>
    <row r="1" spans="1:33" ht="14.45" x14ac:dyDescent="0.35">
      <c r="A1" s="139"/>
      <c r="B1" s="140" t="s">
        <v>6</v>
      </c>
      <c r="C1" s="140" t="s">
        <v>6</v>
      </c>
      <c r="D1" s="140" t="s">
        <v>6</v>
      </c>
      <c r="E1" s="140" t="s">
        <v>6</v>
      </c>
      <c r="F1" s="140" t="s">
        <v>6</v>
      </c>
      <c r="G1" s="140" t="s">
        <v>6</v>
      </c>
      <c r="H1" s="140" t="s">
        <v>6</v>
      </c>
      <c r="I1" s="141" t="s">
        <v>77</v>
      </c>
      <c r="J1" s="141" t="s">
        <v>77</v>
      </c>
      <c r="K1" s="141" t="s">
        <v>77</v>
      </c>
      <c r="L1" s="141" t="s">
        <v>77</v>
      </c>
      <c r="M1" s="141" t="s">
        <v>77</v>
      </c>
      <c r="N1" s="141" t="s">
        <v>77</v>
      </c>
      <c r="O1" s="141" t="s">
        <v>77</v>
      </c>
      <c r="P1" s="140" t="s">
        <v>77</v>
      </c>
      <c r="Q1" s="140" t="s">
        <v>77</v>
      </c>
      <c r="R1" s="140" t="s">
        <v>77</v>
      </c>
      <c r="S1" s="140" t="s">
        <v>77</v>
      </c>
      <c r="T1" s="140" t="s">
        <v>77</v>
      </c>
      <c r="U1" s="140" t="s">
        <v>77</v>
      </c>
      <c r="V1" s="142" t="s">
        <v>77</v>
      </c>
      <c r="X1" s="139"/>
      <c r="Y1" s="185" t="s">
        <v>6</v>
      </c>
      <c r="Z1" s="186" t="s">
        <v>77</v>
      </c>
      <c r="AA1" s="187" t="s">
        <v>77</v>
      </c>
      <c r="AC1" s="205"/>
      <c r="AD1" s="206"/>
      <c r="AE1" s="207"/>
      <c r="AF1" s="208"/>
    </row>
    <row r="2" spans="1:33" ht="14.45" x14ac:dyDescent="0.35">
      <c r="A2" s="28" t="s">
        <v>94</v>
      </c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20</v>
      </c>
      <c r="H2" s="15" t="s">
        <v>98</v>
      </c>
      <c r="I2" s="24" t="s">
        <v>15</v>
      </c>
      <c r="J2" s="24" t="s">
        <v>16</v>
      </c>
      <c r="K2" s="24" t="s">
        <v>17</v>
      </c>
      <c r="L2" s="24" t="s">
        <v>18</v>
      </c>
      <c r="M2" s="24" t="s">
        <v>19</v>
      </c>
      <c r="N2" s="24" t="s">
        <v>20</v>
      </c>
      <c r="O2" s="24" t="s">
        <v>98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19</v>
      </c>
      <c r="U2" s="15" t="s">
        <v>20</v>
      </c>
      <c r="V2" s="144" t="s">
        <v>98</v>
      </c>
      <c r="X2" s="28" t="s">
        <v>94</v>
      </c>
      <c r="Y2" s="188" t="str">
        <f ca="1">OFFSET($A$2,0,$AG$2)</f>
        <v>Jan-Jun</v>
      </c>
      <c r="Z2" s="24" t="str">
        <f ca="1">OFFSET($A$2,0,$AG$2)</f>
        <v>Jan-Jun</v>
      </c>
      <c r="AA2" s="189" t="str">
        <f ca="1">OFFSET($A$2,0,$AG$2)</f>
        <v>Jan-Jun</v>
      </c>
      <c r="AC2" s="336" t="s">
        <v>99</v>
      </c>
      <c r="AD2" s="337"/>
      <c r="AE2" s="338" t="s">
        <v>103</v>
      </c>
      <c r="AF2" s="339"/>
      <c r="AG2">
        <v>7</v>
      </c>
    </row>
    <row r="3" spans="1:33" ht="14.45" x14ac:dyDescent="0.35">
      <c r="A3" s="143"/>
      <c r="B3" s="15" t="s">
        <v>8</v>
      </c>
      <c r="C3" s="15" t="s">
        <v>8</v>
      </c>
      <c r="D3" s="15" t="s">
        <v>8</v>
      </c>
      <c r="E3" s="15" t="s">
        <v>8</v>
      </c>
      <c r="F3" s="15" t="s">
        <v>8</v>
      </c>
      <c r="G3" s="15" t="s">
        <v>8</v>
      </c>
      <c r="H3" s="15" t="s">
        <v>8</v>
      </c>
      <c r="I3" s="24" t="s">
        <v>7</v>
      </c>
      <c r="J3" s="24" t="s">
        <v>7</v>
      </c>
      <c r="K3" s="24" t="s">
        <v>7</v>
      </c>
      <c r="L3" s="24" t="s">
        <v>7</v>
      </c>
      <c r="M3" s="24" t="s">
        <v>7</v>
      </c>
      <c r="N3" s="24" t="s">
        <v>7</v>
      </c>
      <c r="O3" s="24" t="s">
        <v>7</v>
      </c>
      <c r="P3" s="15" t="s">
        <v>8</v>
      </c>
      <c r="Q3" s="15" t="s">
        <v>8</v>
      </c>
      <c r="R3" s="15" t="s">
        <v>8</v>
      </c>
      <c r="S3" s="15" t="s">
        <v>8</v>
      </c>
      <c r="T3" s="15" t="s">
        <v>8</v>
      </c>
      <c r="U3" s="15" t="s">
        <v>8</v>
      </c>
      <c r="V3" s="144" t="s">
        <v>8</v>
      </c>
      <c r="X3" s="143"/>
      <c r="Y3" s="188" t="s">
        <v>8</v>
      </c>
      <c r="Z3" s="24" t="s">
        <v>7</v>
      </c>
      <c r="AA3" s="189" t="s">
        <v>8</v>
      </c>
      <c r="AC3" s="209"/>
      <c r="AD3" s="210"/>
      <c r="AE3" s="211"/>
      <c r="AF3" s="212"/>
    </row>
    <row r="4" spans="1:33" ht="14.45" x14ac:dyDescent="0.35">
      <c r="A4" s="145" t="s">
        <v>0</v>
      </c>
      <c r="B4" s="156">
        <f>'Total Sales'!N64</f>
        <v>0</v>
      </c>
      <c r="C4" s="156">
        <f>'Total Sales'!O64</f>
        <v>0</v>
      </c>
      <c r="D4" s="156">
        <f>'Total Sales'!P64</f>
        <v>0</v>
      </c>
      <c r="E4" s="156">
        <f>'Total Sales'!Q64</f>
        <v>0</v>
      </c>
      <c r="F4" s="156">
        <f>'Total Sales'!R64</f>
        <v>0</v>
      </c>
      <c r="G4" s="156">
        <f>'Total Sales'!S64</f>
        <v>0</v>
      </c>
      <c r="H4" s="62">
        <f>SUM('Total Sales'!$N$64:$S$64)</f>
        <v>0</v>
      </c>
      <c r="I4" s="63" t="e">
        <f>'Total Sales'!#REF!</f>
        <v>#REF!</v>
      </c>
      <c r="J4" s="63" t="e">
        <f>'Total Sales'!#REF!</f>
        <v>#REF!</v>
      </c>
      <c r="K4" s="63" t="e">
        <f>'Total Sales'!#REF!</f>
        <v>#REF!</v>
      </c>
      <c r="L4" s="63" t="e">
        <f>'Total Sales'!#REF!</f>
        <v>#REF!</v>
      </c>
      <c r="M4" s="63" t="e">
        <f>'Total Sales'!#REF!</f>
        <v>#REF!</v>
      </c>
      <c r="N4" s="63" t="e">
        <f>'Total Sales'!#REF!</f>
        <v>#REF!</v>
      </c>
      <c r="O4" s="63" t="e">
        <f>SUM('Total Sales'!#REF!)</f>
        <v>#REF!</v>
      </c>
      <c r="P4" s="62">
        <f>'Total Sales'!B64</f>
        <v>0</v>
      </c>
      <c r="Q4" s="156">
        <f>'Total Sales'!C64</f>
        <v>0</v>
      </c>
      <c r="R4" s="156">
        <f>'Total Sales'!D64</f>
        <v>0</v>
      </c>
      <c r="S4" s="156">
        <f>'Total Sales'!E64</f>
        <v>0</v>
      </c>
      <c r="T4" s="156">
        <f>'Total Sales'!F64</f>
        <v>0</v>
      </c>
      <c r="U4" s="156">
        <f>'Total Sales'!G64</f>
        <v>0</v>
      </c>
      <c r="V4" s="146">
        <f>SUM('Total Sales'!$B$64:$G$64)</f>
        <v>0</v>
      </c>
      <c r="X4" s="145" t="s">
        <v>0</v>
      </c>
      <c r="Y4" s="190">
        <f ca="1">OFFSET(A4,0,$AG$2)</f>
        <v>0</v>
      </c>
      <c r="Z4" s="63" t="e">
        <f ca="1">OFFSET(H4,0,$AG$2)</f>
        <v>#REF!</v>
      </c>
      <c r="AA4" s="191">
        <f ca="1">OFFSET(O4,0,$AG$2)</f>
        <v>0</v>
      </c>
      <c r="AC4" s="229">
        <f ca="1">AA4-Y4</f>
        <v>0</v>
      </c>
      <c r="AD4" s="203" t="str">
        <f ca="1">IFERROR(AA4/Y4-1,"")</f>
        <v/>
      </c>
      <c r="AE4" s="230" t="e">
        <f ca="1">AA4-Z4</f>
        <v>#REF!</v>
      </c>
      <c r="AF4" s="231" t="str">
        <f ca="1">IFERROR(AA4/Z4-1,"")</f>
        <v/>
      </c>
    </row>
    <row r="5" spans="1:33" ht="14.45" x14ac:dyDescent="0.35">
      <c r="A5" s="147" t="s">
        <v>95</v>
      </c>
      <c r="B5" s="64">
        <f>'Gross Profit 2'!N63</f>
        <v>0</v>
      </c>
      <c r="C5" s="64">
        <f>'Gross Profit 2'!O63</f>
        <v>0</v>
      </c>
      <c r="D5" s="64">
        <f>'Gross Profit 2'!P63</f>
        <v>0</v>
      </c>
      <c r="E5" s="64">
        <f>'Gross Profit 2'!Q63</f>
        <v>0</v>
      </c>
      <c r="F5" s="64">
        <f>'Gross Profit 2'!R63</f>
        <v>0</v>
      </c>
      <c r="G5" s="64">
        <f>'Gross Profit 2'!S63</f>
        <v>0</v>
      </c>
      <c r="H5" s="64">
        <f>SUM('Gross Profit 2'!$N$63:$S$63)</f>
        <v>0</v>
      </c>
      <c r="I5" s="65" t="e">
        <f>'Gross Profit 2'!#REF!</f>
        <v>#REF!</v>
      </c>
      <c r="J5" s="65" t="e">
        <f>'Gross Profit 2'!#REF!</f>
        <v>#REF!</v>
      </c>
      <c r="K5" s="65" t="e">
        <f>'Gross Profit 2'!#REF!</f>
        <v>#REF!</v>
      </c>
      <c r="L5" s="65" t="e">
        <f>'Gross Profit 2'!#REF!</f>
        <v>#REF!</v>
      </c>
      <c r="M5" s="65" t="e">
        <f>'Gross Profit 2'!#REF!</f>
        <v>#REF!</v>
      </c>
      <c r="N5" s="65" t="e">
        <f>'Gross Profit 2'!#REF!</f>
        <v>#REF!</v>
      </c>
      <c r="O5" s="65" t="e">
        <f>SUM('Gross Profit 2'!#REF!)</f>
        <v>#REF!</v>
      </c>
      <c r="P5" s="64">
        <f>'Gross Profit 2'!B63</f>
        <v>0</v>
      </c>
      <c r="Q5" s="64">
        <f>'Gross Profit 2'!C63</f>
        <v>0</v>
      </c>
      <c r="R5" s="64">
        <f>'Gross Profit 2'!D63</f>
        <v>0</v>
      </c>
      <c r="S5" s="64">
        <f>'Gross Profit 2'!E63</f>
        <v>0</v>
      </c>
      <c r="T5" s="64">
        <f>'Gross Profit 2'!F63</f>
        <v>0</v>
      </c>
      <c r="U5" s="64">
        <f>'Gross Profit 2'!G63</f>
        <v>0</v>
      </c>
      <c r="V5" s="148">
        <f>SUM('Gross Profit 2'!$B$63:$G$63)</f>
        <v>0</v>
      </c>
      <c r="X5" s="147" t="s">
        <v>95</v>
      </c>
      <c r="Y5" s="192">
        <f ca="1">OFFSET(A5,0,$AG$2)</f>
        <v>0</v>
      </c>
      <c r="Z5" s="65" t="e">
        <f ca="1">OFFSET(H5,0,$AG$2)</f>
        <v>#REF!</v>
      </c>
      <c r="AA5" s="193">
        <f ca="1">OFFSET(O5,0,$AG$2)</f>
        <v>0</v>
      </c>
      <c r="AC5" s="229">
        <f ca="1">AA5-Y5</f>
        <v>0</v>
      </c>
      <c r="AD5" s="203" t="str">
        <f ca="1">IFERROR(AA5/Y5-1,"")</f>
        <v/>
      </c>
      <c r="AE5" s="230" t="e">
        <f ca="1">AA5-Z5</f>
        <v>#REF!</v>
      </c>
      <c r="AF5" s="231" t="str">
        <f t="shared" ref="AF5" ca="1" si="0">IFERROR(AA5/Z5-1,"")</f>
        <v/>
      </c>
    </row>
    <row r="6" spans="1:33" ht="14.45" x14ac:dyDescent="0.35">
      <c r="A6" s="149" t="s">
        <v>91</v>
      </c>
      <c r="B6" s="11" t="e">
        <f>B5/B4</f>
        <v>#DIV/0!</v>
      </c>
      <c r="C6" s="11" t="e">
        <f t="shared" ref="C6:G6" si="1">C5/C4</f>
        <v>#DIV/0!</v>
      </c>
      <c r="D6" s="11" t="e">
        <f t="shared" si="1"/>
        <v>#DIV/0!</v>
      </c>
      <c r="E6" s="11" t="e">
        <f t="shared" si="1"/>
        <v>#DIV/0!</v>
      </c>
      <c r="F6" s="11" t="e">
        <f t="shared" ref="F6" si="2">F5/F4</f>
        <v>#DIV/0!</v>
      </c>
      <c r="G6" s="11" t="e">
        <f t="shared" si="1"/>
        <v>#DIV/0!</v>
      </c>
      <c r="H6" s="11" t="e">
        <f>H5/H4</f>
        <v>#DIV/0!</v>
      </c>
      <c r="I6" s="154" t="e">
        <f t="shared" ref="I6:L6" si="3">I5/I4</f>
        <v>#REF!</v>
      </c>
      <c r="J6" s="154" t="e">
        <f t="shared" si="3"/>
        <v>#REF!</v>
      </c>
      <c r="K6" s="154" t="e">
        <f t="shared" si="3"/>
        <v>#REF!</v>
      </c>
      <c r="L6" s="154" t="e">
        <f t="shared" si="3"/>
        <v>#REF!</v>
      </c>
      <c r="M6" s="154" t="e">
        <f t="shared" ref="M6:N6" si="4">M5/M4</f>
        <v>#REF!</v>
      </c>
      <c r="N6" s="154" t="e">
        <f t="shared" si="4"/>
        <v>#REF!</v>
      </c>
      <c r="O6" s="154" t="e">
        <f t="shared" ref="O6:V6" si="5">O5/O4</f>
        <v>#REF!</v>
      </c>
      <c r="P6" s="11" t="e">
        <f>P5/P4</f>
        <v>#DIV/0!</v>
      </c>
      <c r="Q6" s="11" t="e">
        <f t="shared" ref="Q6:S6" si="6">Q5/Q4</f>
        <v>#DIV/0!</v>
      </c>
      <c r="R6" s="11" t="e">
        <f t="shared" si="6"/>
        <v>#DIV/0!</v>
      </c>
      <c r="S6" s="11" t="e">
        <f t="shared" si="6"/>
        <v>#DIV/0!</v>
      </c>
      <c r="T6" s="11" t="e">
        <f t="shared" ref="T6:U6" si="7">T5/T4</f>
        <v>#DIV/0!</v>
      </c>
      <c r="U6" s="11" t="e">
        <f t="shared" si="7"/>
        <v>#DIV/0!</v>
      </c>
      <c r="V6" s="150" t="e">
        <f t="shared" si="5"/>
        <v>#DIV/0!</v>
      </c>
      <c r="X6" s="149" t="s">
        <v>91</v>
      </c>
      <c r="Y6" s="194" t="e">
        <f ca="1">Y5/Y4</f>
        <v>#DIV/0!</v>
      </c>
      <c r="Z6" s="154" t="e">
        <f t="shared" ref="Z6:AA6" ca="1" si="8">Z5/Z4</f>
        <v>#REF!</v>
      </c>
      <c r="AA6" s="195" t="e">
        <f t="shared" ca="1" si="8"/>
        <v>#DIV/0!</v>
      </c>
      <c r="AC6" s="214"/>
      <c r="AD6" s="235"/>
      <c r="AE6" s="233"/>
      <c r="AF6" s="237"/>
    </row>
    <row r="7" spans="1:33" ht="14.45" x14ac:dyDescent="0.35">
      <c r="A7" s="147" t="s">
        <v>90</v>
      </c>
      <c r="B7" s="64">
        <f>'Total OPEX'!N64</f>
        <v>0</v>
      </c>
      <c r="C7" s="64">
        <f>'Total OPEX'!O64</f>
        <v>0</v>
      </c>
      <c r="D7" s="64">
        <f>'Total OPEX'!P64</f>
        <v>0</v>
      </c>
      <c r="E7" s="64">
        <f>'Total OPEX'!Q64</f>
        <v>0</v>
      </c>
      <c r="F7" s="64">
        <f>'Total OPEX'!R64</f>
        <v>0</v>
      </c>
      <c r="G7" s="64">
        <f>'Total OPEX'!S64</f>
        <v>0</v>
      </c>
      <c r="H7" s="64">
        <f>SUM('Total OPEX'!$N$64:$S$64)</f>
        <v>0</v>
      </c>
      <c r="I7" s="65" t="e">
        <f>'Total OPEX'!#REF!</f>
        <v>#REF!</v>
      </c>
      <c r="J7" s="65" t="e">
        <f>'Total OPEX'!#REF!</f>
        <v>#REF!</v>
      </c>
      <c r="K7" s="65" t="e">
        <f>'Total OPEX'!#REF!</f>
        <v>#REF!</v>
      </c>
      <c r="L7" s="65" t="e">
        <f>'Total OPEX'!#REF!</f>
        <v>#REF!</v>
      </c>
      <c r="M7" s="65" t="e">
        <f>'Total OPEX'!#REF!</f>
        <v>#REF!</v>
      </c>
      <c r="N7" s="65" t="e">
        <f>'Total OPEX'!#REF!</f>
        <v>#REF!</v>
      </c>
      <c r="O7" s="65" t="e">
        <f>SUM('Total OPEX'!#REF!)</f>
        <v>#REF!</v>
      </c>
      <c r="P7" s="64">
        <f>'Total OPEX'!B64</f>
        <v>0</v>
      </c>
      <c r="Q7" s="64">
        <f>'Total OPEX'!C64</f>
        <v>0</v>
      </c>
      <c r="R7" s="64">
        <f>'Total OPEX'!D64</f>
        <v>0</v>
      </c>
      <c r="S7" s="64">
        <f>'Total OPEX'!E64</f>
        <v>0</v>
      </c>
      <c r="T7" s="64">
        <f>'Total OPEX'!F64</f>
        <v>0</v>
      </c>
      <c r="U7" s="64">
        <f>'Total OPEX'!G64</f>
        <v>0</v>
      </c>
      <c r="V7" s="148">
        <f>SUM('Total OPEX'!$B$64:$G$64)</f>
        <v>0</v>
      </c>
      <c r="X7" s="147" t="s">
        <v>90</v>
      </c>
      <c r="Y7" s="192">
        <f ca="1">OFFSET(A7,0,$AG$2)</f>
        <v>0</v>
      </c>
      <c r="Z7" s="65" t="e">
        <f ca="1">OFFSET(H7,0,$AG$2)</f>
        <v>#REF!</v>
      </c>
      <c r="AA7" s="193">
        <f ca="1">OFFSET(O7,0,$AG$2)</f>
        <v>0</v>
      </c>
      <c r="AC7" s="229">
        <f ca="1">AA7-Y7</f>
        <v>0</v>
      </c>
      <c r="AD7" s="203" t="str">
        <f ca="1">IFERROR(AA7/Y7-1,"")</f>
        <v/>
      </c>
      <c r="AE7" s="230" t="e">
        <f ca="1">AA7-Z7</f>
        <v>#REF!</v>
      </c>
      <c r="AF7" s="231" t="str">
        <f ca="1">IFERROR(AA7/Z7-1,"")</f>
        <v/>
      </c>
    </row>
    <row r="8" spans="1:33" ht="14.45" x14ac:dyDescent="0.35">
      <c r="A8" s="149" t="s">
        <v>92</v>
      </c>
      <c r="B8" s="11" t="e">
        <f>B7/B4</f>
        <v>#DIV/0!</v>
      </c>
      <c r="C8" s="11" t="e">
        <f t="shared" ref="C8:G8" si="9">C7/C4</f>
        <v>#DIV/0!</v>
      </c>
      <c r="D8" s="11" t="e">
        <f t="shared" si="9"/>
        <v>#DIV/0!</v>
      </c>
      <c r="E8" s="11" t="e">
        <f t="shared" si="9"/>
        <v>#DIV/0!</v>
      </c>
      <c r="F8" s="11" t="e">
        <f t="shared" ref="F8" si="10">F7/F4</f>
        <v>#DIV/0!</v>
      </c>
      <c r="G8" s="11" t="e">
        <f t="shared" si="9"/>
        <v>#DIV/0!</v>
      </c>
      <c r="H8" s="11" t="e">
        <f>H7/H4</f>
        <v>#DIV/0!</v>
      </c>
      <c r="I8" s="25" t="e">
        <f>I7/I4</f>
        <v>#REF!</v>
      </c>
      <c r="J8" s="25" t="e">
        <f t="shared" ref="J8:L8" si="11">J7/J4</f>
        <v>#REF!</v>
      </c>
      <c r="K8" s="25" t="e">
        <f t="shared" si="11"/>
        <v>#REF!</v>
      </c>
      <c r="L8" s="25" t="e">
        <f t="shared" si="11"/>
        <v>#REF!</v>
      </c>
      <c r="M8" s="25" t="e">
        <f t="shared" ref="M8:N8" si="12">M7/M4</f>
        <v>#REF!</v>
      </c>
      <c r="N8" s="25" t="e">
        <f t="shared" si="12"/>
        <v>#REF!</v>
      </c>
      <c r="O8" s="25" t="e">
        <f t="shared" ref="O8:V8" si="13">O7/O4</f>
        <v>#REF!</v>
      </c>
      <c r="P8" s="11" t="e">
        <f>P7/P4</f>
        <v>#DIV/0!</v>
      </c>
      <c r="Q8" s="11" t="e">
        <f t="shared" ref="Q8:S8" si="14">Q7/Q4</f>
        <v>#DIV/0!</v>
      </c>
      <c r="R8" s="11" t="e">
        <f t="shared" si="14"/>
        <v>#DIV/0!</v>
      </c>
      <c r="S8" s="11" t="e">
        <f t="shared" si="14"/>
        <v>#DIV/0!</v>
      </c>
      <c r="T8" s="11" t="e">
        <f t="shared" ref="T8:U8" si="15">T7/T4</f>
        <v>#DIV/0!</v>
      </c>
      <c r="U8" s="11" t="e">
        <f t="shared" si="15"/>
        <v>#DIV/0!</v>
      </c>
      <c r="V8" s="150" t="e">
        <f t="shared" si="13"/>
        <v>#DIV/0!</v>
      </c>
      <c r="X8" s="149" t="s">
        <v>92</v>
      </c>
      <c r="Y8" s="194" t="e">
        <f ca="1">Y7/Y4</f>
        <v>#DIV/0!</v>
      </c>
      <c r="Z8" s="25" t="e">
        <f t="shared" ref="Z8:AA8" ca="1" si="16">Z7/Z4</f>
        <v>#REF!</v>
      </c>
      <c r="AA8" s="195" t="e">
        <f t="shared" ca="1" si="16"/>
        <v>#DIV/0!</v>
      </c>
      <c r="AC8" s="214"/>
      <c r="AD8" s="235"/>
      <c r="AE8" s="233"/>
      <c r="AF8" s="237"/>
    </row>
    <row r="9" spans="1:33" ht="14.45" x14ac:dyDescent="0.35">
      <c r="A9" s="151" t="s">
        <v>5</v>
      </c>
      <c r="B9" s="69">
        <f>EBIT!M64</f>
        <v>0</v>
      </c>
      <c r="C9" s="69">
        <f>EBIT!N64</f>
        <v>0</v>
      </c>
      <c r="D9" s="69">
        <f>EBIT!O64</f>
        <v>0</v>
      </c>
      <c r="E9" s="69">
        <f>EBIT!P64</f>
        <v>0</v>
      </c>
      <c r="F9" s="69">
        <f>EBIT!Q64</f>
        <v>0</v>
      </c>
      <c r="G9" s="69">
        <f>EBIT!R64</f>
        <v>0</v>
      </c>
      <c r="H9" s="69">
        <f>SUM(EBIT!$M$64:$R$64)</f>
        <v>0</v>
      </c>
      <c r="I9" s="70" t="e">
        <f>EBIT!#REF!</f>
        <v>#REF!</v>
      </c>
      <c r="J9" s="70" t="e">
        <f>EBIT!#REF!</f>
        <v>#REF!</v>
      </c>
      <c r="K9" s="70" t="e">
        <f>EBIT!#REF!</f>
        <v>#REF!</v>
      </c>
      <c r="L9" s="70" t="e">
        <f>EBIT!#REF!</f>
        <v>#REF!</v>
      </c>
      <c r="M9" s="70" t="e">
        <f>EBIT!#REF!</f>
        <v>#REF!</v>
      </c>
      <c r="N9" s="70" t="e">
        <f>EBIT!#REF!</f>
        <v>#REF!</v>
      </c>
      <c r="O9" s="70" t="e">
        <f>SUM(EBIT!#REF!)</f>
        <v>#REF!</v>
      </c>
      <c r="P9" s="69" t="e">
        <f>EBIT!#REF!</f>
        <v>#REF!</v>
      </c>
      <c r="Q9" s="69">
        <f>EBIT!B64</f>
        <v>0</v>
      </c>
      <c r="R9" s="69">
        <f>EBIT!C64</f>
        <v>0</v>
      </c>
      <c r="S9" s="69">
        <f>EBIT!D64</f>
        <v>0</v>
      </c>
      <c r="T9" s="69">
        <f>EBIT!E64</f>
        <v>0</v>
      </c>
      <c r="U9" s="69">
        <f>EBIT!F64</f>
        <v>0</v>
      </c>
      <c r="V9" s="152">
        <f>SUM(EBIT!$B$64:$F$64)</f>
        <v>0</v>
      </c>
      <c r="X9" s="151" t="s">
        <v>5</v>
      </c>
      <c r="Y9" s="196">
        <f ca="1">OFFSET(A9,0,$AG$2)</f>
        <v>0</v>
      </c>
      <c r="Z9" s="70" t="e">
        <f ca="1">OFFSET(H9,0,$AG$2)</f>
        <v>#REF!</v>
      </c>
      <c r="AA9" s="197">
        <f ca="1">OFFSET(O9,0,$AG$2)</f>
        <v>0</v>
      </c>
      <c r="AC9" s="229">
        <f ca="1">AA9-Y9</f>
        <v>0</v>
      </c>
      <c r="AD9" s="203" t="str">
        <f ca="1">IFERROR(AA9/Y9-1,"")</f>
        <v/>
      </c>
      <c r="AE9" s="230" t="e">
        <f ca="1">AA9-Z9</f>
        <v>#REF!</v>
      </c>
      <c r="AF9" s="231" t="str">
        <f ca="1">IFERROR(AA9/Z9-1,"")</f>
        <v/>
      </c>
    </row>
    <row r="10" spans="1:33" ht="14.45" x14ac:dyDescent="0.35">
      <c r="A10" s="153" t="s">
        <v>93</v>
      </c>
      <c r="B10" s="11" t="e">
        <f>B9/B4</f>
        <v>#DIV/0!</v>
      </c>
      <c r="C10" s="11" t="e">
        <f t="shared" ref="C10:G10" si="17">C9/C4</f>
        <v>#DIV/0!</v>
      </c>
      <c r="D10" s="11" t="e">
        <f t="shared" si="17"/>
        <v>#DIV/0!</v>
      </c>
      <c r="E10" s="11" t="e">
        <f t="shared" si="17"/>
        <v>#DIV/0!</v>
      </c>
      <c r="F10" s="11" t="e">
        <f t="shared" ref="F10" si="18">F9/F4</f>
        <v>#DIV/0!</v>
      </c>
      <c r="G10" s="11" t="e">
        <f t="shared" si="17"/>
        <v>#DIV/0!</v>
      </c>
      <c r="H10" s="11" t="e">
        <f>H9/H4</f>
        <v>#DIV/0!</v>
      </c>
      <c r="I10" s="155" t="e">
        <f>I9/I4</f>
        <v>#REF!</v>
      </c>
      <c r="J10" s="155" t="e">
        <f t="shared" ref="J10:L10" si="19">J9/J4</f>
        <v>#REF!</v>
      </c>
      <c r="K10" s="155" t="e">
        <f t="shared" si="19"/>
        <v>#REF!</v>
      </c>
      <c r="L10" s="155" t="e">
        <f t="shared" si="19"/>
        <v>#REF!</v>
      </c>
      <c r="M10" s="155" t="e">
        <f t="shared" ref="M10:N10" si="20">M9/M4</f>
        <v>#REF!</v>
      </c>
      <c r="N10" s="155" t="e">
        <f t="shared" si="20"/>
        <v>#REF!</v>
      </c>
      <c r="O10" s="155" t="e">
        <f t="shared" ref="O10:V10" si="21">O9/O4</f>
        <v>#REF!</v>
      </c>
      <c r="P10" s="11" t="e">
        <f>P9/P4</f>
        <v>#REF!</v>
      </c>
      <c r="Q10" s="11" t="e">
        <f t="shared" ref="Q10:S10" si="22">Q9/Q4</f>
        <v>#DIV/0!</v>
      </c>
      <c r="R10" s="11" t="e">
        <f t="shared" si="22"/>
        <v>#DIV/0!</v>
      </c>
      <c r="S10" s="11" t="e">
        <f t="shared" si="22"/>
        <v>#DIV/0!</v>
      </c>
      <c r="T10" s="11" t="e">
        <f t="shared" ref="T10:U10" si="23">T9/T4</f>
        <v>#DIV/0!</v>
      </c>
      <c r="U10" s="11" t="e">
        <f t="shared" si="23"/>
        <v>#DIV/0!</v>
      </c>
      <c r="V10" s="150" t="e">
        <f t="shared" si="21"/>
        <v>#DIV/0!</v>
      </c>
      <c r="X10" s="153" t="s">
        <v>93</v>
      </c>
      <c r="Y10" s="198" t="e">
        <f ca="1">Y9/Y4</f>
        <v>#DIV/0!</v>
      </c>
      <c r="Z10" s="199" t="e">
        <f t="shared" ref="Z10:AA10" ca="1" si="24">Z9/Z4</f>
        <v>#REF!</v>
      </c>
      <c r="AA10" s="200" t="e">
        <f t="shared" ca="1" si="24"/>
        <v>#DIV/0!</v>
      </c>
      <c r="AC10" s="215"/>
      <c r="AD10" s="236"/>
      <c r="AE10" s="234"/>
      <c r="AF10" s="238"/>
    </row>
    <row r="12" spans="1:33" ht="18.600000000000001" x14ac:dyDescent="0.45">
      <c r="A12" s="340" t="s">
        <v>0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X12" s="340" t="s">
        <v>0</v>
      </c>
      <c r="Y12" s="340"/>
      <c r="Z12" s="340"/>
      <c r="AA12" s="340"/>
      <c r="AB12" s="340"/>
      <c r="AC12" s="340"/>
      <c r="AD12" s="340"/>
      <c r="AE12" s="340"/>
      <c r="AF12" s="340"/>
    </row>
    <row r="13" spans="1:33" ht="4.5" customHeight="1" x14ac:dyDescent="0.35">
      <c r="P13" s="80"/>
      <c r="Q13" s="80"/>
      <c r="R13" s="80"/>
      <c r="S13" s="80"/>
      <c r="T13" s="80"/>
      <c r="U13" s="80"/>
      <c r="V13" s="80"/>
    </row>
    <row r="14" spans="1:33" ht="14.45" x14ac:dyDescent="0.35">
      <c r="A14" s="139" t="s">
        <v>0</v>
      </c>
      <c r="B14" s="140" t="s">
        <v>6</v>
      </c>
      <c r="C14" s="140" t="s">
        <v>6</v>
      </c>
      <c r="D14" s="140" t="s">
        <v>6</v>
      </c>
      <c r="E14" s="140" t="s">
        <v>6</v>
      </c>
      <c r="F14" s="140" t="s">
        <v>6</v>
      </c>
      <c r="G14" s="140" t="s">
        <v>6</v>
      </c>
      <c r="H14" s="140" t="s">
        <v>6</v>
      </c>
      <c r="I14" s="141" t="s">
        <v>77</v>
      </c>
      <c r="J14" s="141" t="s">
        <v>77</v>
      </c>
      <c r="K14" s="141" t="s">
        <v>77</v>
      </c>
      <c r="L14" s="141" t="s">
        <v>77</v>
      </c>
      <c r="M14" s="141" t="s">
        <v>77</v>
      </c>
      <c r="N14" s="141" t="s">
        <v>77</v>
      </c>
      <c r="O14" s="141" t="s">
        <v>77</v>
      </c>
      <c r="P14" s="140" t="s">
        <v>77</v>
      </c>
      <c r="Q14" s="140" t="s">
        <v>77</v>
      </c>
      <c r="R14" s="140" t="s">
        <v>77</v>
      </c>
      <c r="S14" s="140" t="s">
        <v>77</v>
      </c>
      <c r="T14" s="140" t="s">
        <v>77</v>
      </c>
      <c r="U14" s="140" t="s">
        <v>77</v>
      </c>
      <c r="V14" s="142" t="s">
        <v>77</v>
      </c>
      <c r="X14" s="213"/>
      <c r="Y14" s="217" t="s">
        <v>6</v>
      </c>
      <c r="Z14" s="186" t="s">
        <v>77</v>
      </c>
      <c r="AA14" s="221" t="s">
        <v>77</v>
      </c>
      <c r="AC14" s="205"/>
      <c r="AD14" s="206"/>
      <c r="AE14" s="207"/>
      <c r="AF14" s="208"/>
    </row>
    <row r="15" spans="1:33" ht="14.45" x14ac:dyDescent="0.35">
      <c r="A15" s="143"/>
      <c r="B15" s="15" t="s">
        <v>15</v>
      </c>
      <c r="C15" s="15" t="s">
        <v>16</v>
      </c>
      <c r="D15" s="15" t="s">
        <v>17</v>
      </c>
      <c r="E15" s="15" t="s">
        <v>18</v>
      </c>
      <c r="F15" s="15" t="s">
        <v>19</v>
      </c>
      <c r="G15" s="15" t="s">
        <v>20</v>
      </c>
      <c r="H15" s="15" t="s">
        <v>98</v>
      </c>
      <c r="I15" s="24" t="s">
        <v>15</v>
      </c>
      <c r="J15" s="24" t="s">
        <v>16</v>
      </c>
      <c r="K15" s="24" t="s">
        <v>17</v>
      </c>
      <c r="L15" s="24" t="s">
        <v>18</v>
      </c>
      <c r="M15" s="24" t="s">
        <v>19</v>
      </c>
      <c r="N15" s="24" t="s">
        <v>20</v>
      </c>
      <c r="O15" s="24" t="s">
        <v>98</v>
      </c>
      <c r="P15" s="15" t="s">
        <v>15</v>
      </c>
      <c r="Q15" s="15" t="s">
        <v>16</v>
      </c>
      <c r="R15" s="15" t="s">
        <v>17</v>
      </c>
      <c r="S15" s="15" t="s">
        <v>18</v>
      </c>
      <c r="T15" s="15" t="s">
        <v>19</v>
      </c>
      <c r="U15" s="15" t="s">
        <v>20</v>
      </c>
      <c r="V15" s="144" t="s">
        <v>98</v>
      </c>
      <c r="X15" s="216" t="s">
        <v>94</v>
      </c>
      <c r="Y15" s="218" t="str">
        <f ca="1">OFFSET($A$15,0,$AG$2)</f>
        <v>Jan-Jun</v>
      </c>
      <c r="Z15" s="24" t="str">
        <f ca="1">OFFSET($A$15,0,$AG$2)</f>
        <v>Jan-Jun</v>
      </c>
      <c r="AA15" s="222" t="str">
        <f ca="1">OFFSET($A$15,0,$AG$2)</f>
        <v>Jan-Jun</v>
      </c>
      <c r="AC15" s="336" t="s">
        <v>99</v>
      </c>
      <c r="AD15" s="337"/>
      <c r="AE15" s="338" t="s">
        <v>103</v>
      </c>
      <c r="AF15" s="339"/>
    </row>
    <row r="16" spans="1:33" ht="14.45" x14ac:dyDescent="0.35">
      <c r="A16" s="143"/>
      <c r="B16" s="15" t="s">
        <v>8</v>
      </c>
      <c r="C16" s="15" t="s">
        <v>8</v>
      </c>
      <c r="D16" s="15" t="s">
        <v>8</v>
      </c>
      <c r="E16" s="15" t="s">
        <v>8</v>
      </c>
      <c r="F16" s="15" t="s">
        <v>8</v>
      </c>
      <c r="G16" s="15" t="s">
        <v>8</v>
      </c>
      <c r="H16" s="15" t="s">
        <v>8</v>
      </c>
      <c r="I16" s="24" t="s">
        <v>7</v>
      </c>
      <c r="J16" s="24" t="s">
        <v>7</v>
      </c>
      <c r="K16" s="24" t="s">
        <v>7</v>
      </c>
      <c r="L16" s="24" t="s">
        <v>7</v>
      </c>
      <c r="M16" s="24" t="s">
        <v>7</v>
      </c>
      <c r="N16" s="24" t="s">
        <v>7</v>
      </c>
      <c r="O16" s="24" t="s">
        <v>7</v>
      </c>
      <c r="P16" s="183" t="s">
        <v>8</v>
      </c>
      <c r="Q16" s="183" t="s">
        <v>8</v>
      </c>
      <c r="R16" s="183" t="s">
        <v>8</v>
      </c>
      <c r="S16" s="183" t="s">
        <v>8</v>
      </c>
      <c r="T16" s="183" t="s">
        <v>8</v>
      </c>
      <c r="U16" s="183" t="s">
        <v>8</v>
      </c>
      <c r="V16" s="201" t="s">
        <v>8</v>
      </c>
      <c r="X16" s="232"/>
      <c r="Y16" s="218" t="s">
        <v>8</v>
      </c>
      <c r="Z16" s="24" t="s">
        <v>7</v>
      </c>
      <c r="AA16" s="223" t="s">
        <v>8</v>
      </c>
      <c r="AC16" s="209"/>
      <c r="AD16" s="210"/>
      <c r="AE16" s="211"/>
      <c r="AF16" s="212"/>
    </row>
    <row r="17" spans="1:32" ht="14.45" x14ac:dyDescent="0.35">
      <c r="A17" s="143" t="s">
        <v>100</v>
      </c>
      <c r="B17" s="184" t="e">
        <f>'Total Sales Brazil'!#REF!</f>
        <v>#REF!</v>
      </c>
      <c r="C17" s="184" t="e">
        <f>'Total Sales Brazil'!#REF!</f>
        <v>#REF!</v>
      </c>
      <c r="D17" s="184" t="e">
        <f>'Total Sales Brazil'!#REF!</f>
        <v>#REF!</v>
      </c>
      <c r="E17" s="184" t="e">
        <f>'Total Sales Brazil'!#REF!</f>
        <v>#REF!</v>
      </c>
      <c r="F17" s="184" t="e">
        <f>'Total Sales Brazil'!#REF!</f>
        <v>#REF!</v>
      </c>
      <c r="G17" s="184" t="e">
        <f>'Total Sales Brazil'!#REF!</f>
        <v>#REF!</v>
      </c>
      <c r="H17" s="184" t="e">
        <f>SUM('Total Sales Brazil'!#REF!)</f>
        <v>#REF!</v>
      </c>
      <c r="I17" s="182" t="e">
        <f>'Total Sales Brazil'!#REF!</f>
        <v>#REF!</v>
      </c>
      <c r="J17" s="182" t="e">
        <f>'Total Sales Brazil'!#REF!</f>
        <v>#REF!</v>
      </c>
      <c r="K17" s="182" t="e">
        <f>'Total Sales Brazil'!#REF!</f>
        <v>#REF!</v>
      </c>
      <c r="L17" s="182" t="e">
        <f>'Total Sales Brazil'!#REF!</f>
        <v>#REF!</v>
      </c>
      <c r="M17" s="182" t="e">
        <f>'Total Sales Brazil'!#REF!</f>
        <v>#REF!</v>
      </c>
      <c r="N17" s="182" t="e">
        <f>'Total Sales Brazil'!#REF!</f>
        <v>#REF!</v>
      </c>
      <c r="O17" s="182" t="e">
        <f>SUM('Total Sales Brazil'!#REF!)</f>
        <v>#REF!</v>
      </c>
      <c r="P17" s="184" t="e">
        <f>'Total Sales Brazil'!#REF!</f>
        <v>#REF!</v>
      </c>
      <c r="Q17" s="184" t="e">
        <f>'Total Sales Brazil'!#REF!</f>
        <v>#REF!</v>
      </c>
      <c r="R17" s="184" t="e">
        <f>'Total Sales Brazil'!#REF!</f>
        <v>#REF!</v>
      </c>
      <c r="S17" s="184" t="e">
        <f>'Total Sales Brazil'!#REF!</f>
        <v>#REF!</v>
      </c>
      <c r="T17" s="184" t="e">
        <f>'Total Sales Brazil'!#REF!</f>
        <v>#REF!</v>
      </c>
      <c r="U17" s="184" t="e">
        <f>'Total Sales Brazil'!#REF!</f>
        <v>#REF!</v>
      </c>
      <c r="V17" s="202" t="e">
        <f>SUM('Total Sales Brazil'!#REF!)</f>
        <v>#REF!</v>
      </c>
      <c r="X17" s="143" t="s">
        <v>100</v>
      </c>
      <c r="Y17" s="219" t="e">
        <f ca="1">OFFSET(A17,0,$AG$2)</f>
        <v>#REF!</v>
      </c>
      <c r="Z17" s="182" t="e">
        <f ca="1">OFFSET(H17,0,$AG$2)</f>
        <v>#REF!</v>
      </c>
      <c r="AA17" s="224" t="e">
        <f t="shared" ref="AA17:AA19" ca="1" si="25">OFFSET(O17,0,$AG$2)</f>
        <v>#REF!</v>
      </c>
      <c r="AC17" s="229" t="e">
        <f ca="1">AA17-Y17</f>
        <v>#REF!</v>
      </c>
      <c r="AD17" s="203" t="str">
        <f ca="1">IFERROR(AA17/Y17-1,"")</f>
        <v/>
      </c>
      <c r="AE17" s="230" t="e">
        <f ca="1">AA17-Z17</f>
        <v>#REF!</v>
      </c>
      <c r="AF17" s="231" t="str">
        <f ca="1">IFERROR(AA17/Z17-1,"")</f>
        <v/>
      </c>
    </row>
    <row r="18" spans="1:32" ht="14.45" x14ac:dyDescent="0.35">
      <c r="A18" s="143" t="s">
        <v>101</v>
      </c>
      <c r="B18" s="184" t="e">
        <f>B19-B17</f>
        <v>#REF!</v>
      </c>
      <c r="C18" s="184" t="e">
        <f t="shared" ref="C18:I18" si="26">C19-C17</f>
        <v>#REF!</v>
      </c>
      <c r="D18" s="184" t="e">
        <f t="shared" si="26"/>
        <v>#REF!</v>
      </c>
      <c r="E18" s="184" t="e">
        <f t="shared" si="26"/>
        <v>#REF!</v>
      </c>
      <c r="F18" s="184" t="e">
        <f t="shared" si="26"/>
        <v>#REF!</v>
      </c>
      <c r="G18" s="184" t="e">
        <f t="shared" si="26"/>
        <v>#REF!</v>
      </c>
      <c r="H18" s="184" t="e">
        <f t="shared" si="26"/>
        <v>#REF!</v>
      </c>
      <c r="I18" s="182" t="e">
        <f t="shared" si="26"/>
        <v>#REF!</v>
      </c>
      <c r="J18" s="182" t="e">
        <f t="shared" ref="J18" si="27">J19-J17</f>
        <v>#REF!</v>
      </c>
      <c r="K18" s="182" t="e">
        <f t="shared" ref="K18" si="28">K19-K17</f>
        <v>#REF!</v>
      </c>
      <c r="L18" s="182" t="e">
        <f t="shared" ref="L18" si="29">L19-L17</f>
        <v>#REF!</v>
      </c>
      <c r="M18" s="182" t="e">
        <f t="shared" ref="M18" si="30">M19-M17</f>
        <v>#REF!</v>
      </c>
      <c r="N18" s="182" t="e">
        <f t="shared" ref="N18" si="31">N19-N17</f>
        <v>#REF!</v>
      </c>
      <c r="O18" s="182" t="e">
        <f t="shared" ref="O18:P18" si="32">O19-O17</f>
        <v>#REF!</v>
      </c>
      <c r="P18" s="184" t="e">
        <f t="shared" si="32"/>
        <v>#REF!</v>
      </c>
      <c r="Q18" s="184" t="e">
        <f t="shared" ref="Q18" si="33">Q19-Q17</f>
        <v>#REF!</v>
      </c>
      <c r="R18" s="184" t="e">
        <f t="shared" ref="R18" si="34">R19-R17</f>
        <v>#REF!</v>
      </c>
      <c r="S18" s="184" t="e">
        <f t="shared" ref="S18" si="35">S19-S17</f>
        <v>#REF!</v>
      </c>
      <c r="T18" s="184" t="e">
        <f t="shared" ref="T18" si="36">T19-T17</f>
        <v>#REF!</v>
      </c>
      <c r="U18" s="184" t="e">
        <f t="shared" ref="U18:V18" si="37">U19-U17</f>
        <v>#REF!</v>
      </c>
      <c r="V18" s="202" t="e">
        <f t="shared" si="37"/>
        <v>#REF!</v>
      </c>
      <c r="X18" s="143" t="s">
        <v>101</v>
      </c>
      <c r="Y18" s="219" t="e">
        <f ca="1">OFFSET(A18,0,$AG$2)</f>
        <v>#REF!</v>
      </c>
      <c r="Z18" s="182" t="e">
        <f ca="1">OFFSET(H18,0,$AG$2)</f>
        <v>#REF!</v>
      </c>
      <c r="AA18" s="224" t="e">
        <f t="shared" ca="1" si="25"/>
        <v>#REF!</v>
      </c>
      <c r="AC18" s="229" t="e">
        <f ca="1">AA18-Y18</f>
        <v>#REF!</v>
      </c>
      <c r="AD18" s="203" t="str">
        <f ca="1">IFERROR(AA18/Y18-1,"")</f>
        <v/>
      </c>
      <c r="AE18" s="230" t="e">
        <f ca="1">AA18-Z18</f>
        <v>#REF!</v>
      </c>
      <c r="AF18" s="231" t="str">
        <f t="shared" ref="AF18" ca="1" si="38">IFERROR(AA18/Z18-1,"")</f>
        <v/>
      </c>
    </row>
    <row r="19" spans="1:32" ht="14.45" x14ac:dyDescent="0.35">
      <c r="A19" s="145" t="s">
        <v>102</v>
      </c>
      <c r="B19" s="156">
        <f>'Total Sales'!N64</f>
        <v>0</v>
      </c>
      <c r="C19" s="156">
        <f>'Total Sales'!O64</f>
        <v>0</v>
      </c>
      <c r="D19" s="156">
        <f>'Total Sales'!P64</f>
        <v>0</v>
      </c>
      <c r="E19" s="156">
        <f>'Total Sales'!Q64</f>
        <v>0</v>
      </c>
      <c r="F19" s="156">
        <f>'Total Sales'!R64</f>
        <v>0</v>
      </c>
      <c r="G19" s="156">
        <f>'Total Sales'!S64</f>
        <v>0</v>
      </c>
      <c r="H19" s="62">
        <f>SUM('Total Sales'!$N$64:$S$64)</f>
        <v>0</v>
      </c>
      <c r="I19" s="63" t="e">
        <f>'Total Sales'!#REF!</f>
        <v>#REF!</v>
      </c>
      <c r="J19" s="63" t="e">
        <f>'Total Sales'!#REF!</f>
        <v>#REF!</v>
      </c>
      <c r="K19" s="63" t="e">
        <f>'Total Sales'!#REF!</f>
        <v>#REF!</v>
      </c>
      <c r="L19" s="63" t="e">
        <f>'Total Sales'!#REF!</f>
        <v>#REF!</v>
      </c>
      <c r="M19" s="63" t="e">
        <f>'Total Sales'!#REF!</f>
        <v>#REF!</v>
      </c>
      <c r="N19" s="63" t="e">
        <f>'Total Sales'!#REF!</f>
        <v>#REF!</v>
      </c>
      <c r="O19" s="63" t="e">
        <f>SUM('Total Sales'!#REF!)</f>
        <v>#REF!</v>
      </c>
      <c r="P19" s="62">
        <f>'Total Sales'!B64</f>
        <v>0</v>
      </c>
      <c r="Q19" s="156">
        <f>'Total Sales'!C64</f>
        <v>0</v>
      </c>
      <c r="R19" s="156">
        <f>'Total Sales'!D64</f>
        <v>0</v>
      </c>
      <c r="S19" s="156">
        <f>'Total Sales'!E64</f>
        <v>0</v>
      </c>
      <c r="T19" s="156">
        <f>'Total Sales'!F64</f>
        <v>0</v>
      </c>
      <c r="U19" s="156">
        <f>'Total Sales'!G64</f>
        <v>0</v>
      </c>
      <c r="V19" s="146">
        <f>SUM('Total Sales'!$B$64:$G$64)</f>
        <v>0</v>
      </c>
      <c r="X19" s="145" t="s">
        <v>102</v>
      </c>
      <c r="Y19" s="62">
        <f ca="1">OFFSET(A19,0,$AG$2)</f>
        <v>0</v>
      </c>
      <c r="Z19" s="63" t="e">
        <f ca="1">OFFSET(H19,0,$AG$2)</f>
        <v>#REF!</v>
      </c>
      <c r="AA19" s="225">
        <f t="shared" ca="1" si="25"/>
        <v>0</v>
      </c>
      <c r="AC19" s="229">
        <f ca="1">AA19-Y19</f>
        <v>0</v>
      </c>
      <c r="AD19" s="203" t="str">
        <f ca="1">IFERROR(AA19/Y19-1,"")</f>
        <v/>
      </c>
      <c r="AE19" s="230" t="e">
        <f ca="1">AA19-Z19</f>
        <v>#REF!</v>
      </c>
      <c r="AF19" s="231" t="str">
        <f t="shared" ref="AF19" ca="1" si="39">IFERROR(AA19/Z19-1,"")</f>
        <v/>
      </c>
    </row>
    <row r="20" spans="1:32" ht="4.5" customHeight="1" x14ac:dyDescent="0.35">
      <c r="A20" s="14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71"/>
      <c r="X20" s="143"/>
      <c r="Y20" s="176"/>
      <c r="AA20" s="226"/>
      <c r="AC20" s="172">
        <f>AA20-Y20</f>
        <v>0</v>
      </c>
      <c r="AD20" s="174" t="str">
        <f>IFERROR(AA20/Y20-1,"")</f>
        <v/>
      </c>
      <c r="AE20" s="178">
        <f>AA20-Z20</f>
        <v>0</v>
      </c>
      <c r="AF20" s="179" t="str">
        <f>IFERROR(AA20/Z20-1,"")</f>
        <v/>
      </c>
    </row>
    <row r="21" spans="1:32" ht="14.45" x14ac:dyDescent="0.35">
      <c r="A21" s="214" t="s">
        <v>100</v>
      </c>
      <c r="B21" s="203" t="str">
        <f>IFERROR(B17/B19,"")</f>
        <v/>
      </c>
      <c r="C21" s="203" t="str">
        <f t="shared" ref="C21:V21" si="40">IFERROR(C17/C19,"")</f>
        <v/>
      </c>
      <c r="D21" s="203" t="str">
        <f t="shared" si="40"/>
        <v/>
      </c>
      <c r="E21" s="203" t="str">
        <f t="shared" si="40"/>
        <v/>
      </c>
      <c r="F21" s="203" t="str">
        <f t="shared" si="40"/>
        <v/>
      </c>
      <c r="G21" s="203" t="str">
        <f t="shared" si="40"/>
        <v/>
      </c>
      <c r="H21" s="203" t="str">
        <f t="shared" si="40"/>
        <v/>
      </c>
      <c r="I21" s="203" t="str">
        <f t="shared" si="40"/>
        <v/>
      </c>
      <c r="J21" s="203" t="str">
        <f t="shared" si="40"/>
        <v/>
      </c>
      <c r="K21" s="203" t="str">
        <f t="shared" si="40"/>
        <v/>
      </c>
      <c r="L21" s="203" t="str">
        <f t="shared" si="40"/>
        <v/>
      </c>
      <c r="M21" s="203" t="str">
        <f t="shared" si="40"/>
        <v/>
      </c>
      <c r="N21" s="203" t="str">
        <f t="shared" si="40"/>
        <v/>
      </c>
      <c r="O21" s="203" t="str">
        <f t="shared" si="40"/>
        <v/>
      </c>
      <c r="P21" s="203" t="str">
        <f t="shared" si="40"/>
        <v/>
      </c>
      <c r="Q21" s="203" t="str">
        <f t="shared" si="40"/>
        <v/>
      </c>
      <c r="R21" s="203" t="str">
        <f t="shared" si="40"/>
        <v/>
      </c>
      <c r="S21" s="203" t="str">
        <f t="shared" si="40"/>
        <v/>
      </c>
      <c r="T21" s="203" t="str">
        <f t="shared" si="40"/>
        <v/>
      </c>
      <c r="U21" s="203" t="str">
        <f t="shared" si="40"/>
        <v/>
      </c>
      <c r="V21" s="204" t="str">
        <f t="shared" si="40"/>
        <v/>
      </c>
      <c r="X21" s="214" t="s">
        <v>100</v>
      </c>
      <c r="Y21" s="220" t="str">
        <f t="shared" ref="Y21:AA21" ca="1" si="41">IFERROR(Y17/Y19,"")</f>
        <v/>
      </c>
      <c r="Z21" s="203" t="str">
        <f t="shared" ca="1" si="41"/>
        <v/>
      </c>
      <c r="AA21" s="227" t="str">
        <f t="shared" ca="1" si="41"/>
        <v/>
      </c>
      <c r="AC21" s="143"/>
      <c r="AD21" s="10"/>
      <c r="AE21" s="176"/>
      <c r="AF21" s="177"/>
    </row>
    <row r="22" spans="1:32" ht="14.45" x14ac:dyDescent="0.35">
      <c r="A22" s="215" t="s">
        <v>101</v>
      </c>
      <c r="B22" s="11" t="str">
        <f>IFERROR(B18/B19,"")</f>
        <v/>
      </c>
      <c r="C22" s="11" t="str">
        <f t="shared" ref="C22:V22" si="42">IFERROR(C18/C19,"")</f>
        <v/>
      </c>
      <c r="D22" s="11" t="str">
        <f t="shared" si="42"/>
        <v/>
      </c>
      <c r="E22" s="11" t="str">
        <f t="shared" si="42"/>
        <v/>
      </c>
      <c r="F22" s="11" t="str">
        <f t="shared" si="42"/>
        <v/>
      </c>
      <c r="G22" s="11" t="str">
        <f t="shared" si="42"/>
        <v/>
      </c>
      <c r="H22" s="11" t="str">
        <f t="shared" si="42"/>
        <v/>
      </c>
      <c r="I22" s="11" t="str">
        <f t="shared" si="42"/>
        <v/>
      </c>
      <c r="J22" s="11" t="str">
        <f t="shared" si="42"/>
        <v/>
      </c>
      <c r="K22" s="11" t="str">
        <f t="shared" si="42"/>
        <v/>
      </c>
      <c r="L22" s="11" t="str">
        <f t="shared" si="42"/>
        <v/>
      </c>
      <c r="M22" s="11" t="str">
        <f t="shared" si="42"/>
        <v/>
      </c>
      <c r="N22" s="11" t="str">
        <f t="shared" si="42"/>
        <v/>
      </c>
      <c r="O22" s="11" t="str">
        <f t="shared" si="42"/>
        <v/>
      </c>
      <c r="P22" s="11" t="str">
        <f t="shared" si="42"/>
        <v/>
      </c>
      <c r="Q22" s="11" t="str">
        <f t="shared" si="42"/>
        <v/>
      </c>
      <c r="R22" s="11" t="str">
        <f t="shared" si="42"/>
        <v/>
      </c>
      <c r="S22" s="11" t="str">
        <f t="shared" si="42"/>
        <v/>
      </c>
      <c r="T22" s="11" t="str">
        <f t="shared" si="42"/>
        <v/>
      </c>
      <c r="U22" s="11" t="str">
        <f t="shared" si="42"/>
        <v/>
      </c>
      <c r="V22" s="150" t="str">
        <f t="shared" si="42"/>
        <v/>
      </c>
      <c r="X22" s="215" t="s">
        <v>101</v>
      </c>
      <c r="Y22" s="194" t="str">
        <f t="shared" ref="Y22:AA22" ca="1" si="43">IFERROR(Y18/Y19,"")</f>
        <v/>
      </c>
      <c r="Z22" s="11" t="str">
        <f t="shared" ca="1" si="43"/>
        <v/>
      </c>
      <c r="AA22" s="228" t="str">
        <f t="shared" ca="1" si="43"/>
        <v/>
      </c>
      <c r="AC22" s="173"/>
      <c r="AD22" s="175"/>
      <c r="AE22" s="180"/>
      <c r="AF22" s="181"/>
    </row>
  </sheetData>
  <mergeCells count="6">
    <mergeCell ref="AC2:AD2"/>
    <mergeCell ref="AE2:AF2"/>
    <mergeCell ref="A12:V12"/>
    <mergeCell ref="AC15:AD15"/>
    <mergeCell ref="AE15:AF15"/>
    <mergeCell ref="X12:A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BJ67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61" width="10.5703125" bestFit="1" customWidth="1"/>
  </cols>
  <sheetData>
    <row r="1" spans="1:61" ht="14.45" x14ac:dyDescent="0.35">
      <c r="A1" s="1" t="s">
        <v>0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x14ac:dyDescent="0.25">
      <c r="A6" s="1" t="s">
        <v>60</v>
      </c>
      <c r="B6" s="257"/>
      <c r="D6" s="25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2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x14ac:dyDescent="0.25">
      <c r="A12" s="1" t="s">
        <v>124</v>
      </c>
      <c r="B12" s="3">
        <v>309.56004999999999</v>
      </c>
      <c r="C12" s="3">
        <v>231.84142800000004</v>
      </c>
      <c r="D12" s="3">
        <v>1786.7663890000001</v>
      </c>
      <c r="E12" s="3">
        <v>114.82551299999999</v>
      </c>
      <c r="F12" s="3">
        <v>709.79305899999997</v>
      </c>
      <c r="G12" s="3">
        <v>1897.3491590000001</v>
      </c>
      <c r="H12" s="3">
        <v>196.76957099999998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195.17668300000003</v>
      </c>
      <c r="O12" s="3">
        <v>726.86853000000008</v>
      </c>
      <c r="P12" s="3">
        <v>821.07313099999988</v>
      </c>
      <c r="Q12" s="3">
        <v>330.79873100000003</v>
      </c>
      <c r="R12" s="3">
        <v>882.32088699999997</v>
      </c>
      <c r="S12" s="3">
        <v>1396.4056979999998</v>
      </c>
      <c r="T12" s="3">
        <v>468.582379</v>
      </c>
      <c r="U12" s="3">
        <v>231.92768100000001</v>
      </c>
      <c r="V12" s="3">
        <v>1644.8867700000001</v>
      </c>
      <c r="W12" s="3">
        <v>531.48110200000008</v>
      </c>
      <c r="X12" s="3">
        <v>453.815158</v>
      </c>
      <c r="Y12" s="3">
        <v>1106.5081130000001</v>
      </c>
      <c r="Z12" s="3">
        <v>309.56004999999999</v>
      </c>
      <c r="AA12" s="3">
        <v>231.84142800000001</v>
      </c>
      <c r="AB12" s="3">
        <v>1786.7663890000001</v>
      </c>
      <c r="AC12" s="3">
        <v>114.82551300000002</v>
      </c>
      <c r="AD12" s="3">
        <v>709.79305899999997</v>
      </c>
      <c r="AE12" s="3">
        <v>1897.3491589999999</v>
      </c>
      <c r="AF12" s="3">
        <v>196.76957100000004</v>
      </c>
      <c r="AG12" s="3">
        <v>860.69749999999999</v>
      </c>
      <c r="AH12" s="3">
        <v>997.26592467994101</v>
      </c>
      <c r="AI12" s="3">
        <v>764.23275999999998</v>
      </c>
      <c r="AJ12" s="3">
        <v>873.75738999999976</v>
      </c>
      <c r="AK12" s="3">
        <v>724.56006000000002</v>
      </c>
      <c r="AL12" s="3">
        <v>309.56004999999999</v>
      </c>
      <c r="AM12" s="3">
        <v>231.84142800000001</v>
      </c>
      <c r="AN12" s="3">
        <v>1786.7663890000001</v>
      </c>
      <c r="AO12" s="3">
        <v>114.82551300000002</v>
      </c>
      <c r="AP12" s="3">
        <v>709.79305899999997</v>
      </c>
      <c r="AQ12" s="3">
        <v>1897.3491589999999</v>
      </c>
      <c r="AR12" s="3">
        <v>770.18646999999999</v>
      </c>
      <c r="AS12" s="3">
        <v>859.66544999999985</v>
      </c>
      <c r="AT12" s="3">
        <v>996.11494700508831</v>
      </c>
      <c r="AU12" s="3">
        <v>763.28780000000006</v>
      </c>
      <c r="AV12" s="3">
        <v>872.72717999999998</v>
      </c>
      <c r="AW12" s="3">
        <v>723.70132000000001</v>
      </c>
      <c r="AX12" s="3">
        <v>543.77332000000001</v>
      </c>
      <c r="AY12" s="3">
        <v>611.92996000000005</v>
      </c>
      <c r="AZ12" s="3">
        <v>763.78131000000019</v>
      </c>
      <c r="BA12" s="3">
        <v>726.89227999999991</v>
      </c>
      <c r="BB12" s="3">
        <v>751.11355000000015</v>
      </c>
      <c r="BC12" s="3">
        <v>835.97894000000008</v>
      </c>
      <c r="BD12" s="3">
        <v>735.76677999999993</v>
      </c>
      <c r="BE12" s="3">
        <v>817.86971999999992</v>
      </c>
      <c r="BF12" s="3">
        <v>892.98309000000006</v>
      </c>
      <c r="BG12" s="3">
        <v>741.27269999999999</v>
      </c>
      <c r="BH12" s="3">
        <v>849.4506100000001</v>
      </c>
      <c r="BI12" s="3">
        <v>704.23064999999997</v>
      </c>
    </row>
    <row r="13" spans="1:61" ht="14.45" x14ac:dyDescent="0.35">
      <c r="A13" s="1" t="s">
        <v>125</v>
      </c>
      <c r="B13" s="3">
        <v>113.09595999999999</v>
      </c>
      <c r="C13" s="3">
        <v>201.33933999999996</v>
      </c>
      <c r="D13" s="3">
        <v>284.49064600000008</v>
      </c>
      <c r="E13" s="3">
        <v>179.82587900000004</v>
      </c>
      <c r="F13" s="3">
        <v>341.593931</v>
      </c>
      <c r="G13" s="3">
        <v>426.49119100000001</v>
      </c>
      <c r="H13" s="3">
        <v>43.833376999999992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7.6325499999999984</v>
      </c>
      <c r="O13" s="3">
        <v>123.98699000000001</v>
      </c>
      <c r="P13" s="3">
        <v>14.781429999999999</v>
      </c>
      <c r="Q13" s="3">
        <v>7.0166699999999995</v>
      </c>
      <c r="R13" s="3">
        <v>89.847700000000003</v>
      </c>
      <c r="S13" s="3">
        <v>197.43768</v>
      </c>
      <c r="T13" s="3">
        <v>76.539050000000003</v>
      </c>
      <c r="U13" s="3">
        <v>107.78252000000001</v>
      </c>
      <c r="V13" s="3">
        <v>280.59578999999997</v>
      </c>
      <c r="W13" s="3">
        <v>112.11827000000002</v>
      </c>
      <c r="X13" s="3">
        <v>185.99463</v>
      </c>
      <c r="Y13" s="3">
        <v>346.56465999999995</v>
      </c>
      <c r="Z13" s="3">
        <v>113.09596000000001</v>
      </c>
      <c r="AA13" s="3">
        <v>201.33933999999999</v>
      </c>
      <c r="AB13" s="3">
        <v>284.49064600000003</v>
      </c>
      <c r="AC13" s="3">
        <v>179.82587900000001</v>
      </c>
      <c r="AD13" s="3">
        <v>341.59393100000005</v>
      </c>
      <c r="AE13" s="3">
        <v>426.49119100000001</v>
      </c>
      <c r="AF13" s="3">
        <v>43.833377000000006</v>
      </c>
      <c r="AG13" s="3">
        <v>282.34886999999998</v>
      </c>
      <c r="AH13" s="3">
        <v>288.97528</v>
      </c>
      <c r="AI13" s="3">
        <v>146.34926999999999</v>
      </c>
      <c r="AJ13" s="3">
        <v>269.00486999999998</v>
      </c>
      <c r="AK13" s="3">
        <v>39.218109999999996</v>
      </c>
      <c r="AL13" s="3">
        <v>113.09596000000001</v>
      </c>
      <c r="AM13" s="3">
        <v>201.33933999999999</v>
      </c>
      <c r="AN13" s="3">
        <v>284.49064600000003</v>
      </c>
      <c r="AO13" s="3">
        <v>179.82587900000001</v>
      </c>
      <c r="AP13" s="3">
        <v>341.59393100000005</v>
      </c>
      <c r="AQ13" s="3">
        <v>426.49119100000001</v>
      </c>
      <c r="AR13" s="3">
        <v>141.93457000000001</v>
      </c>
      <c r="AS13" s="3">
        <v>282.05210999999997</v>
      </c>
      <c r="AT13" s="3">
        <v>288.89572999999996</v>
      </c>
      <c r="AU13" s="3">
        <v>146.04939999999999</v>
      </c>
      <c r="AV13" s="3">
        <v>268.59298999999999</v>
      </c>
      <c r="AW13" s="3">
        <v>39.163550000000001</v>
      </c>
      <c r="AX13" s="3">
        <v>80.997739999999993</v>
      </c>
      <c r="AY13" s="3">
        <v>118.12460999999999</v>
      </c>
      <c r="AZ13" s="3">
        <v>131.24229</v>
      </c>
      <c r="BA13" s="3">
        <v>62.34975</v>
      </c>
      <c r="BB13" s="3">
        <v>332.85018000000002</v>
      </c>
      <c r="BC13" s="3">
        <v>65.805180000000007</v>
      </c>
      <c r="BD13" s="3">
        <v>108.99797999999998</v>
      </c>
      <c r="BE13" s="3">
        <v>211.20511999999999</v>
      </c>
      <c r="BF13" s="3">
        <v>112.45340999999999</v>
      </c>
      <c r="BG13" s="3">
        <v>137.34658000000002</v>
      </c>
      <c r="BH13" s="3">
        <v>257.85334999999998</v>
      </c>
      <c r="BI13" s="3">
        <v>37.804940000000002</v>
      </c>
    </row>
    <row r="14" spans="1:61" ht="14.45" x14ac:dyDescent="0.35">
      <c r="A14" s="1" t="s">
        <v>40</v>
      </c>
      <c r="B14" s="3">
        <v>32.0745</v>
      </c>
      <c r="C14" s="3">
        <v>15.021649999999998</v>
      </c>
      <c r="D14" s="3">
        <v>67.659019999999998</v>
      </c>
      <c r="E14" s="3">
        <v>12.28229</v>
      </c>
      <c r="F14" s="3">
        <v>39.589370000000002</v>
      </c>
      <c r="G14" s="3">
        <v>52.804608999999999</v>
      </c>
      <c r="H14" s="3">
        <v>21.407087999999998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10.43948</v>
      </c>
      <c r="O14" s="3">
        <v>44.371381999999997</v>
      </c>
      <c r="P14" s="3">
        <v>61.807452999999995</v>
      </c>
      <c r="Q14" s="3">
        <v>7.0131820000000005</v>
      </c>
      <c r="R14" s="3">
        <v>8.1368819999999999</v>
      </c>
      <c r="S14" s="3">
        <v>35.109133</v>
      </c>
      <c r="T14" s="3">
        <v>10.940652999999999</v>
      </c>
      <c r="U14" s="3">
        <v>24.548290000000001</v>
      </c>
      <c r="V14" s="3">
        <v>162.53287699999998</v>
      </c>
      <c r="W14" s="3">
        <v>16.045691999999999</v>
      </c>
      <c r="X14" s="3">
        <v>42.635110000000005</v>
      </c>
      <c r="Y14" s="3">
        <v>59.926257999999997</v>
      </c>
      <c r="Z14" s="3">
        <v>32.074499999999993</v>
      </c>
      <c r="AA14" s="3">
        <v>15.021649999999999</v>
      </c>
      <c r="AB14" s="3">
        <v>67.659019999999998</v>
      </c>
      <c r="AC14" s="3">
        <v>12.28229</v>
      </c>
      <c r="AD14" s="3">
        <v>39.589370000000002</v>
      </c>
      <c r="AE14" s="3">
        <v>52.804608999999999</v>
      </c>
      <c r="AF14" s="3">
        <v>21.407087999999998</v>
      </c>
      <c r="AG14" s="3">
        <v>48.047559999999997</v>
      </c>
      <c r="AH14" s="3">
        <v>23.818169999999999</v>
      </c>
      <c r="AI14" s="3">
        <v>54.276589999999999</v>
      </c>
      <c r="AJ14" s="3">
        <v>48.047559999999997</v>
      </c>
      <c r="AK14" s="3">
        <v>29.671579999999999</v>
      </c>
      <c r="AL14" s="3">
        <v>32.074499999999993</v>
      </c>
      <c r="AM14" s="3">
        <v>15.021649999999999</v>
      </c>
      <c r="AN14" s="3">
        <v>67.659019999999998</v>
      </c>
      <c r="AO14" s="3">
        <v>12.28229</v>
      </c>
      <c r="AP14" s="3">
        <v>39.589370000000002</v>
      </c>
      <c r="AQ14" s="3">
        <v>52.804608999999999</v>
      </c>
      <c r="AR14" s="3">
        <v>50.98283</v>
      </c>
      <c r="AS14" s="3">
        <v>47.988369999999996</v>
      </c>
      <c r="AT14" s="3">
        <v>23.789769999999997</v>
      </c>
      <c r="AU14" s="3">
        <v>54.210799999999999</v>
      </c>
      <c r="AV14" s="3">
        <v>47.988369999999996</v>
      </c>
      <c r="AW14" s="3">
        <v>29.623200000000001</v>
      </c>
      <c r="AX14" s="3">
        <v>49.686230000000002</v>
      </c>
      <c r="AY14" s="3">
        <v>20.605290000000004</v>
      </c>
      <c r="AZ14" s="3">
        <v>26.154260000000001</v>
      </c>
      <c r="BA14" s="3">
        <v>49.686230000000002</v>
      </c>
      <c r="BB14" s="3">
        <v>20.605290000000004</v>
      </c>
      <c r="BC14" s="3">
        <v>34.111860000000007</v>
      </c>
      <c r="BD14" s="3">
        <v>49.686230000000002</v>
      </c>
      <c r="BE14" s="3">
        <v>46.612480000000005</v>
      </c>
      <c r="BF14" s="3">
        <v>23.143450000000001</v>
      </c>
      <c r="BG14" s="3">
        <v>52.697040000000001</v>
      </c>
      <c r="BH14" s="3">
        <v>46.612480000000005</v>
      </c>
      <c r="BI14" s="3">
        <v>28.327480000000001</v>
      </c>
    </row>
    <row r="15" spans="1:61" ht="14.45" x14ac:dyDescent="0.35">
      <c r="A15" s="1" t="s">
        <v>41</v>
      </c>
      <c r="B15" s="3">
        <v>1.6330999999999998</v>
      </c>
      <c r="C15" s="3">
        <v>0.16288</v>
      </c>
      <c r="D15" s="3">
        <v>5.886266</v>
      </c>
      <c r="E15" s="3">
        <v>1.6515179999999998</v>
      </c>
      <c r="F15" s="3">
        <v>9.1266219999999993</v>
      </c>
      <c r="G15" s="3">
        <v>16.133763999999999</v>
      </c>
      <c r="H15" s="3">
        <v>8.4457000000000004E-2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7.10581</v>
      </c>
      <c r="O15" s="3">
        <v>0.11458999999999998</v>
      </c>
      <c r="P15" s="3">
        <v>0.57211200000000006</v>
      </c>
      <c r="Q15" s="3">
        <v>2.9261469999999998</v>
      </c>
      <c r="R15" s="3">
        <v>0.39996900000000002</v>
      </c>
      <c r="S15" s="3">
        <v>1.195157</v>
      </c>
      <c r="T15" s="3">
        <v>0.63123300000000004</v>
      </c>
      <c r="U15" s="3">
        <v>1.7780590000000001</v>
      </c>
      <c r="V15" s="3">
        <v>11.328527000000001</v>
      </c>
      <c r="W15" s="3">
        <v>0.27721600000000002</v>
      </c>
      <c r="X15" s="3">
        <v>0.22126399999999996</v>
      </c>
      <c r="Y15" s="3">
        <v>48.456246000000007</v>
      </c>
      <c r="Z15" s="3">
        <v>1.6330999999999998</v>
      </c>
      <c r="AA15" s="3">
        <v>0.16288</v>
      </c>
      <c r="AB15" s="3">
        <v>5.886266</v>
      </c>
      <c r="AC15" s="3">
        <v>1.6515179999999998</v>
      </c>
      <c r="AD15" s="3">
        <v>9.1266219999999993</v>
      </c>
      <c r="AE15" s="3">
        <v>16.133763999999999</v>
      </c>
      <c r="AF15" s="3">
        <v>8.4457000000000004E-2</v>
      </c>
      <c r="AG15" s="3">
        <v>16.072990000000001</v>
      </c>
      <c r="AH15" s="3">
        <v>3.6326000000000001</v>
      </c>
      <c r="AI15" s="3">
        <v>10.967560000000001</v>
      </c>
      <c r="AJ15" s="3">
        <v>2.7909000000000002</v>
      </c>
      <c r="AK15" s="3">
        <v>0</v>
      </c>
      <c r="AL15" s="3">
        <v>1.6330999999999998</v>
      </c>
      <c r="AM15" s="3">
        <v>0.16288</v>
      </c>
      <c r="AN15" s="3">
        <v>5.886266</v>
      </c>
      <c r="AO15" s="3">
        <v>1.6515179999999998</v>
      </c>
      <c r="AP15" s="3">
        <v>9.1266219999999993</v>
      </c>
      <c r="AQ15" s="3">
        <v>16.133763999999999</v>
      </c>
      <c r="AR15" s="3">
        <v>0</v>
      </c>
      <c r="AS15" s="3">
        <v>16.03679</v>
      </c>
      <c r="AT15" s="3">
        <v>3.6285799999999999</v>
      </c>
      <c r="AU15" s="3">
        <v>10.94286</v>
      </c>
      <c r="AV15" s="3">
        <v>2.7878099999999999</v>
      </c>
      <c r="AW15" s="3">
        <v>0</v>
      </c>
      <c r="AX15" s="3">
        <v>0</v>
      </c>
      <c r="AY15" s="3">
        <v>2.7211499999999997</v>
      </c>
      <c r="AZ15" s="3">
        <v>10.20646</v>
      </c>
      <c r="BA15" s="3">
        <v>0</v>
      </c>
      <c r="BB15" s="3">
        <v>17.678820000000002</v>
      </c>
      <c r="BC15" s="3">
        <v>3.7577699999999998</v>
      </c>
      <c r="BD15" s="3">
        <v>0</v>
      </c>
      <c r="BE15" s="3">
        <v>14.957929999999999</v>
      </c>
      <c r="BF15" s="3">
        <v>3.5418099999999999</v>
      </c>
      <c r="BG15" s="3">
        <v>10.20668</v>
      </c>
      <c r="BH15" s="3">
        <v>2.7211499999999997</v>
      </c>
      <c r="BI15" s="3">
        <v>0</v>
      </c>
    </row>
    <row r="16" spans="1:61" ht="14.45" x14ac:dyDescent="0.35">
      <c r="A16" s="1" t="s">
        <v>43</v>
      </c>
      <c r="B16" s="3">
        <v>320.861155</v>
      </c>
      <c r="C16" s="3">
        <v>257.44072499999999</v>
      </c>
      <c r="D16" s="3">
        <v>125.13641899999998</v>
      </c>
      <c r="E16" s="3">
        <v>122.99459</v>
      </c>
      <c r="F16" s="3">
        <v>303.78961400000003</v>
      </c>
      <c r="G16" s="3">
        <v>182.72478100000004</v>
      </c>
      <c r="H16" s="3">
        <v>25.393364000000002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4.9216839999999999</v>
      </c>
      <c r="O16" s="3">
        <v>55.229702999999994</v>
      </c>
      <c r="P16" s="3">
        <v>56.838658999999993</v>
      </c>
      <c r="Q16" s="3">
        <v>90.376066000000009</v>
      </c>
      <c r="R16" s="3">
        <v>30.303072000000004</v>
      </c>
      <c r="S16" s="3">
        <v>8.2558619999999987</v>
      </c>
      <c r="T16" s="3">
        <v>20.041552000000003</v>
      </c>
      <c r="U16" s="3">
        <v>13.826682</v>
      </c>
      <c r="V16" s="3">
        <v>104.983957</v>
      </c>
      <c r="W16" s="3">
        <v>27.593921000000002</v>
      </c>
      <c r="X16" s="3">
        <v>47.271252999999994</v>
      </c>
      <c r="Y16" s="3">
        <v>471.89396699999998</v>
      </c>
      <c r="Z16" s="3">
        <v>320.861155</v>
      </c>
      <c r="AA16" s="3">
        <v>257.44072499999999</v>
      </c>
      <c r="AB16" s="3">
        <v>125.136419</v>
      </c>
      <c r="AC16" s="3">
        <v>122.99459000000002</v>
      </c>
      <c r="AD16" s="3">
        <v>303.78961400000003</v>
      </c>
      <c r="AE16" s="3">
        <v>182.72478100000001</v>
      </c>
      <c r="AF16" s="3">
        <v>25.393363999999998</v>
      </c>
      <c r="AG16" s="3">
        <v>136.98853000000003</v>
      </c>
      <c r="AH16" s="3">
        <v>317.24495000000002</v>
      </c>
      <c r="AI16" s="3">
        <v>162.53721999999999</v>
      </c>
      <c r="AJ16" s="3">
        <v>275.28746000000001</v>
      </c>
      <c r="AK16" s="3">
        <v>129.24259000000001</v>
      </c>
      <c r="AL16" s="3">
        <v>320.861155</v>
      </c>
      <c r="AM16" s="3">
        <v>257.44072499999999</v>
      </c>
      <c r="AN16" s="3">
        <v>125.136419</v>
      </c>
      <c r="AO16" s="3">
        <v>122.99459000000002</v>
      </c>
      <c r="AP16" s="3">
        <v>303.78961400000003</v>
      </c>
      <c r="AQ16" s="3">
        <v>182.72478100000001</v>
      </c>
      <c r="AR16" s="3">
        <v>154.75903</v>
      </c>
      <c r="AS16" s="3">
        <v>136.80221</v>
      </c>
      <c r="AT16" s="3">
        <v>316.82528000000002</v>
      </c>
      <c r="AU16" s="3">
        <v>162.32264000000001</v>
      </c>
      <c r="AV16" s="3">
        <v>274.90064999999998</v>
      </c>
      <c r="AW16" s="3">
        <v>129.09963999999999</v>
      </c>
      <c r="AX16" s="3">
        <v>100.59951000000001</v>
      </c>
      <c r="AY16" s="3">
        <v>176.27874</v>
      </c>
      <c r="AZ16" s="3">
        <v>128.45231000000001</v>
      </c>
      <c r="BA16" s="3">
        <v>127.94940999999999</v>
      </c>
      <c r="BB16" s="3">
        <v>157.12702999999999</v>
      </c>
      <c r="BC16" s="3">
        <v>220.18613000000002</v>
      </c>
      <c r="BD16" s="3">
        <v>149.71081999999998</v>
      </c>
      <c r="BE16" s="3">
        <v>132.21687</v>
      </c>
      <c r="BF16" s="3">
        <v>306.65224000000001</v>
      </c>
      <c r="BG16" s="3">
        <v>157.12702999999999</v>
      </c>
      <c r="BH16" s="3">
        <v>265.21914000000004</v>
      </c>
      <c r="BI16" s="3">
        <v>126.01243000000002</v>
      </c>
    </row>
    <row r="17" spans="1:61" ht="14.45" x14ac:dyDescent="0.35">
      <c r="A17" s="1" t="s">
        <v>126</v>
      </c>
      <c r="B17" s="3">
        <v>5.1490399999999994</v>
      </c>
      <c r="C17" s="3">
        <v>21.558829999999997</v>
      </c>
      <c r="D17" s="3">
        <v>121.58742999999998</v>
      </c>
      <c r="E17" s="3">
        <v>2.43045</v>
      </c>
      <c r="F17" s="3">
        <v>32.939150000000005</v>
      </c>
      <c r="G17" s="3">
        <v>100.43512999999999</v>
      </c>
      <c r="H17" s="3">
        <v>-5.4703100000000004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14.741340000000001</v>
      </c>
      <c r="O17" s="3">
        <v>38.142240000000001</v>
      </c>
      <c r="P17" s="3">
        <v>24.244020000000003</v>
      </c>
      <c r="Q17" s="3">
        <v>1.5568000000000002</v>
      </c>
      <c r="R17" s="3">
        <v>40.406389999999995</v>
      </c>
      <c r="S17" s="3">
        <v>40.510910000000003</v>
      </c>
      <c r="T17" s="3">
        <v>47.630449999999996</v>
      </c>
      <c r="U17" s="3">
        <v>29.597330000000003</v>
      </c>
      <c r="V17" s="3">
        <v>33.877069999999996</v>
      </c>
      <c r="W17" s="3">
        <v>20.38655</v>
      </c>
      <c r="X17" s="3">
        <v>16.82124</v>
      </c>
      <c r="Y17" s="3">
        <v>116.92345999999999</v>
      </c>
      <c r="Z17" s="3">
        <v>5.1490399999999994</v>
      </c>
      <c r="AA17" s="3">
        <v>21.55883</v>
      </c>
      <c r="AB17" s="3">
        <v>121.58743</v>
      </c>
      <c r="AC17" s="3">
        <v>2.43045</v>
      </c>
      <c r="AD17" s="3">
        <v>32.939149999999998</v>
      </c>
      <c r="AE17" s="3">
        <v>100.43513</v>
      </c>
      <c r="AF17" s="3">
        <v>-5.4703100000000004</v>
      </c>
      <c r="AG17" s="3">
        <v>48.030550000000005</v>
      </c>
      <c r="AH17" s="3">
        <v>60.492580000000004</v>
      </c>
      <c r="AI17" s="3">
        <v>48.426699999999997</v>
      </c>
      <c r="AJ17" s="3">
        <v>51.857309999999998</v>
      </c>
      <c r="AK17" s="3">
        <v>42.983550000000001</v>
      </c>
      <c r="AL17" s="3">
        <v>5.1490399999999994</v>
      </c>
      <c r="AM17" s="3">
        <v>21.55883</v>
      </c>
      <c r="AN17" s="3">
        <v>121.58743</v>
      </c>
      <c r="AO17" s="3">
        <v>2.43045</v>
      </c>
      <c r="AP17" s="3">
        <v>32.939149999999998</v>
      </c>
      <c r="AQ17" s="3">
        <v>100.43513</v>
      </c>
      <c r="AR17" s="3">
        <v>64.551599999999993</v>
      </c>
      <c r="AS17" s="3">
        <v>47.974249999999998</v>
      </c>
      <c r="AT17" s="3">
        <v>60.415970000000002</v>
      </c>
      <c r="AU17" s="3">
        <v>48.363500000000002</v>
      </c>
      <c r="AV17" s="3">
        <v>51.790779999999998</v>
      </c>
      <c r="AW17" s="3">
        <v>42.929659999999998</v>
      </c>
      <c r="AX17" s="3">
        <v>15.24076</v>
      </c>
      <c r="AY17" s="3">
        <v>43.319189999999999</v>
      </c>
      <c r="AZ17" s="3">
        <v>37.072139999999997</v>
      </c>
      <c r="BA17" s="3">
        <v>37.366260000000004</v>
      </c>
      <c r="BB17" s="3">
        <v>57.855519999999999</v>
      </c>
      <c r="BC17" s="3">
        <v>61.031539999999993</v>
      </c>
      <c r="BD17" s="3">
        <v>62.515360000000001</v>
      </c>
      <c r="BE17" s="3">
        <v>46.707169999999998</v>
      </c>
      <c r="BF17" s="3">
        <v>58.605059999999995</v>
      </c>
      <c r="BG17" s="3">
        <v>46.842849999999999</v>
      </c>
      <c r="BH17" s="3">
        <v>50.206289999999996</v>
      </c>
      <c r="BI17" s="3">
        <v>41.663309999999996</v>
      </c>
    </row>
    <row r="18" spans="1:61" ht="14.45" x14ac:dyDescent="0.35">
      <c r="A18" s="1" t="s">
        <v>127</v>
      </c>
      <c r="B18" s="3">
        <v>9.3411469999999994</v>
      </c>
      <c r="C18" s="3">
        <v>12.342185000000001</v>
      </c>
      <c r="D18" s="3">
        <v>104.315825</v>
      </c>
      <c r="E18" s="3">
        <v>2.124018</v>
      </c>
      <c r="F18" s="3">
        <v>39.460431</v>
      </c>
      <c r="G18" s="3">
        <v>82.056892999999988</v>
      </c>
      <c r="H18" s="3">
        <v>-2.4867580000000018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44.841030000000003</v>
      </c>
      <c r="O18" s="3">
        <v>80.531649999999985</v>
      </c>
      <c r="P18" s="3">
        <v>40.067500000000003</v>
      </c>
      <c r="Q18" s="3">
        <v>54.838100000000011</v>
      </c>
      <c r="R18" s="3">
        <v>76.395129999999995</v>
      </c>
      <c r="S18" s="3">
        <v>86.441700000000026</v>
      </c>
      <c r="T18" s="3">
        <v>22.821500000000004</v>
      </c>
      <c r="U18" s="3">
        <v>4.2670899999999996</v>
      </c>
      <c r="V18" s="3">
        <v>82.667991000000015</v>
      </c>
      <c r="W18" s="3">
        <v>47.097746999999998</v>
      </c>
      <c r="X18" s="3">
        <v>94.688369000000009</v>
      </c>
      <c r="Y18" s="3">
        <v>102.470844</v>
      </c>
      <c r="Z18" s="3">
        <v>9.3411469999999994</v>
      </c>
      <c r="AA18" s="3">
        <v>12.342185000000001</v>
      </c>
      <c r="AB18" s="3">
        <v>104.31582499999999</v>
      </c>
      <c r="AC18" s="3">
        <v>2.124018</v>
      </c>
      <c r="AD18" s="3">
        <v>39.460431</v>
      </c>
      <c r="AE18" s="3">
        <v>82.056892999999988</v>
      </c>
      <c r="AF18" s="3">
        <v>-2.4867580000000009</v>
      </c>
      <c r="AG18" s="3">
        <v>85.995900000000006</v>
      </c>
      <c r="AH18" s="3">
        <v>85.028769999999994</v>
      </c>
      <c r="AI18" s="3">
        <v>93.040629999999993</v>
      </c>
      <c r="AJ18" s="3">
        <v>85.367549999999994</v>
      </c>
      <c r="AK18" s="3">
        <v>43.758399999999995</v>
      </c>
      <c r="AL18" s="3">
        <v>9.3411469999999994</v>
      </c>
      <c r="AM18" s="3">
        <v>12.342185000000001</v>
      </c>
      <c r="AN18" s="3">
        <v>104.31582499999999</v>
      </c>
      <c r="AO18" s="3">
        <v>2.124018</v>
      </c>
      <c r="AP18" s="3">
        <v>39.460431</v>
      </c>
      <c r="AQ18" s="3">
        <v>82.056892999999988</v>
      </c>
      <c r="AR18" s="3">
        <v>77.540790000000001</v>
      </c>
      <c r="AS18" s="3">
        <v>85.893100000000004</v>
      </c>
      <c r="AT18" s="3">
        <v>84.917090000000002</v>
      </c>
      <c r="AU18" s="3">
        <v>92.918810000000008</v>
      </c>
      <c r="AV18" s="3">
        <v>85.25479</v>
      </c>
      <c r="AW18" s="3">
        <v>43.709600000000002</v>
      </c>
      <c r="AX18" s="3">
        <v>34.812030000000007</v>
      </c>
      <c r="AY18" s="3">
        <v>86.287469999999999</v>
      </c>
      <c r="AZ18" s="3">
        <v>68.799089999999993</v>
      </c>
      <c r="BA18" s="3">
        <v>60.389980000000001</v>
      </c>
      <c r="BB18" s="3">
        <v>91.411450000000002</v>
      </c>
      <c r="BC18" s="3">
        <v>70.902869999999993</v>
      </c>
      <c r="BD18" s="3">
        <v>75.128200000000007</v>
      </c>
      <c r="BE18" s="3">
        <v>83.549120000000002</v>
      </c>
      <c r="BF18" s="3">
        <v>82.220550000000003</v>
      </c>
      <c r="BG18" s="3">
        <v>89.982440000000011</v>
      </c>
      <c r="BH18" s="3">
        <v>82.523180000000011</v>
      </c>
      <c r="BI18" s="3">
        <v>42.649260000000005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0.86799000000000004</v>
      </c>
      <c r="C20" s="3">
        <v>0.90920999999999996</v>
      </c>
      <c r="D20" s="3">
        <v>25.509710000000002</v>
      </c>
      <c r="E20" s="3">
        <v>0.2</v>
      </c>
      <c r="F20" s="3">
        <v>56.861199999999997</v>
      </c>
      <c r="G20" s="3">
        <v>153.26139000000001</v>
      </c>
      <c r="H20" s="3">
        <v>1.23882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5.612210000000001</v>
      </c>
      <c r="R20" s="3">
        <v>6.5922200000000002</v>
      </c>
      <c r="S20" s="3">
        <v>31.21499</v>
      </c>
      <c r="T20" s="3">
        <v>11.649979999999999</v>
      </c>
      <c r="U20" s="3">
        <v>2.5000000000000001E-3</v>
      </c>
      <c r="V20" s="3">
        <v>1.2608900000000001</v>
      </c>
      <c r="W20" s="3">
        <v>0</v>
      </c>
      <c r="X20" s="3">
        <v>5.7889900000000001</v>
      </c>
      <c r="Y20" s="3">
        <v>1.35626</v>
      </c>
      <c r="Z20" s="3">
        <v>0.86799000000000004</v>
      </c>
      <c r="AA20" s="3">
        <v>0.90920999999999996</v>
      </c>
      <c r="AB20" s="3">
        <v>25.509710000000002</v>
      </c>
      <c r="AC20" s="3">
        <v>0.2</v>
      </c>
      <c r="AD20" s="3">
        <v>56.861199999999997</v>
      </c>
      <c r="AE20" s="3">
        <v>153.26139000000003</v>
      </c>
      <c r="AF20" s="3">
        <v>1.23882</v>
      </c>
      <c r="AG20" s="3">
        <v>84.933729999999997</v>
      </c>
      <c r="AH20" s="3">
        <v>75.748620000000003</v>
      </c>
      <c r="AI20" s="3">
        <v>26.58</v>
      </c>
      <c r="AJ20" s="3">
        <v>29.238</v>
      </c>
      <c r="AK20" s="3">
        <v>29.238</v>
      </c>
      <c r="AL20" s="3">
        <v>0.86799000000000004</v>
      </c>
      <c r="AM20" s="3">
        <v>0.90920999999999996</v>
      </c>
      <c r="AN20" s="3">
        <v>25.509710000000002</v>
      </c>
      <c r="AO20" s="3">
        <v>0.2</v>
      </c>
      <c r="AP20" s="3">
        <v>56.861199999999997</v>
      </c>
      <c r="AQ20" s="3">
        <v>153.26139000000003</v>
      </c>
      <c r="AR20" s="3">
        <v>10.620240000000001</v>
      </c>
      <c r="AS20" s="3">
        <v>10.620240000000001</v>
      </c>
      <c r="AT20" s="3">
        <v>75.590220000000002</v>
      </c>
      <c r="AU20" s="3">
        <v>26.550599999999999</v>
      </c>
      <c r="AV20" s="3">
        <v>29.205660000000002</v>
      </c>
      <c r="AW20" s="3">
        <v>29.205660000000002</v>
      </c>
      <c r="AX20" s="3">
        <v>10.446090000000002</v>
      </c>
      <c r="AY20" s="3">
        <v>10.446090000000002</v>
      </c>
      <c r="AZ20" s="3">
        <v>24.846029999999999</v>
      </c>
      <c r="BA20" s="3">
        <v>10.446090000000002</v>
      </c>
      <c r="BB20" s="3">
        <v>91.661810000000003</v>
      </c>
      <c r="BC20" s="3">
        <v>24.846029999999999</v>
      </c>
      <c r="BD20" s="3">
        <v>10.446090000000002</v>
      </c>
      <c r="BE20" s="3">
        <v>67.846130000000002</v>
      </c>
      <c r="BF20" s="3">
        <v>34.062000000000005</v>
      </c>
      <c r="BG20" s="3">
        <v>51.395910000000001</v>
      </c>
      <c r="BH20" s="3">
        <v>26.07713</v>
      </c>
      <c r="BI20" s="3">
        <v>24.846029999999999</v>
      </c>
    </row>
    <row r="21" spans="1:61" ht="14.45" x14ac:dyDescent="0.35">
      <c r="A21" s="1" t="s">
        <v>130</v>
      </c>
      <c r="B21" s="3">
        <v>144.296673</v>
      </c>
      <c r="C21" s="3">
        <v>316.36109499999998</v>
      </c>
      <c r="D21" s="3">
        <v>528.51050899999996</v>
      </c>
      <c r="E21" s="3">
        <v>352.53211500000009</v>
      </c>
      <c r="F21" s="3">
        <v>315.02352200000001</v>
      </c>
      <c r="G21" s="3">
        <v>1172.726723</v>
      </c>
      <c r="H21" s="3">
        <v>680.38679200000001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211.115362</v>
      </c>
      <c r="O21" s="3">
        <v>287.17477700000001</v>
      </c>
      <c r="P21" s="3">
        <v>207.83438899999999</v>
      </c>
      <c r="Q21" s="3">
        <v>283.061488</v>
      </c>
      <c r="R21" s="3">
        <v>234.39768599999999</v>
      </c>
      <c r="S21" s="3">
        <v>521.81706099999997</v>
      </c>
      <c r="T21" s="3">
        <v>213.01264400000002</v>
      </c>
      <c r="U21" s="3">
        <v>361.62529500000005</v>
      </c>
      <c r="V21" s="3">
        <v>343.05270400000006</v>
      </c>
      <c r="W21" s="3">
        <v>367.38170700000001</v>
      </c>
      <c r="X21" s="3">
        <v>372.62249500000001</v>
      </c>
      <c r="Y21" s="3">
        <v>736.07650599999999</v>
      </c>
      <c r="Z21" s="3">
        <v>144.296673</v>
      </c>
      <c r="AA21" s="3">
        <v>316.36109499999998</v>
      </c>
      <c r="AB21" s="3">
        <v>528.51050899999996</v>
      </c>
      <c r="AC21" s="3">
        <v>352.53211499999998</v>
      </c>
      <c r="AD21" s="3">
        <v>315.02352200000001</v>
      </c>
      <c r="AE21" s="3">
        <v>1172.726723</v>
      </c>
      <c r="AF21" s="3">
        <v>680.38679200000001</v>
      </c>
      <c r="AG21" s="3">
        <v>434.97955999999999</v>
      </c>
      <c r="AH21" s="3">
        <v>1053.5611199999998</v>
      </c>
      <c r="AI21" s="3">
        <v>591.00237000000004</v>
      </c>
      <c r="AJ21" s="3">
        <v>623.23885999999993</v>
      </c>
      <c r="AK21" s="3">
        <v>642.58077000000003</v>
      </c>
      <c r="AL21" s="3">
        <v>144.296673</v>
      </c>
      <c r="AM21" s="3">
        <v>316.36109499999998</v>
      </c>
      <c r="AN21" s="3">
        <v>528.51050899999996</v>
      </c>
      <c r="AO21" s="3">
        <v>352.53211499999998</v>
      </c>
      <c r="AP21" s="3">
        <v>315.02352200000001</v>
      </c>
      <c r="AQ21" s="3">
        <v>1172.726723</v>
      </c>
      <c r="AR21" s="3">
        <v>580</v>
      </c>
      <c r="AS21" s="3">
        <v>434</v>
      </c>
      <c r="AT21" s="3">
        <v>1053</v>
      </c>
      <c r="AU21" s="3">
        <v>589.67146000000002</v>
      </c>
      <c r="AV21" s="3">
        <v>621.83536000000004</v>
      </c>
      <c r="AW21" s="3">
        <v>641.13370000000009</v>
      </c>
      <c r="AX21" s="3">
        <v>260.00076999999999</v>
      </c>
      <c r="AY21" s="3">
        <v>280.00082999999995</v>
      </c>
      <c r="AZ21" s="3">
        <v>380.00112000000001</v>
      </c>
      <c r="BA21" s="3">
        <v>420.00124000000005</v>
      </c>
      <c r="BB21" s="3">
        <v>450.00133000000005</v>
      </c>
      <c r="BC21" s="3">
        <v>490.00144999999998</v>
      </c>
      <c r="BD21" s="3">
        <v>490.00144999999998</v>
      </c>
      <c r="BE21" s="3">
        <v>520.00153</v>
      </c>
      <c r="BF21" s="3">
        <v>540.00157999999999</v>
      </c>
      <c r="BG21" s="3">
        <v>550.00162</v>
      </c>
      <c r="BH21" s="3">
        <v>580.00170000000003</v>
      </c>
      <c r="BI21" s="3">
        <v>598.00175999999999</v>
      </c>
    </row>
    <row r="22" spans="1:61" ht="14.45" x14ac:dyDescent="0.35">
      <c r="A22" s="1" t="s">
        <v>30</v>
      </c>
      <c r="B22" s="3">
        <v>0</v>
      </c>
      <c r="C22" s="3">
        <v>0</v>
      </c>
      <c r="D22" s="3">
        <v>8.4100000000000008E-3</v>
      </c>
      <c r="E22" s="3">
        <v>2.5000000000000001E-4</v>
      </c>
      <c r="F22" s="3">
        <v>7.3020000000000002E-2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4.4769999999999997E-2</v>
      </c>
      <c r="O22" s="3">
        <v>5.6870000000000004E-2</v>
      </c>
      <c r="P22" s="3">
        <v>9.1740000000000002E-2</v>
      </c>
      <c r="Q22" s="3">
        <v>0</v>
      </c>
      <c r="R22" s="3">
        <v>1.325E-2</v>
      </c>
      <c r="S22" s="3">
        <v>0.20702999999999999</v>
      </c>
      <c r="T22" s="3">
        <v>3.4746800000000002</v>
      </c>
      <c r="U22" s="3">
        <v>3.0599999999999998E-3</v>
      </c>
      <c r="V22" s="3">
        <v>-0.95555000000000001</v>
      </c>
      <c r="W22" s="3">
        <v>0</v>
      </c>
      <c r="X22" s="3">
        <v>0</v>
      </c>
      <c r="Y22" s="3">
        <v>3.5300000000000002E-3</v>
      </c>
      <c r="Z22" s="3">
        <v>0</v>
      </c>
      <c r="AA22" s="3">
        <v>0</v>
      </c>
      <c r="AB22" s="3">
        <v>8.4100000000000008E-3</v>
      </c>
      <c r="AC22" s="3">
        <v>2.5000000000000001E-4</v>
      </c>
      <c r="AD22" s="3">
        <v>7.3020000000000002E-2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8.4100000000000008E-3</v>
      </c>
      <c r="AO22" s="3">
        <v>2.5000000000000001E-4</v>
      </c>
      <c r="AP22" s="3">
        <v>7.3020000000000002E-2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-154.51548700000001</v>
      </c>
      <c r="C23" s="3">
        <v>-235.50277899999995</v>
      </c>
      <c r="D23" s="3">
        <v>-473.373242</v>
      </c>
      <c r="E23" s="3">
        <v>-87.329529999999991</v>
      </c>
      <c r="F23" s="3">
        <v>-272.05771400000003</v>
      </c>
      <c r="G23" s="3">
        <v>-525.21553899999992</v>
      </c>
      <c r="H23" s="3">
        <v>-164.99607999999998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-118.798286</v>
      </c>
      <c r="O23" s="3">
        <v>-162.63881799999999</v>
      </c>
      <c r="P23" s="3">
        <v>-50.459759999999996</v>
      </c>
      <c r="Q23" s="3">
        <v>-77.273607999999996</v>
      </c>
      <c r="R23" s="3">
        <v>-145.62362400000001</v>
      </c>
      <c r="S23" s="3">
        <v>-54.258310000000009</v>
      </c>
      <c r="T23" s="3">
        <v>-155.08021600000001</v>
      </c>
      <c r="U23" s="3">
        <v>-49.882549000000012</v>
      </c>
      <c r="V23" s="3">
        <v>-552.97180200000003</v>
      </c>
      <c r="W23" s="3">
        <v>-195.99318099999999</v>
      </c>
      <c r="X23" s="3">
        <v>-467.56102099999993</v>
      </c>
      <c r="Y23" s="3">
        <v>-332.74749899999995</v>
      </c>
      <c r="Z23" s="3">
        <v>-154.51548700000001</v>
      </c>
      <c r="AA23" s="3">
        <v>-235.50277899999995</v>
      </c>
      <c r="AB23" s="3">
        <v>-473.373242</v>
      </c>
      <c r="AC23" s="3">
        <v>-87.329529999999991</v>
      </c>
      <c r="AD23" s="3">
        <v>-272.05771400000003</v>
      </c>
      <c r="AE23" s="3">
        <v>-525.21553899999992</v>
      </c>
      <c r="AF23" s="3">
        <v>-164.99607999999998</v>
      </c>
      <c r="AG23" s="3">
        <v>-267.65604999999999</v>
      </c>
      <c r="AH23" s="3">
        <v>-186.25231000000002</v>
      </c>
      <c r="AI23" s="3">
        <v>-278.68687999999997</v>
      </c>
      <c r="AJ23" s="3">
        <v>-256.53143999999998</v>
      </c>
      <c r="AK23" s="3">
        <v>-79.25497</v>
      </c>
      <c r="AL23" s="3">
        <v>-154.51548700000001</v>
      </c>
      <c r="AM23" s="3">
        <v>-235.50277899999995</v>
      </c>
      <c r="AN23" s="3">
        <v>-473.373242</v>
      </c>
      <c r="AO23" s="3">
        <v>-87.329529999999991</v>
      </c>
      <c r="AP23" s="3">
        <v>-272.05771400000003</v>
      </c>
      <c r="AQ23" s="3">
        <v>-525.21553899999992</v>
      </c>
      <c r="AR23" s="3">
        <v>-156.25637999999998</v>
      </c>
      <c r="AS23" s="3">
        <v>-267.05329</v>
      </c>
      <c r="AT23" s="3">
        <v>-185.83286000000004</v>
      </c>
      <c r="AU23" s="3">
        <v>-278.05926999999997</v>
      </c>
      <c r="AV23" s="3">
        <v>-255.95373999999998</v>
      </c>
      <c r="AW23" s="3">
        <v>-79.07650000000001</v>
      </c>
      <c r="AX23" s="3">
        <v>-39.42109</v>
      </c>
      <c r="AY23" s="3">
        <v>-183.89965999999995</v>
      </c>
      <c r="AZ23" s="3">
        <v>-173.44633000000005</v>
      </c>
      <c r="BA23" s="3">
        <v>-153.23828</v>
      </c>
      <c r="BB23" s="3">
        <v>-296.00990999999999</v>
      </c>
      <c r="BC23" s="3">
        <v>-159.62446</v>
      </c>
      <c r="BD23" s="3">
        <v>-144.79881000000003</v>
      </c>
      <c r="BE23" s="3">
        <v>-260.90877</v>
      </c>
      <c r="BF23" s="3">
        <v>-168.17368999999999</v>
      </c>
      <c r="BG23" s="3">
        <v>-258.40746999999999</v>
      </c>
      <c r="BH23" s="3">
        <v>-250.55593999999999</v>
      </c>
      <c r="BI23" s="3">
        <v>-68.599289999999996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824.68546600000002</v>
      </c>
      <c r="C27" s="3">
        <v>860.37697700000001</v>
      </c>
      <c r="D27" s="3">
        <v>2620.0043439999999</v>
      </c>
      <c r="E27" s="3">
        <v>791.50460600000008</v>
      </c>
      <c r="F27" s="3">
        <v>1627.5473919999999</v>
      </c>
      <c r="G27" s="3">
        <v>3598.0462170000005</v>
      </c>
      <c r="H27" s="3">
        <v>903.94710400000008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418.50155299999994</v>
      </c>
      <c r="O27" s="3">
        <v>1304.7029029999999</v>
      </c>
      <c r="P27" s="3">
        <v>1591.6693579999996</v>
      </c>
      <c r="Q27" s="3">
        <v>728.1378390000001</v>
      </c>
      <c r="R27" s="3">
        <v>1245.402159</v>
      </c>
      <c r="S27" s="3">
        <v>2282.38706</v>
      </c>
      <c r="T27" s="3">
        <v>742.83571200000006</v>
      </c>
      <c r="U27" s="3">
        <v>741.48058200000003</v>
      </c>
      <c r="V27" s="3">
        <v>3323.7772259999997</v>
      </c>
      <c r="W27" s="3">
        <v>941.60319600000025</v>
      </c>
      <c r="X27" s="3">
        <v>842.14992899999982</v>
      </c>
      <c r="Y27" s="3">
        <v>3266.5810329999999</v>
      </c>
      <c r="Z27" s="3">
        <v>824.68546600000013</v>
      </c>
      <c r="AA27" s="3">
        <v>860.37697700000001</v>
      </c>
      <c r="AB27" s="3">
        <v>2620.0043439999995</v>
      </c>
      <c r="AC27" s="3">
        <v>791.50460600000031</v>
      </c>
      <c r="AD27" s="3">
        <v>1627.5473920000004</v>
      </c>
      <c r="AE27" s="3">
        <v>3598.0462170000001</v>
      </c>
      <c r="AF27" s="3">
        <v>903.94710399999997</v>
      </c>
      <c r="AG27" s="3">
        <v>2086.2379900000001</v>
      </c>
      <c r="AH27" s="3">
        <v>2798.0090984964118</v>
      </c>
      <c r="AI27" s="3">
        <v>1655.8203799999999</v>
      </c>
      <c r="AJ27" s="3">
        <v>2039.1526200000001</v>
      </c>
      <c r="AK27" s="3">
        <v>1712.4243310719155</v>
      </c>
      <c r="AL27" s="3">
        <v>824.68546600000013</v>
      </c>
      <c r="AM27" s="3">
        <v>860.37697700000001</v>
      </c>
      <c r="AN27" s="3">
        <v>2620.0043439999995</v>
      </c>
      <c r="AO27" s="3">
        <v>791.50460600000031</v>
      </c>
      <c r="AP27" s="3">
        <v>1627.5473920000004</v>
      </c>
      <c r="AQ27" s="3">
        <v>3598.0462170000001</v>
      </c>
      <c r="AR27" s="3">
        <v>1772.7248500000001</v>
      </c>
      <c r="AS27" s="3">
        <v>2009.3845399999998</v>
      </c>
      <c r="AT27" s="3">
        <v>2795.7511749098867</v>
      </c>
      <c r="AU27" s="3">
        <v>1653.3117299999997</v>
      </c>
      <c r="AV27" s="3">
        <v>2036.18298</v>
      </c>
      <c r="AW27" s="3">
        <v>1709.7939549601779</v>
      </c>
      <c r="AX27" s="3">
        <v>1092.3024300000002</v>
      </c>
      <c r="AY27" s="3">
        <v>1201.9807399999997</v>
      </c>
      <c r="AZ27" s="3">
        <v>2954.7691868753445</v>
      </c>
      <c r="BA27" s="3">
        <v>1378.0100299999997</v>
      </c>
      <c r="BB27" s="3">
        <v>2598.4580000000001</v>
      </c>
      <c r="BC27" s="3">
        <v>1864.6630068753443</v>
      </c>
      <c r="BD27" s="3">
        <v>1573.6211699999999</v>
      </c>
      <c r="BE27" s="3">
        <v>1716.2243699999999</v>
      </c>
      <c r="BF27" s="3">
        <v>2493.1538817935425</v>
      </c>
      <c r="BG27" s="3">
        <v>1614.6324500000001</v>
      </c>
      <c r="BH27" s="3">
        <v>1946.2761599999997</v>
      </c>
      <c r="BI27" s="3">
        <v>1642.6031268753436</v>
      </c>
    </row>
    <row r="28" spans="1:61" x14ac:dyDescent="0.25">
      <c r="A28" s="1" t="s">
        <v>97</v>
      </c>
      <c r="B28" s="3">
        <v>782.36412800000005</v>
      </c>
      <c r="C28" s="3">
        <v>821.47456399999999</v>
      </c>
      <c r="D28" s="3">
        <v>2576.497382</v>
      </c>
      <c r="E28" s="3">
        <v>701.53709300000025</v>
      </c>
      <c r="F28" s="3">
        <v>1576.1922050000001</v>
      </c>
      <c r="G28" s="3">
        <v>3558.7681010000006</v>
      </c>
      <c r="H28" s="3">
        <v>796.16032100000007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377.22042299999993</v>
      </c>
      <c r="O28" s="3">
        <v>1193.8379139999997</v>
      </c>
      <c r="P28" s="3">
        <v>1176.8506739999998</v>
      </c>
      <c r="Q28" s="3">
        <v>705.92578600000013</v>
      </c>
      <c r="R28" s="3">
        <v>1223.1895619999998</v>
      </c>
      <c r="S28" s="3">
        <v>2264.3369109999994</v>
      </c>
      <c r="T28" s="3">
        <v>720.24390500000004</v>
      </c>
      <c r="U28" s="3">
        <v>725.47595800000011</v>
      </c>
      <c r="V28" s="3">
        <v>2111.2592240000004</v>
      </c>
      <c r="W28" s="3">
        <v>926.38902400000018</v>
      </c>
      <c r="X28" s="3">
        <v>752.29748799999993</v>
      </c>
      <c r="Y28" s="3">
        <v>2657.4323449999997</v>
      </c>
      <c r="Z28" s="3">
        <v>782.36412800000016</v>
      </c>
      <c r="AA28" s="3">
        <v>821.47456399999999</v>
      </c>
      <c r="AB28" s="3">
        <v>2576.4973819999996</v>
      </c>
      <c r="AC28" s="3">
        <v>701.53709300000025</v>
      </c>
      <c r="AD28" s="3">
        <v>1576.1922050000005</v>
      </c>
      <c r="AE28" s="3">
        <v>3558.7681010000001</v>
      </c>
      <c r="AF28" s="3">
        <v>796.16032099999995</v>
      </c>
      <c r="AG28" s="3">
        <v>1730.4391400000002</v>
      </c>
      <c r="AH28" s="3">
        <v>2719.5157046799409</v>
      </c>
      <c r="AI28" s="3">
        <v>1618.7262199999998</v>
      </c>
      <c r="AJ28" s="3">
        <v>2002.05846</v>
      </c>
      <c r="AK28" s="3">
        <v>1601.9980899999998</v>
      </c>
      <c r="AL28" s="3">
        <v>782.36412800000016</v>
      </c>
      <c r="AM28" s="3">
        <v>821.47456399999999</v>
      </c>
      <c r="AN28" s="3">
        <v>2576.4973819999996</v>
      </c>
      <c r="AO28" s="3">
        <v>701.53709300000025</v>
      </c>
      <c r="AP28" s="3">
        <v>1576.1922050000005</v>
      </c>
      <c r="AQ28" s="3">
        <v>3558.7681010000001</v>
      </c>
      <c r="AR28" s="3">
        <v>1694.31915</v>
      </c>
      <c r="AS28" s="3">
        <v>1653.9792299999997</v>
      </c>
      <c r="AT28" s="3">
        <v>2717.3447270050888</v>
      </c>
      <c r="AU28" s="3">
        <v>1616.2585999999997</v>
      </c>
      <c r="AV28" s="3">
        <v>1999.12985</v>
      </c>
      <c r="AW28" s="3">
        <v>1599.4898300000002</v>
      </c>
      <c r="AX28" s="3">
        <v>1056.13536</v>
      </c>
      <c r="AY28" s="3">
        <v>1165.8136699999998</v>
      </c>
      <c r="AZ28" s="3">
        <v>1397.10868</v>
      </c>
      <c r="BA28" s="3">
        <v>1341.8429599999997</v>
      </c>
      <c r="BB28" s="3">
        <v>1674.2950699999997</v>
      </c>
      <c r="BC28" s="3">
        <v>1646.9973100000002</v>
      </c>
      <c r="BD28" s="3">
        <v>1537.4540999999999</v>
      </c>
      <c r="BE28" s="3">
        <v>1680.0572999999997</v>
      </c>
      <c r="BF28" s="3">
        <v>1885.4894999999999</v>
      </c>
      <c r="BG28" s="3">
        <v>1578.4653800000001</v>
      </c>
      <c r="BH28" s="3">
        <v>1910.1090899999997</v>
      </c>
      <c r="BI28" s="3">
        <v>1534.9365699999996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343.26765</v>
      </c>
      <c r="C30" s="3">
        <v>247.025958</v>
      </c>
      <c r="D30" s="3">
        <v>1860.3116750000002</v>
      </c>
      <c r="E30" s="3">
        <v>128.759321</v>
      </c>
      <c r="F30" s="3">
        <v>758.509051</v>
      </c>
      <c r="G30" s="3">
        <v>1966.2875320000001</v>
      </c>
      <c r="H30" s="3">
        <v>218.26111599999996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212.72197300000002</v>
      </c>
      <c r="O30" s="3">
        <v>771.35450200000002</v>
      </c>
      <c r="P30" s="3">
        <v>883.45269599999995</v>
      </c>
      <c r="Q30" s="3">
        <v>340.73806000000002</v>
      </c>
      <c r="R30" s="3">
        <v>890.85773800000004</v>
      </c>
      <c r="S30" s="3">
        <v>1432.7099880000001</v>
      </c>
      <c r="T30" s="3">
        <v>480.15426499999995</v>
      </c>
      <c r="U30" s="3">
        <v>258.25403</v>
      </c>
      <c r="V30" s="3">
        <v>1818.7481740000003</v>
      </c>
      <c r="W30" s="3">
        <v>547.80400999999995</v>
      </c>
      <c r="X30" s="3">
        <v>496.67153199999996</v>
      </c>
      <c r="Y30" s="3">
        <v>1214.890617</v>
      </c>
      <c r="Z30" s="3">
        <v>343.26764999999995</v>
      </c>
      <c r="AA30" s="3">
        <v>247.02595800000003</v>
      </c>
      <c r="AB30" s="3">
        <v>1860.3116750000002</v>
      </c>
      <c r="AC30" s="3">
        <v>128.75932100000003</v>
      </c>
      <c r="AD30" s="3">
        <v>758.509051</v>
      </c>
      <c r="AE30" s="3">
        <v>1966.2875319999998</v>
      </c>
      <c r="AF30" s="3">
        <v>218.26111599999999</v>
      </c>
      <c r="AG30" s="3">
        <v>924.81804999999997</v>
      </c>
      <c r="AH30" s="3">
        <v>1024.7166946799409</v>
      </c>
      <c r="AI30" s="3">
        <v>829.47691000000009</v>
      </c>
      <c r="AJ30" s="3">
        <v>924.5958499999997</v>
      </c>
      <c r="AK30" s="3">
        <v>754.23163999999997</v>
      </c>
      <c r="AL30" s="3">
        <v>343.26764999999995</v>
      </c>
      <c r="AM30" s="3">
        <v>247.02595800000003</v>
      </c>
      <c r="AN30" s="3">
        <v>1860.3116750000002</v>
      </c>
      <c r="AO30" s="3">
        <v>128.75932100000003</v>
      </c>
      <c r="AP30" s="3">
        <v>758.509051</v>
      </c>
      <c r="AQ30" s="3">
        <v>1966.2875319999998</v>
      </c>
      <c r="AR30" s="3">
        <v>821.16930000000002</v>
      </c>
      <c r="AS30" s="3">
        <v>923.69060999999988</v>
      </c>
      <c r="AT30" s="3">
        <v>1023.5332970050885</v>
      </c>
      <c r="AU30" s="3">
        <v>828.44146000000001</v>
      </c>
      <c r="AV30" s="3">
        <v>923.50336000000004</v>
      </c>
      <c r="AW30" s="3">
        <v>753.32452000000001</v>
      </c>
      <c r="AX30" s="3">
        <v>593.45955000000004</v>
      </c>
      <c r="AY30" s="3">
        <v>635.25639999999999</v>
      </c>
      <c r="AZ30" s="3">
        <v>800.1420300000002</v>
      </c>
      <c r="BA30" s="3">
        <v>776.57851000000005</v>
      </c>
      <c r="BB30" s="3">
        <v>789.39766000000009</v>
      </c>
      <c r="BC30" s="3">
        <v>873.84857000000011</v>
      </c>
      <c r="BD30" s="3">
        <v>785.45300999999995</v>
      </c>
      <c r="BE30" s="3">
        <v>879.44013000000007</v>
      </c>
      <c r="BF30" s="3">
        <v>919.66835000000015</v>
      </c>
      <c r="BG30" s="3">
        <v>804.17642000000001</v>
      </c>
      <c r="BH30" s="3">
        <v>898.78424000000018</v>
      </c>
      <c r="BI30" s="3">
        <v>732.55813000000001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-54.48809</v>
      </c>
      <c r="C32" s="3">
        <v>-30.176410000000001</v>
      </c>
      <c r="D32" s="3">
        <v>-279.52384999999998</v>
      </c>
      <c r="E32" s="3">
        <v>-66.875199999999992</v>
      </c>
      <c r="F32" s="3">
        <v>-125.40743000000002</v>
      </c>
      <c r="G32" s="3">
        <v>-191.26568999999998</v>
      </c>
      <c r="H32" s="3">
        <v>-132.74972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-104.19396999999999</v>
      </c>
      <c r="O32" s="3">
        <v>-31.50367</v>
      </c>
      <c r="P32" s="3">
        <v>-33.310879999999997</v>
      </c>
      <c r="Q32" s="3">
        <v>-68.272099999999995</v>
      </c>
      <c r="R32" s="3">
        <v>-66.548519999999996</v>
      </c>
      <c r="S32" s="3">
        <v>-36.428320000000006</v>
      </c>
      <c r="T32" s="3">
        <v>-99.77685000000001</v>
      </c>
      <c r="U32" s="3">
        <v>-22.975840000000002</v>
      </c>
      <c r="V32" s="3">
        <v>-183.40427299999999</v>
      </c>
      <c r="W32" s="3">
        <v>-91.192934999999991</v>
      </c>
      <c r="X32" s="3">
        <v>-216.33494999999996</v>
      </c>
      <c r="Y32" s="3">
        <v>-179.34208999999998</v>
      </c>
      <c r="Z32" s="3">
        <v>-54.48809</v>
      </c>
      <c r="AA32" s="3">
        <v>-30.176410000000001</v>
      </c>
      <c r="AB32" s="3">
        <v>-279.52384999999998</v>
      </c>
      <c r="AC32" s="3">
        <v>-66.875199999999992</v>
      </c>
      <c r="AD32" s="3">
        <v>-125.40743000000002</v>
      </c>
      <c r="AE32" s="3">
        <v>-191.26568999999998</v>
      </c>
      <c r="AF32" s="3">
        <v>-132.74972</v>
      </c>
      <c r="AG32" s="3">
        <v>-106.68384</v>
      </c>
      <c r="AH32" s="3">
        <v>-60.742710000000002</v>
      </c>
      <c r="AI32" s="3">
        <v>-86.963520000000003</v>
      </c>
      <c r="AJ32" s="3">
        <v>-55.631259999999997</v>
      </c>
      <c r="AK32" s="3">
        <v>-50.032350000000001</v>
      </c>
      <c r="AL32" s="3">
        <v>-54.48809</v>
      </c>
      <c r="AM32" s="3">
        <v>-30.176410000000001</v>
      </c>
      <c r="AN32" s="3">
        <v>-279.52384999999998</v>
      </c>
      <c r="AO32" s="3">
        <v>-66.875199999999992</v>
      </c>
      <c r="AP32" s="3">
        <v>-125.40743000000002</v>
      </c>
      <c r="AQ32" s="3">
        <v>-191.26568999999998</v>
      </c>
      <c r="AR32" s="3">
        <v>-59.406120000000001</v>
      </c>
      <c r="AS32" s="3">
        <v>-106.44359</v>
      </c>
      <c r="AT32" s="3">
        <v>-60.605919999999998</v>
      </c>
      <c r="AU32" s="3">
        <v>-86.767679999999999</v>
      </c>
      <c r="AV32" s="3">
        <v>-55.505989999999997</v>
      </c>
      <c r="AW32" s="3">
        <v>-49.91968</v>
      </c>
      <c r="AX32" s="3">
        <v>-28.351569999999999</v>
      </c>
      <c r="AY32" s="3">
        <v>-39.326059999999998</v>
      </c>
      <c r="AZ32" s="3">
        <v>-93.601740000000007</v>
      </c>
      <c r="BA32" s="3">
        <v>-93.195580000000007</v>
      </c>
      <c r="BB32" s="3">
        <v>-64.679090000000002</v>
      </c>
      <c r="BC32" s="3">
        <v>-62.818199999999997</v>
      </c>
      <c r="BD32" s="3">
        <v>-55.409610000000001</v>
      </c>
      <c r="BE32" s="3">
        <v>-99.282650000000004</v>
      </c>
      <c r="BF32" s="3">
        <v>-56.528689999999997</v>
      </c>
      <c r="BG32" s="3">
        <v>-80.930430000000001</v>
      </c>
      <c r="BH32" s="3">
        <v>-51.771850000000001</v>
      </c>
      <c r="BI32" s="3">
        <v>-46.561360000000001</v>
      </c>
    </row>
    <row r="33" spans="1:61" x14ac:dyDescent="0.25">
      <c r="A33" s="1" t="s">
        <v>32</v>
      </c>
      <c r="B33" s="3">
        <v>-95.160979999999995</v>
      </c>
      <c r="C33" s="3">
        <v>-196.87101999999999</v>
      </c>
      <c r="D33" s="3">
        <v>-145.37910000000002</v>
      </c>
      <c r="E33" s="3">
        <v>-17.74823</v>
      </c>
      <c r="F33" s="3">
        <v>-124.52918</v>
      </c>
      <c r="G33" s="3">
        <v>-251.33787000000001</v>
      </c>
      <c r="H33" s="3">
        <v>-14.959859999999999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-5.9538799999999998</v>
      </c>
      <c r="O33" s="3">
        <v>-123.73199000000001</v>
      </c>
      <c r="P33" s="3">
        <v>-2.0234700000000001</v>
      </c>
      <c r="Q33" s="3">
        <v>-1.8429300000000002</v>
      </c>
      <c r="R33" s="3">
        <v>-61.131160000000008</v>
      </c>
      <c r="S33" s="3">
        <v>-6.86348</v>
      </c>
      <c r="T33" s="3">
        <v>-49.183170000000011</v>
      </c>
      <c r="U33" s="3">
        <v>-25.23696</v>
      </c>
      <c r="V33" s="3">
        <v>-244.81191999999996</v>
      </c>
      <c r="W33" s="3">
        <v>-91.052190000000024</v>
      </c>
      <c r="X33" s="3">
        <v>-177.29658999999998</v>
      </c>
      <c r="Y33" s="3">
        <v>-70.389750000000006</v>
      </c>
      <c r="Z33" s="3">
        <v>-95.160979999999995</v>
      </c>
      <c r="AA33" s="3">
        <v>-196.87101999999999</v>
      </c>
      <c r="AB33" s="3">
        <v>-145.37910000000002</v>
      </c>
      <c r="AC33" s="3">
        <v>-17.74823</v>
      </c>
      <c r="AD33" s="3">
        <v>-124.52918</v>
      </c>
      <c r="AE33" s="3">
        <v>-251.33787000000001</v>
      </c>
      <c r="AF33" s="3">
        <v>-14.959859999999999</v>
      </c>
      <c r="AG33" s="3">
        <v>-99.776210000000006</v>
      </c>
      <c r="AH33" s="3">
        <v>-39.843519999999998</v>
      </c>
      <c r="AI33" s="3">
        <v>-120.43111</v>
      </c>
      <c r="AJ33" s="3">
        <v>-99.776210000000006</v>
      </c>
      <c r="AK33" s="3">
        <v>-9.7559500000000003</v>
      </c>
      <c r="AL33" s="3">
        <v>-95.160979999999995</v>
      </c>
      <c r="AM33" s="3">
        <v>-196.87101999999999</v>
      </c>
      <c r="AN33" s="3">
        <v>-145.37910000000002</v>
      </c>
      <c r="AO33" s="3">
        <v>-17.74823</v>
      </c>
      <c r="AP33" s="3">
        <v>-124.52918</v>
      </c>
      <c r="AQ33" s="3">
        <v>-251.33787000000001</v>
      </c>
      <c r="AR33" s="3">
        <v>-39.753790000000002</v>
      </c>
      <c r="AS33" s="3">
        <v>-99.551519999999996</v>
      </c>
      <c r="AT33" s="3">
        <v>-39.753790000000002</v>
      </c>
      <c r="AU33" s="3">
        <v>-120.15989999999999</v>
      </c>
      <c r="AV33" s="3">
        <v>-99.551519999999996</v>
      </c>
      <c r="AW33" s="3">
        <v>-9.7339800000000007</v>
      </c>
      <c r="AX33" s="3">
        <v>-9.0791299999999993</v>
      </c>
      <c r="AY33" s="3">
        <v>-92.854240000000004</v>
      </c>
      <c r="AZ33" s="3">
        <v>-37.07938</v>
      </c>
      <c r="BA33" s="3">
        <v>-37.07938</v>
      </c>
      <c r="BB33" s="3">
        <v>-167.85106999999999</v>
      </c>
      <c r="BC33" s="3">
        <v>-37.07938</v>
      </c>
      <c r="BD33" s="3">
        <v>-37.07938</v>
      </c>
      <c r="BE33" s="3">
        <v>-92.854240000000004</v>
      </c>
      <c r="BF33" s="3">
        <v>-37.07938</v>
      </c>
      <c r="BG33" s="3">
        <v>-112.07621</v>
      </c>
      <c r="BH33" s="3">
        <v>-92.854240000000004</v>
      </c>
      <c r="BI33" s="3">
        <v>-9.0791299999999993</v>
      </c>
    </row>
    <row r="34" spans="1:61" x14ac:dyDescent="0.25">
      <c r="A34" s="1" t="s">
        <v>33</v>
      </c>
      <c r="B34" s="3">
        <v>-2.0786099999999998</v>
      </c>
      <c r="C34" s="3">
        <v>-1.1088800000000001</v>
      </c>
      <c r="D34" s="3">
        <v>-7.5338399999999996</v>
      </c>
      <c r="E34" s="3">
        <v>-2.4238400000000002</v>
      </c>
      <c r="F34" s="3">
        <v>-19.313500000000001</v>
      </c>
      <c r="G34" s="3">
        <v>-20.972489999999997</v>
      </c>
      <c r="H34" s="3">
        <v>-14.334819999999999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-2.5293299999999999</v>
      </c>
      <c r="O34" s="3">
        <v>-1.69486</v>
      </c>
      <c r="P34" s="3">
        <v>-2.0743199999999997</v>
      </c>
      <c r="Q34" s="3">
        <v>-1.9358200000000001</v>
      </c>
      <c r="R34" s="3">
        <v>-2.3519600000000001</v>
      </c>
      <c r="S34" s="3">
        <v>-1.7470500000000002</v>
      </c>
      <c r="T34" s="3">
        <v>-1.02701</v>
      </c>
      <c r="U34" s="3">
        <v>-1.1114299999999999</v>
      </c>
      <c r="V34" s="3">
        <v>-32.700230000000005</v>
      </c>
      <c r="W34" s="3">
        <v>-1.2489599999999998</v>
      </c>
      <c r="X34" s="3">
        <v>-1.8327</v>
      </c>
      <c r="Y34" s="3">
        <v>-23.101559999999999</v>
      </c>
      <c r="Z34" s="3">
        <v>-2.0786099999999998</v>
      </c>
      <c r="AA34" s="3">
        <v>-1.1088800000000001</v>
      </c>
      <c r="AB34" s="3">
        <v>-7.5338399999999996</v>
      </c>
      <c r="AC34" s="3">
        <v>-2.4238400000000002</v>
      </c>
      <c r="AD34" s="3">
        <v>-19.313500000000001</v>
      </c>
      <c r="AE34" s="3">
        <v>-20.972489999999997</v>
      </c>
      <c r="AF34" s="3">
        <v>-14.334819999999999</v>
      </c>
      <c r="AG34" s="3">
        <v>-5.2777599999999998</v>
      </c>
      <c r="AH34" s="3">
        <v>-1.78955</v>
      </c>
      <c r="AI34" s="3">
        <v>-5.0248100000000004</v>
      </c>
      <c r="AJ34" s="3">
        <v>-5.2777599999999998</v>
      </c>
      <c r="AK34" s="3">
        <v>-13.575620000000001</v>
      </c>
      <c r="AL34" s="3">
        <v>-2.0786099999999998</v>
      </c>
      <c r="AM34" s="3">
        <v>-1.1088800000000001</v>
      </c>
      <c r="AN34" s="3">
        <v>-7.5338399999999996</v>
      </c>
      <c r="AO34" s="3">
        <v>-2.4238400000000002</v>
      </c>
      <c r="AP34" s="3">
        <v>-19.313500000000001</v>
      </c>
      <c r="AQ34" s="3">
        <v>-20.972489999999997</v>
      </c>
      <c r="AR34" s="3">
        <v>-1.78552</v>
      </c>
      <c r="AS34" s="3">
        <v>-5.2658699999999996</v>
      </c>
      <c r="AT34" s="3">
        <v>-1.78552</v>
      </c>
      <c r="AU34" s="3">
        <v>-5.01349</v>
      </c>
      <c r="AV34" s="3">
        <v>-5.2658699999999996</v>
      </c>
      <c r="AW34" s="3">
        <v>-13.54505</v>
      </c>
      <c r="AX34" s="3">
        <v>-1.6654</v>
      </c>
      <c r="AY34" s="3">
        <v>-4.9116099999999996</v>
      </c>
      <c r="AZ34" s="3">
        <v>-4.6762100000000002</v>
      </c>
      <c r="BA34" s="3">
        <v>-1.6654</v>
      </c>
      <c r="BB34" s="3">
        <v>-4.9116099999999996</v>
      </c>
      <c r="BC34" s="3">
        <v>-12.63381</v>
      </c>
      <c r="BD34" s="3">
        <v>-1.6654</v>
      </c>
      <c r="BE34" s="3">
        <v>-4.9116099999999996</v>
      </c>
      <c r="BF34" s="3">
        <v>-1.6654</v>
      </c>
      <c r="BG34" s="3">
        <v>-4.6762100000000002</v>
      </c>
      <c r="BH34" s="3">
        <v>-4.9116099999999996</v>
      </c>
      <c r="BI34" s="3">
        <v>-12.63381</v>
      </c>
    </row>
    <row r="35" spans="1:61" x14ac:dyDescent="0.25">
      <c r="A35" s="1" t="s">
        <v>37</v>
      </c>
      <c r="B35" s="3">
        <v>-0.14343</v>
      </c>
      <c r="C35" s="3">
        <v>-7.5800000000000006E-2</v>
      </c>
      <c r="D35" s="3">
        <v>0</v>
      </c>
      <c r="E35" s="3">
        <v>0</v>
      </c>
      <c r="F35" s="3">
        <v>-7.2340000000000002E-2</v>
      </c>
      <c r="G35" s="3">
        <v>-7.1669999999999998E-2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-2.0999999999999998E-2</v>
      </c>
      <c r="O35" s="3">
        <v>-1.265E-2</v>
      </c>
      <c r="P35" s="3">
        <v>-1.235862</v>
      </c>
      <c r="Q35" s="3">
        <v>-9.9810000000000003E-3</v>
      </c>
      <c r="R35" s="3">
        <v>-8.2236000000000004E-2</v>
      </c>
      <c r="S35" s="3">
        <v>-1.1022910000000001</v>
      </c>
      <c r="T35" s="3">
        <v>-6.0590000000000001E-3</v>
      </c>
      <c r="U35" s="3">
        <v>-6.5690000000000002E-3</v>
      </c>
      <c r="V35" s="3">
        <v>-10.548517</v>
      </c>
      <c r="W35" s="3">
        <v>-0.19002800000000003</v>
      </c>
      <c r="X35" s="3">
        <v>-0.13846799999999998</v>
      </c>
      <c r="Y35" s="3">
        <v>-2.8839999999999998E-3</v>
      </c>
      <c r="Z35" s="3">
        <v>-0.14343</v>
      </c>
      <c r="AA35" s="3">
        <v>-7.5800000000000006E-2</v>
      </c>
      <c r="AB35" s="3">
        <v>0</v>
      </c>
      <c r="AC35" s="3">
        <v>0</v>
      </c>
      <c r="AD35" s="3">
        <v>-7.2340000000000002E-2</v>
      </c>
      <c r="AE35" s="3">
        <v>-7.1669999999999998E-2</v>
      </c>
      <c r="AF35" s="3">
        <v>0</v>
      </c>
      <c r="AG35" s="3">
        <v>-16.072990000000001</v>
      </c>
      <c r="AH35" s="3">
        <v>0</v>
      </c>
      <c r="AI35" s="3">
        <v>-10.967560000000001</v>
      </c>
      <c r="AJ35" s="3">
        <v>0</v>
      </c>
      <c r="AK35" s="3">
        <v>0</v>
      </c>
      <c r="AL35" s="3">
        <v>-0.14343</v>
      </c>
      <c r="AM35" s="3">
        <v>-7.5800000000000006E-2</v>
      </c>
      <c r="AN35" s="3">
        <v>0</v>
      </c>
      <c r="AO35" s="3">
        <v>0</v>
      </c>
      <c r="AP35" s="3">
        <v>-7.2340000000000002E-2</v>
      </c>
      <c r="AQ35" s="3">
        <v>-7.1669999999999998E-2</v>
      </c>
      <c r="AR35" s="3">
        <v>0</v>
      </c>
      <c r="AS35" s="3">
        <v>-16.03679</v>
      </c>
      <c r="AT35" s="3">
        <v>0</v>
      </c>
      <c r="AU35" s="3">
        <v>-10.94286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-14.95792</v>
      </c>
      <c r="BF35" s="3">
        <v>0</v>
      </c>
      <c r="BG35" s="3">
        <v>-10.20668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-0.70808699999999991</v>
      </c>
      <c r="C36" s="3">
        <v>-0.24506900000000001</v>
      </c>
      <c r="D36" s="3">
        <v>-2.9431020000000006</v>
      </c>
      <c r="E36" s="3">
        <v>-0.24656</v>
      </c>
      <c r="F36" s="3">
        <v>-0.25454399999999999</v>
      </c>
      <c r="G36" s="3">
        <v>-0.246529</v>
      </c>
      <c r="H36" s="3">
        <v>-0.25489000000000001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-4.1769959999999999</v>
      </c>
      <c r="O36" s="3">
        <v>-9.6187999999999996E-2</v>
      </c>
      <c r="P36" s="3">
        <v>-11.844057999999999</v>
      </c>
      <c r="Q36" s="3">
        <v>-4.3704270000000003</v>
      </c>
      <c r="R36" s="3">
        <v>7.9820000000000099E-3</v>
      </c>
      <c r="S36" s="3">
        <v>-8.6299000000000001E-2</v>
      </c>
      <c r="T36" s="3">
        <v>-3.5377000000000006E-2</v>
      </c>
      <c r="U36" s="3">
        <v>-3.4299999999999997E-2</v>
      </c>
      <c r="V36" s="3">
        <v>-71.865471999999997</v>
      </c>
      <c r="W36" s="3">
        <v>-0.77979799999999999</v>
      </c>
      <c r="X36" s="3">
        <v>-4.1343000000000012E-2</v>
      </c>
      <c r="Y36" s="3">
        <v>-55.653424000000001</v>
      </c>
      <c r="Z36" s="3">
        <v>-0.70808699999999991</v>
      </c>
      <c r="AA36" s="3">
        <v>-0.24506900000000001</v>
      </c>
      <c r="AB36" s="3">
        <v>-2.9431020000000006</v>
      </c>
      <c r="AC36" s="3">
        <v>-0.24655999999999997</v>
      </c>
      <c r="AD36" s="3">
        <v>-0.25454399999999999</v>
      </c>
      <c r="AE36" s="3">
        <v>-0.246529</v>
      </c>
      <c r="AF36" s="3">
        <v>-0.25489000000000001</v>
      </c>
      <c r="AG36" s="3">
        <v>-30.370830000000002</v>
      </c>
      <c r="AH36" s="3">
        <v>-60.021329999999999</v>
      </c>
      <c r="AI36" s="3">
        <v>-30.370830000000002</v>
      </c>
      <c r="AJ36" s="3">
        <v>-71.832520000000002</v>
      </c>
      <c r="AK36" s="3">
        <v>0</v>
      </c>
      <c r="AL36" s="3">
        <v>-0.70808699999999991</v>
      </c>
      <c r="AM36" s="3">
        <v>-0.24506900000000001</v>
      </c>
      <c r="AN36" s="3">
        <v>-2.9431020000000006</v>
      </c>
      <c r="AO36" s="3">
        <v>-0.24655999999999997</v>
      </c>
      <c r="AP36" s="3">
        <v>-0.25454399999999999</v>
      </c>
      <c r="AQ36" s="3">
        <v>-0.246529</v>
      </c>
      <c r="AR36" s="3">
        <v>-31.073930000000001</v>
      </c>
      <c r="AS36" s="3">
        <v>-30.302440000000001</v>
      </c>
      <c r="AT36" s="3">
        <v>-59.886159999999997</v>
      </c>
      <c r="AU36" s="3">
        <v>-30.302440000000001</v>
      </c>
      <c r="AV36" s="3">
        <v>-71.670749999999998</v>
      </c>
      <c r="AW36" s="3">
        <v>0</v>
      </c>
      <c r="AX36" s="3">
        <v>0</v>
      </c>
      <c r="AY36" s="3">
        <v>-29.70478</v>
      </c>
      <c r="AZ36" s="3">
        <v>-32.08126</v>
      </c>
      <c r="BA36" s="3">
        <v>-13.896090000000001</v>
      </c>
      <c r="BB36" s="3">
        <v>-28.263860000000001</v>
      </c>
      <c r="BC36" s="3">
        <v>-40.001159999999999</v>
      </c>
      <c r="BD36" s="3">
        <v>-28.983450000000001</v>
      </c>
      <c r="BE36" s="3">
        <v>-28.263860000000001</v>
      </c>
      <c r="BF36" s="3">
        <v>-55.857349999999997</v>
      </c>
      <c r="BG36" s="3">
        <v>-28.263860000000001</v>
      </c>
      <c r="BH36" s="3">
        <v>-66.849140000000006</v>
      </c>
      <c r="BI36" s="3">
        <v>0</v>
      </c>
    </row>
    <row r="37" spans="1:61" x14ac:dyDescent="0.25">
      <c r="A37" s="1" t="s">
        <v>35</v>
      </c>
      <c r="B37" s="3">
        <v>-1.9476499999999999</v>
      </c>
      <c r="C37" s="3">
        <v>-1.2388399999999999</v>
      </c>
      <c r="D37" s="3">
        <v>-37.8904</v>
      </c>
      <c r="E37" s="3">
        <v>0</v>
      </c>
      <c r="F37" s="3">
        <v>-1.65863</v>
      </c>
      <c r="G37" s="3">
        <v>-58.379490000000004</v>
      </c>
      <c r="H37" s="3">
        <v>-0.77444000000000002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-1.4054800000000001</v>
      </c>
      <c r="O37" s="3">
        <v>-3.1852399999999998</v>
      </c>
      <c r="P37" s="3">
        <v>1.9820000000000001E-2</v>
      </c>
      <c r="Q37" s="3">
        <v>-0.10179000000000001</v>
      </c>
      <c r="R37" s="3">
        <v>-5.8649399999999998</v>
      </c>
      <c r="S37" s="3">
        <v>-2.5284300000000002</v>
      </c>
      <c r="T37" s="3">
        <v>-4.3038999999999996</v>
      </c>
      <c r="U37" s="3">
        <v>0</v>
      </c>
      <c r="V37" s="3">
        <v>-2.1435499999999998</v>
      </c>
      <c r="W37" s="3">
        <v>-2.4872399999999999</v>
      </c>
      <c r="X37" s="3">
        <v>-0.42365000000000003</v>
      </c>
      <c r="Y37" s="3">
        <v>-1.66354</v>
      </c>
      <c r="Z37" s="3">
        <v>-1.9476499999999999</v>
      </c>
      <c r="AA37" s="3">
        <v>-1.2388399999999999</v>
      </c>
      <c r="AB37" s="3">
        <v>-37.8904</v>
      </c>
      <c r="AC37" s="3">
        <v>0</v>
      </c>
      <c r="AD37" s="3">
        <v>-1.65863</v>
      </c>
      <c r="AE37" s="3">
        <v>-58.379490000000004</v>
      </c>
      <c r="AF37" s="3">
        <v>-0.77444000000000002</v>
      </c>
      <c r="AG37" s="3">
        <v>-2.7709200000000003</v>
      </c>
      <c r="AH37" s="3">
        <v>-8.4632199999999997</v>
      </c>
      <c r="AI37" s="3">
        <v>-8.4161800000000007</v>
      </c>
      <c r="AJ37" s="3">
        <v>-7.9978199999999999</v>
      </c>
      <c r="AK37" s="3">
        <v>-5.5418399999999997</v>
      </c>
      <c r="AL37" s="3">
        <v>-1.9476499999999999</v>
      </c>
      <c r="AM37" s="3">
        <v>-1.2388399999999999</v>
      </c>
      <c r="AN37" s="3">
        <v>-37.8904</v>
      </c>
      <c r="AO37" s="3">
        <v>0</v>
      </c>
      <c r="AP37" s="3">
        <v>-1.65863</v>
      </c>
      <c r="AQ37" s="3">
        <v>-58.379490000000004</v>
      </c>
      <c r="AR37" s="3">
        <v>-11.36003</v>
      </c>
      <c r="AS37" s="3">
        <v>-2.7646800000000002</v>
      </c>
      <c r="AT37" s="3">
        <v>-8.4441600000000001</v>
      </c>
      <c r="AU37" s="3">
        <v>-8.3972300000000004</v>
      </c>
      <c r="AV37" s="3">
        <v>-7.9798099999999996</v>
      </c>
      <c r="AW37" s="3">
        <v>-5.5293600000000005</v>
      </c>
      <c r="AX37" s="3">
        <v>0</v>
      </c>
      <c r="AY37" s="3">
        <v>-2.7187099999999997</v>
      </c>
      <c r="AZ37" s="3">
        <v>0</v>
      </c>
      <c r="BA37" s="3">
        <v>-6.8867899999999995</v>
      </c>
      <c r="BB37" s="3">
        <v>-6.64513</v>
      </c>
      <c r="BC37" s="3">
        <v>-1.9970300000000001</v>
      </c>
      <c r="BD37" s="3">
        <v>-9.6502700000000008</v>
      </c>
      <c r="BE37" s="3">
        <v>0</v>
      </c>
      <c r="BF37" s="3">
        <v>-2.7187099999999997</v>
      </c>
      <c r="BG37" s="3">
        <v>-6.8867899999999995</v>
      </c>
      <c r="BH37" s="3">
        <v>-4.8642900000000004</v>
      </c>
      <c r="BI37" s="3">
        <v>0</v>
      </c>
    </row>
    <row r="38" spans="1:61" x14ac:dyDescent="0.25">
      <c r="A38" s="1" t="s">
        <v>36</v>
      </c>
      <c r="B38" s="3">
        <v>1.136E-2</v>
      </c>
      <c r="C38" s="3">
        <v>-4.0996699999999997</v>
      </c>
      <c r="D38" s="3">
        <v>-0.10295</v>
      </c>
      <c r="E38" s="3">
        <v>-3.5699999999999996E-2</v>
      </c>
      <c r="F38" s="3">
        <v>-0.82208999999999999</v>
      </c>
      <c r="G38" s="3">
        <v>-0.15164</v>
      </c>
      <c r="H38" s="3">
        <v>-0.68352999999999997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-0.51763000000000003</v>
      </c>
      <c r="O38" s="3">
        <v>-2.4142199999999998</v>
      </c>
      <c r="P38" s="3">
        <v>9.0100000000000006E-3</v>
      </c>
      <c r="Q38" s="3">
        <v>-0.74056</v>
      </c>
      <c r="R38" s="3">
        <v>-5.4730099999999995</v>
      </c>
      <c r="S38" s="3">
        <v>-1.67255</v>
      </c>
      <c r="T38" s="3">
        <v>-0.23799000000000001</v>
      </c>
      <c r="U38" s="3">
        <v>-0.51495000000000002</v>
      </c>
      <c r="V38" s="3">
        <v>-6.28986</v>
      </c>
      <c r="W38" s="3">
        <v>-9.0420299999999987</v>
      </c>
      <c r="X38" s="3">
        <v>-3.0012400000000001</v>
      </c>
      <c r="Y38" s="3">
        <v>-2.5951300000000002</v>
      </c>
      <c r="Z38" s="3">
        <v>1.136E-2</v>
      </c>
      <c r="AA38" s="3">
        <v>-4.0996699999999997</v>
      </c>
      <c r="AB38" s="3">
        <v>-0.10295</v>
      </c>
      <c r="AC38" s="3">
        <v>-3.5699999999999996E-2</v>
      </c>
      <c r="AD38" s="3">
        <v>-0.82208999999999999</v>
      </c>
      <c r="AE38" s="3">
        <v>-0.15164</v>
      </c>
      <c r="AF38" s="3">
        <v>-0.68352999999999997</v>
      </c>
      <c r="AG38" s="3">
        <v>-2.05071</v>
      </c>
      <c r="AH38" s="3">
        <v>-2.7196799999999999</v>
      </c>
      <c r="AI38" s="3">
        <v>-2.3553500000000001</v>
      </c>
      <c r="AJ38" s="3">
        <v>-1.3088199999999999</v>
      </c>
      <c r="AK38" s="3">
        <v>-0.23375000000000001</v>
      </c>
      <c r="AL38" s="3">
        <v>1.136E-2</v>
      </c>
      <c r="AM38" s="3">
        <v>-4.0996699999999997</v>
      </c>
      <c r="AN38" s="3">
        <v>-0.10295</v>
      </c>
      <c r="AO38" s="3">
        <v>-3.5699999999999996E-2</v>
      </c>
      <c r="AP38" s="3">
        <v>-0.82208999999999999</v>
      </c>
      <c r="AQ38" s="3">
        <v>-0.15164</v>
      </c>
      <c r="AR38" s="3">
        <v>-0.23322999999999999</v>
      </c>
      <c r="AS38" s="3">
        <v>-2.04609</v>
      </c>
      <c r="AT38" s="3">
        <v>-2.7135500000000001</v>
      </c>
      <c r="AU38" s="3">
        <v>-2.3500399999999999</v>
      </c>
      <c r="AV38" s="3">
        <v>-1.3058700000000001</v>
      </c>
      <c r="AW38" s="3">
        <v>-0.23322999999999999</v>
      </c>
      <c r="AX38" s="3">
        <v>-0.21754000000000001</v>
      </c>
      <c r="AY38" s="3">
        <v>-0.69750999999999996</v>
      </c>
      <c r="AZ38" s="3">
        <v>-4.5181100000000001</v>
      </c>
      <c r="BA38" s="3">
        <v>-0.40759000000000001</v>
      </c>
      <c r="BB38" s="3">
        <v>-2.6499600000000001</v>
      </c>
      <c r="BC38" s="3">
        <v>-3.0938500000000002</v>
      </c>
      <c r="BD38" s="3">
        <v>-0.21754000000000001</v>
      </c>
      <c r="BE38" s="3">
        <v>-1.9084400000000001</v>
      </c>
      <c r="BF38" s="3">
        <v>-2.5310000000000001</v>
      </c>
      <c r="BG38" s="3">
        <v>-2.1919499999999998</v>
      </c>
      <c r="BH38" s="3">
        <v>-1.2180200000000001</v>
      </c>
      <c r="BI38" s="3">
        <v>-0.21754000000000001</v>
      </c>
    </row>
    <row r="39" spans="1:61" x14ac:dyDescent="0.25">
      <c r="A39" s="1" t="s">
        <v>118</v>
      </c>
      <c r="B39" s="3">
        <v>0</v>
      </c>
      <c r="C39" s="3">
        <v>-1.16503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-62.758670000000002</v>
      </c>
      <c r="Y39" s="3">
        <v>8.7900000000000001E-4</v>
      </c>
      <c r="Z39" s="3">
        <v>0</v>
      </c>
      <c r="AA39" s="3">
        <v>-1.16503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-4.6527899999999995</v>
      </c>
      <c r="AH39" s="3">
        <v>-12.6723</v>
      </c>
      <c r="AI39" s="3">
        <v>-14.15752</v>
      </c>
      <c r="AJ39" s="3">
        <v>-14.707050000000001</v>
      </c>
      <c r="AK39" s="3">
        <v>-0.11545999999999999</v>
      </c>
      <c r="AL39" s="3">
        <v>0</v>
      </c>
      <c r="AM39" s="3">
        <v>-1.16503</v>
      </c>
      <c r="AN39" s="3">
        <v>0</v>
      </c>
      <c r="AO39" s="3">
        <v>0</v>
      </c>
      <c r="AP39" s="3">
        <v>0</v>
      </c>
      <c r="AQ39" s="3">
        <v>0</v>
      </c>
      <c r="AR39" s="3">
        <v>-12.64376</v>
      </c>
      <c r="AS39" s="3">
        <v>-4.6423100000000002</v>
      </c>
      <c r="AT39" s="3">
        <v>-12.64376</v>
      </c>
      <c r="AU39" s="3">
        <v>-14.125629999999999</v>
      </c>
      <c r="AV39" s="3">
        <v>-14.67393</v>
      </c>
      <c r="AW39" s="3">
        <v>-0.1152</v>
      </c>
      <c r="AX39" s="3">
        <v>-0.10745</v>
      </c>
      <c r="AY39" s="3">
        <v>-13.68675</v>
      </c>
      <c r="AZ39" s="3">
        <v>-1.48963</v>
      </c>
      <c r="BA39" s="3">
        <v>-0.10745</v>
      </c>
      <c r="BB39" s="3">
        <v>-11.79316</v>
      </c>
      <c r="BC39" s="3">
        <v>-2.0010300000000001</v>
      </c>
      <c r="BD39" s="3">
        <v>-11.79316</v>
      </c>
      <c r="BE39" s="3">
        <v>-4.3300099999999997</v>
      </c>
      <c r="BF39" s="3">
        <v>-11.79316</v>
      </c>
      <c r="BG39" s="3">
        <v>-13.17534</v>
      </c>
      <c r="BH39" s="3">
        <v>-13.68675</v>
      </c>
      <c r="BI39" s="3">
        <v>-0.10745</v>
      </c>
    </row>
    <row r="40" spans="1:61" x14ac:dyDescent="0.25">
      <c r="A40" s="1" t="s">
        <v>131</v>
      </c>
      <c r="B40" s="3">
        <v>0</v>
      </c>
      <c r="C40" s="3">
        <v>-0.52205999999999997</v>
      </c>
      <c r="D40" s="3">
        <v>0</v>
      </c>
      <c r="E40" s="3">
        <v>0</v>
      </c>
      <c r="F40" s="3">
        <v>0</v>
      </c>
      <c r="G40" s="3">
        <v>-2.7901600000000002</v>
      </c>
      <c r="H40" s="3">
        <v>-1.23882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-4.1797800000000001</v>
      </c>
      <c r="S40" s="3">
        <v>-3.8298899999999998</v>
      </c>
      <c r="T40" s="3">
        <v>-0.50985999999999998</v>
      </c>
      <c r="U40" s="3">
        <v>-2.5000000000000001E-3</v>
      </c>
      <c r="V40" s="3">
        <v>-1.2079800000000001</v>
      </c>
      <c r="W40" s="3">
        <v>0</v>
      </c>
      <c r="X40" s="3">
        <v>-5.7334100000000001</v>
      </c>
      <c r="Y40" s="3">
        <v>0</v>
      </c>
      <c r="Z40" s="3">
        <v>0</v>
      </c>
      <c r="AA40" s="3">
        <v>-0.52205999999999997</v>
      </c>
      <c r="AB40" s="3">
        <v>0</v>
      </c>
      <c r="AC40" s="3">
        <v>0</v>
      </c>
      <c r="AD40" s="3">
        <v>0</v>
      </c>
      <c r="AE40" s="3">
        <v>-2.7901600000000002</v>
      </c>
      <c r="AF40" s="3">
        <v>-1.23882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-0.52205999999999997</v>
      </c>
      <c r="AN40" s="3">
        <v>0</v>
      </c>
      <c r="AO40" s="3">
        <v>0</v>
      </c>
      <c r="AP40" s="3">
        <v>0</v>
      </c>
      <c r="AQ40" s="3">
        <v>-2.7901600000000002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-9.2160299999999999</v>
      </c>
      <c r="BC40" s="3">
        <v>0</v>
      </c>
      <c r="BD40" s="3">
        <v>0</v>
      </c>
      <c r="BE40" s="3">
        <v>-14.400040000000001</v>
      </c>
      <c r="BF40" s="3">
        <v>0</v>
      </c>
      <c r="BG40" s="3">
        <v>0</v>
      </c>
      <c r="BH40" s="3">
        <v>-14.400040000000001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2.2910500000000003</v>
      </c>
      <c r="C43" s="3">
        <v>2.0178199999999999</v>
      </c>
      <c r="D43" s="3">
        <v>2.2520600000000002</v>
      </c>
      <c r="E43" s="3">
        <v>2.1739799999999998</v>
      </c>
      <c r="F43" s="3">
        <v>6.22621</v>
      </c>
      <c r="G43" s="3">
        <v>17.853480000000001</v>
      </c>
      <c r="H43" s="3">
        <v>4.2717099999999997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2.5087099999999998</v>
      </c>
      <c r="O43" s="3">
        <v>0.34300000000000003</v>
      </c>
      <c r="P43" s="3">
        <v>0.34300000000000003</v>
      </c>
      <c r="Q43" s="3">
        <v>0.34300000000000003</v>
      </c>
      <c r="R43" s="3">
        <v>0.34300000000000003</v>
      </c>
      <c r="S43" s="3">
        <v>0.34300000000000003</v>
      </c>
      <c r="T43" s="3">
        <v>0.33689000000000002</v>
      </c>
      <c r="U43" s="3">
        <v>0</v>
      </c>
      <c r="V43" s="3">
        <v>0</v>
      </c>
      <c r="W43" s="3">
        <v>0</v>
      </c>
      <c r="X43" s="3">
        <v>0</v>
      </c>
      <c r="Y43" s="3">
        <v>579.30250999999998</v>
      </c>
      <c r="Z43" s="3">
        <v>2.2910500000000003</v>
      </c>
      <c r="AA43" s="3">
        <v>2.0178199999999999</v>
      </c>
      <c r="AB43" s="3">
        <v>2.2520600000000002</v>
      </c>
      <c r="AC43" s="3">
        <v>2.1739799999999998</v>
      </c>
      <c r="AD43" s="3">
        <v>6.22621</v>
      </c>
      <c r="AE43" s="3">
        <v>17.853480000000001</v>
      </c>
      <c r="AF43" s="3">
        <v>4.2717099999999997</v>
      </c>
      <c r="AG43" s="3">
        <v>281.84708999999998</v>
      </c>
      <c r="AH43" s="3">
        <v>4.5416338164710623</v>
      </c>
      <c r="AI43" s="3">
        <v>0</v>
      </c>
      <c r="AJ43" s="3">
        <v>0</v>
      </c>
      <c r="AK43" s="3">
        <v>73.332081071915596</v>
      </c>
      <c r="AL43" s="3">
        <v>2.2910500000000003</v>
      </c>
      <c r="AM43" s="3">
        <v>2.0178199999999999</v>
      </c>
      <c r="AN43" s="3">
        <v>2.2520600000000002</v>
      </c>
      <c r="AO43" s="3">
        <v>2.1739799999999998</v>
      </c>
      <c r="AP43" s="3">
        <v>6.22621</v>
      </c>
      <c r="AQ43" s="3">
        <v>17.853480000000001</v>
      </c>
      <c r="AR43" s="3">
        <v>4.53573</v>
      </c>
      <c r="AS43" s="3">
        <v>281.53534000000002</v>
      </c>
      <c r="AT43" s="3">
        <v>4.5364779047981472</v>
      </c>
      <c r="AU43" s="3">
        <v>0</v>
      </c>
      <c r="AV43" s="3">
        <v>0</v>
      </c>
      <c r="AW43" s="3">
        <v>73.250994960177849</v>
      </c>
      <c r="AX43" s="3">
        <v>0</v>
      </c>
      <c r="AY43" s="3">
        <v>0</v>
      </c>
      <c r="AZ43" s="3">
        <v>71.49948687534382</v>
      </c>
      <c r="BA43" s="3">
        <v>0</v>
      </c>
      <c r="BB43" s="3">
        <v>576.99724000000003</v>
      </c>
      <c r="BC43" s="3">
        <v>181.49862687534383</v>
      </c>
      <c r="BD43" s="3">
        <v>0</v>
      </c>
      <c r="BE43" s="3">
        <v>0</v>
      </c>
      <c r="BF43" s="3">
        <v>71.49948687534382</v>
      </c>
      <c r="BG43" s="3">
        <v>0</v>
      </c>
      <c r="BH43" s="3">
        <v>0</v>
      </c>
      <c r="BI43" s="3">
        <v>71.49948687534382</v>
      </c>
    </row>
    <row r="44" spans="1:61" x14ac:dyDescent="0.25">
      <c r="A44" s="1" t="s">
        <v>133</v>
      </c>
      <c r="B44" s="3">
        <v>40.030287999999999</v>
      </c>
      <c r="C44" s="3">
        <v>36.884593000000002</v>
      </c>
      <c r="D44" s="3">
        <v>41.254902000000008</v>
      </c>
      <c r="E44" s="3">
        <v>87.793533000000011</v>
      </c>
      <c r="F44" s="3">
        <v>45.128976999999999</v>
      </c>
      <c r="G44" s="3">
        <v>21.424636</v>
      </c>
      <c r="H44" s="3">
        <v>103.515073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38.772420000000004</v>
      </c>
      <c r="O44" s="3">
        <v>110.521989</v>
      </c>
      <c r="P44" s="3">
        <v>414.475684</v>
      </c>
      <c r="Q44" s="3">
        <v>21.869053000000001</v>
      </c>
      <c r="R44" s="3">
        <v>21.869597000000002</v>
      </c>
      <c r="S44" s="3">
        <v>17.707148999999998</v>
      </c>
      <c r="T44" s="3">
        <v>22.254916999999999</v>
      </c>
      <c r="U44" s="3">
        <v>16.004624</v>
      </c>
      <c r="V44" s="3">
        <v>1212.518002</v>
      </c>
      <c r="W44" s="3">
        <v>15.214172000000001</v>
      </c>
      <c r="X44" s="3">
        <v>89.852441000000013</v>
      </c>
      <c r="Y44" s="3">
        <v>29.846178000000002</v>
      </c>
      <c r="Z44" s="3">
        <v>40.030287999999999</v>
      </c>
      <c r="AA44" s="3">
        <v>36.884593000000002</v>
      </c>
      <c r="AB44" s="3">
        <v>41.254902000000008</v>
      </c>
      <c r="AC44" s="3">
        <v>87.793533000000011</v>
      </c>
      <c r="AD44" s="3">
        <v>45.128976999999999</v>
      </c>
      <c r="AE44" s="3">
        <v>21.424636</v>
      </c>
      <c r="AF44" s="3">
        <v>103.515073</v>
      </c>
      <c r="AG44" s="3">
        <v>73.951760000000007</v>
      </c>
      <c r="AH44" s="3">
        <v>73.951760000000007</v>
      </c>
      <c r="AI44" s="3">
        <v>37.094159999999995</v>
      </c>
      <c r="AJ44" s="3">
        <v>37.094159999999995</v>
      </c>
      <c r="AK44" s="3">
        <v>37.094159999999995</v>
      </c>
      <c r="AL44" s="3">
        <v>40.030287999999999</v>
      </c>
      <c r="AM44" s="3">
        <v>36.884593000000002</v>
      </c>
      <c r="AN44" s="3">
        <v>41.254902000000008</v>
      </c>
      <c r="AO44" s="3">
        <v>87.793533000000011</v>
      </c>
      <c r="AP44" s="3">
        <v>45.128976999999999</v>
      </c>
      <c r="AQ44" s="3">
        <v>21.424636</v>
      </c>
      <c r="AR44" s="3">
        <v>73.869969999999995</v>
      </c>
      <c r="AS44" s="3">
        <v>73.869969999999995</v>
      </c>
      <c r="AT44" s="3">
        <v>73.869969999999995</v>
      </c>
      <c r="AU44" s="3">
        <v>37.053130000000003</v>
      </c>
      <c r="AV44" s="3">
        <v>37.053130000000003</v>
      </c>
      <c r="AW44" s="3">
        <v>37.053130000000003</v>
      </c>
      <c r="AX44" s="3">
        <v>36.167069999999995</v>
      </c>
      <c r="AY44" s="3">
        <v>36.167069999999995</v>
      </c>
      <c r="AZ44" s="3">
        <v>1486.16102</v>
      </c>
      <c r="BA44" s="3">
        <v>36.167069999999995</v>
      </c>
      <c r="BB44" s="3">
        <v>347.16569000000004</v>
      </c>
      <c r="BC44" s="3">
        <v>36.167069999999995</v>
      </c>
      <c r="BD44" s="3">
        <v>36.167069999999995</v>
      </c>
      <c r="BE44" s="3">
        <v>36.167069999999995</v>
      </c>
      <c r="BF44" s="3">
        <v>536.16489491819868</v>
      </c>
      <c r="BG44" s="3">
        <v>36.167069999999995</v>
      </c>
      <c r="BH44" s="3">
        <v>36.167069999999995</v>
      </c>
      <c r="BI44" s="3">
        <v>36.167069999999995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2.2866819999999999</v>
      </c>
      <c r="C46" s="3">
        <v>7.1533030000000002</v>
      </c>
      <c r="D46" s="3">
        <v>131.355491</v>
      </c>
      <c r="E46" s="3">
        <v>58.189528999999993</v>
      </c>
      <c r="F46" s="3">
        <v>77.747993000000008</v>
      </c>
      <c r="G46" s="3">
        <v>70.901864000000018</v>
      </c>
      <c r="H46" s="3">
        <v>47.92796700000001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53.262219999999999</v>
      </c>
      <c r="O46" s="3">
        <v>7.5173199999999998</v>
      </c>
      <c r="P46" s="3">
        <v>153.00710000000001</v>
      </c>
      <c r="Q46" s="3">
        <v>2.6936500000000003</v>
      </c>
      <c r="R46" s="3">
        <v>65.403442999999996</v>
      </c>
      <c r="S46" s="3">
        <v>58.098606000000011</v>
      </c>
      <c r="T46" s="3">
        <v>37.115113999999998</v>
      </c>
      <c r="U46" s="3">
        <v>81.74737300000001</v>
      </c>
      <c r="V46" s="3">
        <v>75.986254000000002</v>
      </c>
      <c r="W46" s="3">
        <v>26.190906999999999</v>
      </c>
      <c r="X46" s="3">
        <v>19.634347999999999</v>
      </c>
      <c r="Y46" s="3">
        <v>113.21141900000001</v>
      </c>
      <c r="Z46" s="3">
        <v>2.2866819999999999</v>
      </c>
      <c r="AA46" s="3">
        <v>7.1533030000000002</v>
      </c>
      <c r="AB46" s="3">
        <v>131.355491</v>
      </c>
      <c r="AC46" s="3">
        <v>58.189529</v>
      </c>
      <c r="AD46" s="3">
        <v>77.747993000000008</v>
      </c>
      <c r="AE46" s="3">
        <v>70.901864000000003</v>
      </c>
      <c r="AF46" s="3">
        <v>47.92796700000001</v>
      </c>
      <c r="AG46" s="3">
        <v>-23.122666666666667</v>
      </c>
      <c r="AH46" s="3">
        <v>211.91984333333332</v>
      </c>
      <c r="AI46" s="3">
        <v>54.276359999999997</v>
      </c>
      <c r="AJ46" s="3">
        <v>3.544</v>
      </c>
      <c r="AK46" s="3">
        <v>224.33519999999999</v>
      </c>
      <c r="AL46" s="3">
        <v>2.2866819999999999</v>
      </c>
      <c r="AM46" s="3">
        <v>7.1533030000000002</v>
      </c>
      <c r="AN46" s="3">
        <v>131.355491</v>
      </c>
      <c r="AO46" s="3">
        <v>58.189529</v>
      </c>
      <c r="AP46" s="3">
        <v>77.747993000000008</v>
      </c>
      <c r="AQ46" s="3">
        <v>70.901864000000003</v>
      </c>
      <c r="AR46" s="3">
        <v>27.549663333333338</v>
      </c>
      <c r="AS46" s="3">
        <v>-23.126586666666668</v>
      </c>
      <c r="AT46" s="3">
        <v>211.65593333333331</v>
      </c>
      <c r="AU46" s="3">
        <v>54.216330000000006</v>
      </c>
      <c r="AV46" s="3">
        <v>3.5400800000000001</v>
      </c>
      <c r="AW46" s="3">
        <v>224.08706000000001</v>
      </c>
      <c r="AX46" s="3">
        <v>74.870419999999996</v>
      </c>
      <c r="AY46" s="3">
        <v>0</v>
      </c>
      <c r="AZ46" s="3">
        <v>213.35524000000001</v>
      </c>
      <c r="BA46" s="3">
        <v>49.464410000000001</v>
      </c>
      <c r="BB46" s="3">
        <v>3.4554299999999998</v>
      </c>
      <c r="BC46" s="3">
        <v>233.35782</v>
      </c>
      <c r="BD46" s="3">
        <v>52.919840000000001</v>
      </c>
      <c r="BE46" s="3">
        <v>3.4554299999999998</v>
      </c>
      <c r="BF46" s="3">
        <v>232.62353999999999</v>
      </c>
      <c r="BG46" s="3">
        <v>52.919840000000001</v>
      </c>
      <c r="BH46" s="3">
        <v>3.4554299999999998</v>
      </c>
      <c r="BI46" s="3">
        <v>218.72841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-1.5495399999999999</v>
      </c>
      <c r="S47" s="3">
        <v>-0.30501</v>
      </c>
      <c r="T47" s="3">
        <v>0</v>
      </c>
      <c r="U47" s="3">
        <v>-7.0300000000000001E-2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2" x14ac:dyDescent="0.25">
      <c r="A49" s="1" t="s">
        <v>44</v>
      </c>
      <c r="B49" s="3">
        <v>15.992820999999999</v>
      </c>
      <c r="C49" s="3">
        <v>0.72724200000000006</v>
      </c>
      <c r="D49" s="3">
        <v>8.076258000000001</v>
      </c>
      <c r="E49" s="3">
        <v>0.26985800000000004</v>
      </c>
      <c r="F49" s="3">
        <v>1.4585760000000001</v>
      </c>
      <c r="G49" s="3">
        <v>6.553134</v>
      </c>
      <c r="H49" s="3">
        <v>5.5398239999999994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-2.8850000000000042E-2</v>
      </c>
      <c r="O49" s="3">
        <v>1.58735</v>
      </c>
      <c r="P49" s="3">
        <v>18.640661000000001</v>
      </c>
      <c r="Q49" s="3">
        <v>-1.6433809999999998</v>
      </c>
      <c r="R49" s="3">
        <v>16.297864000000001</v>
      </c>
      <c r="S49" s="3">
        <v>7.1008590000000007</v>
      </c>
      <c r="T49" s="3">
        <v>9.5182649999999995</v>
      </c>
      <c r="U49" s="3">
        <v>5.7798559999999997</v>
      </c>
      <c r="V49" s="3">
        <v>5.9086990000000004</v>
      </c>
      <c r="W49" s="3">
        <v>0.736842</v>
      </c>
      <c r="X49" s="3">
        <v>3.8940609999999998</v>
      </c>
      <c r="Y49" s="3">
        <v>30.726559999999999</v>
      </c>
      <c r="Z49" s="3">
        <v>15.992820999999999</v>
      </c>
      <c r="AA49" s="3">
        <v>0.72724200000000006</v>
      </c>
      <c r="AB49" s="3">
        <v>8.076258000000001</v>
      </c>
      <c r="AC49" s="3">
        <v>0.26985800000000004</v>
      </c>
      <c r="AD49" s="3">
        <v>1.4585760000000001</v>
      </c>
      <c r="AE49" s="3">
        <v>6.553134</v>
      </c>
      <c r="AF49" s="3">
        <v>5.5398239999999994</v>
      </c>
      <c r="AG49" s="3">
        <v>4.43</v>
      </c>
      <c r="AH49" s="3">
        <v>14.043099999999999</v>
      </c>
      <c r="AI49" s="3">
        <v>4.43</v>
      </c>
      <c r="AJ49" s="3">
        <v>4.43</v>
      </c>
      <c r="AK49" s="3">
        <v>13.44594</v>
      </c>
      <c r="AL49" s="3">
        <v>15.992820999999999</v>
      </c>
      <c r="AM49" s="3">
        <v>0.72724200000000006</v>
      </c>
      <c r="AN49" s="3">
        <v>8.076258000000001</v>
      </c>
      <c r="AO49" s="3">
        <v>0.26985800000000004</v>
      </c>
      <c r="AP49" s="3">
        <v>1.4585760000000001</v>
      </c>
      <c r="AQ49" s="3">
        <v>6.553134</v>
      </c>
      <c r="AR49" s="3">
        <v>4.4250999999999996</v>
      </c>
      <c r="AS49" s="3">
        <v>4.4250999999999996</v>
      </c>
      <c r="AT49" s="3">
        <v>14.027570000000001</v>
      </c>
      <c r="AU49" s="3">
        <v>4.4250999999999996</v>
      </c>
      <c r="AV49" s="3">
        <v>4.4250999999999996</v>
      </c>
      <c r="AW49" s="3">
        <v>13.431069999999998</v>
      </c>
      <c r="AX49" s="3">
        <v>4.31928</v>
      </c>
      <c r="AY49" s="3">
        <v>4.31928</v>
      </c>
      <c r="AZ49" s="3">
        <v>13.692129999999999</v>
      </c>
      <c r="BA49" s="3">
        <v>4.31928</v>
      </c>
      <c r="BB49" s="3">
        <v>4.31928</v>
      </c>
      <c r="BC49" s="3">
        <v>13.692129999999999</v>
      </c>
      <c r="BD49" s="3">
        <v>4.31928</v>
      </c>
      <c r="BE49" s="3">
        <v>4.31928</v>
      </c>
      <c r="BF49" s="3">
        <v>13.692129999999999</v>
      </c>
      <c r="BG49" s="3">
        <v>4.31928</v>
      </c>
      <c r="BH49" s="3">
        <v>4.31928</v>
      </c>
      <c r="BI49" s="3">
        <v>13.10989</v>
      </c>
    </row>
    <row r="50" spans="1:62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2" x14ac:dyDescent="0.25">
      <c r="A51" s="1" t="s">
        <v>121</v>
      </c>
      <c r="B51" s="3">
        <v>784.65517799999998</v>
      </c>
      <c r="C51" s="3">
        <v>823.49238400000002</v>
      </c>
      <c r="D51" s="3">
        <v>2578.7494420000003</v>
      </c>
      <c r="E51" s="3">
        <v>703.71107300000017</v>
      </c>
      <c r="F51" s="3">
        <v>1582.4184150000001</v>
      </c>
      <c r="G51" s="3">
        <v>3576.6215810000003</v>
      </c>
      <c r="H51" s="3">
        <v>800.43203100000005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379.72913299999999</v>
      </c>
      <c r="O51" s="3">
        <v>1194.1809139999998</v>
      </c>
      <c r="P51" s="3">
        <v>1177.1936739999999</v>
      </c>
      <c r="Q51" s="3">
        <v>706.26878600000009</v>
      </c>
      <c r="R51" s="3">
        <v>1223.5325619999999</v>
      </c>
      <c r="S51" s="3">
        <v>2264.6799109999997</v>
      </c>
      <c r="T51" s="3">
        <v>720.58079499999997</v>
      </c>
      <c r="U51" s="3">
        <v>725.47595800000011</v>
      </c>
      <c r="V51" s="3">
        <v>2111.2592240000004</v>
      </c>
      <c r="W51" s="3">
        <v>926.38902400000018</v>
      </c>
      <c r="X51" s="3">
        <v>752.29748799999993</v>
      </c>
      <c r="Y51" s="3">
        <v>3236.7348550000002</v>
      </c>
      <c r="Z51" s="3">
        <v>784.65517800000009</v>
      </c>
      <c r="AA51" s="3">
        <v>823.49238400000002</v>
      </c>
      <c r="AB51" s="3">
        <v>2578.7494419999998</v>
      </c>
      <c r="AC51" s="3">
        <v>703.71107300000028</v>
      </c>
      <c r="AD51" s="3">
        <v>1582.4184150000006</v>
      </c>
      <c r="AE51" s="3">
        <v>3576.6215809999999</v>
      </c>
      <c r="AF51" s="3">
        <v>800.43203099999994</v>
      </c>
      <c r="AG51" s="3">
        <v>2012.2862300000002</v>
      </c>
      <c r="AH51" s="3">
        <v>2724.0573384964118</v>
      </c>
      <c r="AI51" s="3">
        <v>1618.7262199999998</v>
      </c>
      <c r="AJ51" s="3">
        <v>2002.05846</v>
      </c>
      <c r="AK51" s="3">
        <v>1675.3301710719154</v>
      </c>
      <c r="AL51" s="3">
        <v>784.65517800000009</v>
      </c>
      <c r="AM51" s="3">
        <v>823.49238400000002</v>
      </c>
      <c r="AN51" s="3">
        <v>2578.7494419999998</v>
      </c>
      <c r="AO51" s="3">
        <v>703.71107300000028</v>
      </c>
      <c r="AP51" s="3">
        <v>1582.4184150000006</v>
      </c>
      <c r="AQ51" s="3">
        <v>3576.6215809999999</v>
      </c>
      <c r="AR51" s="3">
        <v>1698.8548800000001</v>
      </c>
      <c r="AS51" s="3">
        <v>1935.5145699999998</v>
      </c>
      <c r="AT51" s="3">
        <v>2721.8812049098865</v>
      </c>
      <c r="AU51" s="3">
        <v>1616.2585999999997</v>
      </c>
      <c r="AV51" s="3">
        <v>1999.12985</v>
      </c>
      <c r="AW51" s="3">
        <v>1672.7408249601779</v>
      </c>
      <c r="AX51" s="3">
        <v>1056.13536</v>
      </c>
      <c r="AY51" s="3">
        <v>1165.8136699999998</v>
      </c>
      <c r="AZ51" s="3">
        <v>1468.6081668753438</v>
      </c>
      <c r="BA51" s="3">
        <v>1341.8429599999997</v>
      </c>
      <c r="BB51" s="3">
        <v>2251.2923100000003</v>
      </c>
      <c r="BC51" s="3">
        <v>1828.4959368753443</v>
      </c>
      <c r="BD51" s="3">
        <v>1537.4540999999999</v>
      </c>
      <c r="BE51" s="3">
        <v>1680.0572999999997</v>
      </c>
      <c r="BF51" s="3">
        <v>1956.9889868753437</v>
      </c>
      <c r="BG51" s="3">
        <v>1578.4653800000001</v>
      </c>
      <c r="BH51" s="3">
        <v>1910.1090899999997</v>
      </c>
      <c r="BI51" s="3">
        <v>1606.4360568753434</v>
      </c>
    </row>
    <row r="52" spans="1:62" x14ac:dyDescent="0.25">
      <c r="A52" s="1" t="s">
        <v>76</v>
      </c>
      <c r="B52" s="3">
        <v>18.279502999999998</v>
      </c>
      <c r="C52" s="3">
        <v>7.8805449999999997</v>
      </c>
      <c r="D52" s="3">
        <v>139.431749</v>
      </c>
      <c r="E52" s="3">
        <v>58.459386999999992</v>
      </c>
      <c r="F52" s="3">
        <v>79.206569000000002</v>
      </c>
      <c r="G52" s="3">
        <v>77.454998000000018</v>
      </c>
      <c r="H52" s="3">
        <v>53.467791000000013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53.233370000000001</v>
      </c>
      <c r="O52" s="3">
        <v>9.1046700000000005</v>
      </c>
      <c r="P52" s="3">
        <v>171.647761</v>
      </c>
      <c r="Q52" s="3">
        <v>1.0502690000000006</v>
      </c>
      <c r="R52" s="3">
        <v>80.151767000000007</v>
      </c>
      <c r="S52" s="3">
        <v>64.894455000000008</v>
      </c>
      <c r="T52" s="3">
        <v>46.633378999999998</v>
      </c>
      <c r="U52" s="3">
        <v>87.456929000000002</v>
      </c>
      <c r="V52" s="3">
        <v>81.894953000000001</v>
      </c>
      <c r="W52" s="3">
        <v>26.927748999999999</v>
      </c>
      <c r="X52" s="3">
        <v>23.528409</v>
      </c>
      <c r="Y52" s="3">
        <v>143.93797900000001</v>
      </c>
      <c r="Z52" s="3">
        <v>18.279502999999998</v>
      </c>
      <c r="AA52" s="3">
        <v>7.8805449999999997</v>
      </c>
      <c r="AB52" s="3">
        <v>139.431749</v>
      </c>
      <c r="AC52" s="3">
        <v>58.459387</v>
      </c>
      <c r="AD52" s="3">
        <v>79.206569000000002</v>
      </c>
      <c r="AE52" s="3">
        <v>77.454998000000003</v>
      </c>
      <c r="AF52" s="3">
        <v>53.467791000000013</v>
      </c>
      <c r="AG52" s="3">
        <v>-18.692666666666668</v>
      </c>
      <c r="AH52" s="3">
        <v>225.96294333333333</v>
      </c>
      <c r="AI52" s="3">
        <v>58.706359999999997</v>
      </c>
      <c r="AJ52" s="3">
        <v>7.9740000000000002</v>
      </c>
      <c r="AK52" s="3">
        <v>237.78113999999999</v>
      </c>
      <c r="AL52" s="3">
        <v>18.279502999999998</v>
      </c>
      <c r="AM52" s="3">
        <v>7.8805449999999997</v>
      </c>
      <c r="AN52" s="3">
        <v>139.431749</v>
      </c>
      <c r="AO52" s="3">
        <v>58.459387</v>
      </c>
      <c r="AP52" s="3">
        <v>79.206569000000002</v>
      </c>
      <c r="AQ52" s="3">
        <v>77.454998000000003</v>
      </c>
      <c r="AR52" s="3">
        <v>31.974763333333339</v>
      </c>
      <c r="AS52" s="3">
        <v>-18.701486666666668</v>
      </c>
      <c r="AT52" s="3">
        <v>225.68350333333331</v>
      </c>
      <c r="AU52" s="3">
        <v>58.641430000000007</v>
      </c>
      <c r="AV52" s="3">
        <v>7.9651800000000001</v>
      </c>
      <c r="AW52" s="3">
        <v>237.51813000000001</v>
      </c>
      <c r="AX52" s="3">
        <v>79.189700000000002</v>
      </c>
      <c r="AY52" s="3">
        <v>4.31928</v>
      </c>
      <c r="AZ52" s="3">
        <v>227.04737</v>
      </c>
      <c r="BA52" s="3">
        <v>53.78369</v>
      </c>
      <c r="BB52" s="3">
        <v>7.7747099999999998</v>
      </c>
      <c r="BC52" s="3">
        <v>247.04995</v>
      </c>
      <c r="BD52" s="3">
        <v>57.23912</v>
      </c>
      <c r="BE52" s="3">
        <v>7.7747099999999998</v>
      </c>
      <c r="BF52" s="3">
        <v>246.31566999999998</v>
      </c>
      <c r="BG52" s="3">
        <v>57.23912</v>
      </c>
      <c r="BH52" s="3">
        <v>7.7747099999999998</v>
      </c>
      <c r="BI52" s="3">
        <v>231.8383</v>
      </c>
    </row>
    <row r="53" spans="1:6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1" t="s">
        <v>105</v>
      </c>
      <c r="B54" s="7">
        <v>842.964969</v>
      </c>
      <c r="C54" s="7">
        <v>868.25752199999999</v>
      </c>
      <c r="D54" s="7">
        <v>2759.4360929999993</v>
      </c>
      <c r="E54" s="7">
        <v>849.96399300000007</v>
      </c>
      <c r="F54" s="7">
        <v>1706.7539609999999</v>
      </c>
      <c r="G54" s="7">
        <v>3675.5012150000007</v>
      </c>
      <c r="H54" s="7">
        <v>957.414895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471.73492299999998</v>
      </c>
      <c r="O54" s="7">
        <v>1313.8075729999996</v>
      </c>
      <c r="P54" s="7">
        <v>1763.3171189999996</v>
      </c>
      <c r="Q54" s="7">
        <v>729.18810800000017</v>
      </c>
      <c r="R54" s="7">
        <v>1325.5539259999998</v>
      </c>
      <c r="S54" s="7">
        <v>2347.2815150000001</v>
      </c>
      <c r="T54" s="7">
        <v>789.46909100000005</v>
      </c>
      <c r="U54" s="7">
        <v>828.93751100000009</v>
      </c>
      <c r="V54" s="7">
        <v>3405.6721790000001</v>
      </c>
      <c r="W54" s="7">
        <v>968.5309450000002</v>
      </c>
      <c r="X54" s="7">
        <v>865.67833799999994</v>
      </c>
      <c r="Y54" s="7">
        <v>3410.5190119999997</v>
      </c>
      <c r="Z54" s="7">
        <v>842.96496900000022</v>
      </c>
      <c r="AA54" s="7">
        <v>868.25752199999999</v>
      </c>
      <c r="AB54" s="7">
        <v>2759.4360929999989</v>
      </c>
      <c r="AC54" s="7">
        <v>849.96399300000007</v>
      </c>
      <c r="AD54" s="7">
        <v>1706.7539610000003</v>
      </c>
      <c r="AE54" s="7">
        <v>3675.5012150000007</v>
      </c>
      <c r="AF54" s="7">
        <v>957.41489499999989</v>
      </c>
      <c r="AG54" s="7">
        <v>2067.5453233333337</v>
      </c>
      <c r="AH54" s="7">
        <v>3023.9720418297452</v>
      </c>
      <c r="AI54" s="7">
        <v>1714.5267399999998</v>
      </c>
      <c r="AJ54" s="7">
        <v>2047.12662</v>
      </c>
      <c r="AK54" s="7">
        <v>1950.2054710719156</v>
      </c>
      <c r="AL54" s="7">
        <v>842.96496900000022</v>
      </c>
      <c r="AM54" s="7">
        <v>868.25752199999999</v>
      </c>
      <c r="AN54" s="7">
        <v>2759.4360929999989</v>
      </c>
      <c r="AO54" s="7">
        <v>849.96399300000007</v>
      </c>
      <c r="AP54" s="7">
        <v>1706.7539610000003</v>
      </c>
      <c r="AQ54" s="7">
        <v>3675.5012150000007</v>
      </c>
      <c r="AR54" s="7">
        <v>1804.6996133333332</v>
      </c>
      <c r="AS54" s="7">
        <v>1990.683053333333</v>
      </c>
      <c r="AT54" s="7">
        <v>3021.4346782432203</v>
      </c>
      <c r="AU54" s="7">
        <v>1711.9531599999996</v>
      </c>
      <c r="AV54" s="7">
        <v>2044.14816</v>
      </c>
      <c r="AW54" s="7">
        <v>1947.3120849601778</v>
      </c>
      <c r="AX54" s="7">
        <v>1171.4921300000001</v>
      </c>
      <c r="AY54" s="7">
        <v>1206.3000199999997</v>
      </c>
      <c r="AZ54" s="7">
        <v>3181.8165568753448</v>
      </c>
      <c r="BA54" s="7">
        <v>1431.7937199999997</v>
      </c>
      <c r="BB54" s="7">
        <v>2606.2327100000002</v>
      </c>
      <c r="BC54" s="7">
        <v>2111.7129568753444</v>
      </c>
      <c r="BD54" s="7">
        <v>1630.8602900000001</v>
      </c>
      <c r="BE54" s="7">
        <v>1723.9990799999996</v>
      </c>
      <c r="BF54" s="7">
        <v>2739.4695517935425</v>
      </c>
      <c r="BG54" s="7">
        <v>1671.8715700000002</v>
      </c>
      <c r="BH54" s="7">
        <v>1954.0508699999996</v>
      </c>
      <c r="BI54" s="7">
        <v>1874.4414268753437</v>
      </c>
      <c r="BJ54" s="7"/>
    </row>
    <row r="56" spans="1:62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2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  <c r="BJ57" s="7"/>
    </row>
    <row r="58" spans="1:62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  <c r="BJ58" s="7"/>
    </row>
    <row r="59" spans="1:62" x14ac:dyDescent="0.25">
      <c r="A59" s="1" t="s">
        <v>108</v>
      </c>
      <c r="B59" s="244">
        <f t="shared" ref="B59:AG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ref="AH59:AV59" si="5">SUM(AH46:AH49)-AH52</f>
        <v>0</v>
      </c>
      <c r="AI59" s="244">
        <f t="shared" si="5"/>
        <v>0</v>
      </c>
      <c r="AJ59" s="244">
        <f t="shared" si="5"/>
        <v>0</v>
      </c>
      <c r="AK59" s="244">
        <f t="shared" si="5"/>
        <v>0</v>
      </c>
      <c r="AL59" s="244">
        <f t="shared" si="5"/>
        <v>0</v>
      </c>
      <c r="AM59" s="244">
        <f t="shared" si="5"/>
        <v>0</v>
      </c>
      <c r="AN59" s="244">
        <f t="shared" si="5"/>
        <v>0</v>
      </c>
      <c r="AO59" s="244">
        <f t="shared" si="5"/>
        <v>0</v>
      </c>
      <c r="AP59" s="244">
        <f t="shared" si="5"/>
        <v>0</v>
      </c>
      <c r="AQ59" s="244">
        <f t="shared" si="5"/>
        <v>0</v>
      </c>
      <c r="AR59" s="244">
        <f t="shared" si="5"/>
        <v>0</v>
      </c>
      <c r="AS59" s="244">
        <f t="shared" si="5"/>
        <v>0</v>
      </c>
      <c r="AT59" s="244">
        <f t="shared" si="5"/>
        <v>0</v>
      </c>
      <c r="AU59" s="244">
        <f t="shared" si="5"/>
        <v>0</v>
      </c>
      <c r="AV59" s="244">
        <f t="shared" si="5"/>
        <v>0</v>
      </c>
      <c r="AW59" s="244">
        <f t="shared" ref="AW59:BI59" si="6">SUM(AW46:AW49)-AW52</f>
        <v>0</v>
      </c>
      <c r="AX59" s="244">
        <f t="shared" si="6"/>
        <v>0</v>
      </c>
      <c r="AY59" s="244">
        <f t="shared" si="6"/>
        <v>0</v>
      </c>
      <c r="AZ59" s="244">
        <f t="shared" si="6"/>
        <v>0</v>
      </c>
      <c r="BA59" s="244">
        <f t="shared" si="6"/>
        <v>0</v>
      </c>
      <c r="BB59" s="244">
        <f t="shared" si="6"/>
        <v>0</v>
      </c>
      <c r="BC59" s="244">
        <f t="shared" si="6"/>
        <v>0</v>
      </c>
      <c r="BD59" s="244">
        <f t="shared" si="6"/>
        <v>0</v>
      </c>
      <c r="BE59" s="244">
        <f t="shared" si="6"/>
        <v>0</v>
      </c>
      <c r="BF59" s="244">
        <f t="shared" si="6"/>
        <v>0</v>
      </c>
      <c r="BG59" s="244">
        <f t="shared" si="6"/>
        <v>0</v>
      </c>
      <c r="BH59" s="244">
        <f t="shared" si="6"/>
        <v>0</v>
      </c>
      <c r="BI59" s="244">
        <f t="shared" si="6"/>
        <v>0</v>
      </c>
      <c r="BJ59" s="7"/>
    </row>
    <row r="60" spans="1:62" x14ac:dyDescent="0.25">
      <c r="A60" s="1" t="s">
        <v>109</v>
      </c>
      <c r="B60" s="244">
        <f>SUM(B12:B23,B43:B44)-B27</f>
        <v>0</v>
      </c>
      <c r="C60" s="244">
        <f t="shared" ref="C60:BI60" si="7">SUM(C12:C23,C43:C44)-C27</f>
        <v>0</v>
      </c>
      <c r="D60" s="244">
        <f t="shared" si="7"/>
        <v>0</v>
      </c>
      <c r="E60" s="244">
        <f t="shared" si="7"/>
        <v>0</v>
      </c>
      <c r="F60" s="244">
        <f t="shared" si="7"/>
        <v>0</v>
      </c>
      <c r="G60" s="244">
        <f t="shared" si="7"/>
        <v>0</v>
      </c>
      <c r="H60" s="244">
        <f t="shared" si="7"/>
        <v>0</v>
      </c>
      <c r="I60" s="244">
        <f t="shared" si="7"/>
        <v>0</v>
      </c>
      <c r="J60" s="244">
        <f t="shared" si="7"/>
        <v>0</v>
      </c>
      <c r="K60" s="244">
        <f t="shared" si="7"/>
        <v>0</v>
      </c>
      <c r="L60" s="244">
        <f t="shared" si="7"/>
        <v>0</v>
      </c>
      <c r="M60" s="244">
        <f t="shared" si="7"/>
        <v>0</v>
      </c>
      <c r="N60" s="244">
        <f t="shared" si="7"/>
        <v>0</v>
      </c>
      <c r="O60" s="244">
        <f t="shared" si="7"/>
        <v>0</v>
      </c>
      <c r="P60" s="244">
        <f t="shared" si="7"/>
        <v>0</v>
      </c>
      <c r="Q60" s="244">
        <f t="shared" si="7"/>
        <v>0</v>
      </c>
      <c r="R60" s="244">
        <f t="shared" si="7"/>
        <v>0</v>
      </c>
      <c r="S60" s="244">
        <f t="shared" si="7"/>
        <v>0</v>
      </c>
      <c r="T60" s="244">
        <f t="shared" si="7"/>
        <v>0</v>
      </c>
      <c r="U60" s="244">
        <f t="shared" si="7"/>
        <v>0</v>
      </c>
      <c r="V60" s="244">
        <f t="shared" si="7"/>
        <v>0</v>
      </c>
      <c r="W60" s="244">
        <f t="shared" si="7"/>
        <v>0</v>
      </c>
      <c r="X60" s="244">
        <f t="shared" si="7"/>
        <v>0</v>
      </c>
      <c r="Y60" s="244">
        <f t="shared" si="7"/>
        <v>0</v>
      </c>
      <c r="Z60" s="244">
        <f t="shared" si="7"/>
        <v>0</v>
      </c>
      <c r="AA60" s="244">
        <f t="shared" si="7"/>
        <v>0</v>
      </c>
      <c r="AB60" s="244">
        <f t="shared" si="7"/>
        <v>0</v>
      </c>
      <c r="AC60" s="244">
        <f t="shared" si="7"/>
        <v>0</v>
      </c>
      <c r="AD60" s="244">
        <f t="shared" si="7"/>
        <v>0</v>
      </c>
      <c r="AE60" s="244">
        <f t="shared" si="7"/>
        <v>0</v>
      </c>
      <c r="AF60" s="244">
        <f t="shared" si="7"/>
        <v>0</v>
      </c>
      <c r="AG60" s="244">
        <f t="shared" si="7"/>
        <v>0</v>
      </c>
      <c r="AH60" s="244">
        <f t="shared" si="7"/>
        <v>0</v>
      </c>
      <c r="AI60" s="244">
        <f t="shared" si="7"/>
        <v>0</v>
      </c>
      <c r="AJ60" s="244">
        <f t="shared" si="7"/>
        <v>0</v>
      </c>
      <c r="AK60" s="244">
        <f t="shared" si="7"/>
        <v>0</v>
      </c>
      <c r="AL60" s="244">
        <f t="shared" si="7"/>
        <v>0</v>
      </c>
      <c r="AM60" s="244">
        <f t="shared" si="7"/>
        <v>0</v>
      </c>
      <c r="AN60" s="244">
        <f t="shared" si="7"/>
        <v>0</v>
      </c>
      <c r="AO60" s="244">
        <f t="shared" si="7"/>
        <v>0</v>
      </c>
      <c r="AP60" s="244">
        <f t="shared" si="7"/>
        <v>0</v>
      </c>
      <c r="AQ60" s="244">
        <f t="shared" si="7"/>
        <v>0</v>
      </c>
      <c r="AR60" s="244">
        <f t="shared" si="7"/>
        <v>0</v>
      </c>
      <c r="AS60" s="244">
        <f t="shared" si="7"/>
        <v>0</v>
      </c>
      <c r="AT60" s="244">
        <f t="shared" si="7"/>
        <v>0</v>
      </c>
      <c r="AU60" s="244">
        <f t="shared" si="7"/>
        <v>0</v>
      </c>
      <c r="AV60" s="244">
        <f t="shared" si="7"/>
        <v>0</v>
      </c>
      <c r="AW60" s="244">
        <f t="shared" si="7"/>
        <v>0</v>
      </c>
      <c r="AX60" s="244">
        <f t="shared" si="7"/>
        <v>0</v>
      </c>
      <c r="AY60" s="244">
        <f t="shared" si="7"/>
        <v>0</v>
      </c>
      <c r="AZ60" s="244">
        <f t="shared" si="7"/>
        <v>0</v>
      </c>
      <c r="BA60" s="244">
        <f t="shared" si="7"/>
        <v>0</v>
      </c>
      <c r="BB60" s="244">
        <f t="shared" si="7"/>
        <v>0</v>
      </c>
      <c r="BC60" s="244">
        <f t="shared" si="7"/>
        <v>0</v>
      </c>
      <c r="BD60" s="244">
        <f t="shared" si="7"/>
        <v>0</v>
      </c>
      <c r="BE60" s="244">
        <f t="shared" si="7"/>
        <v>0</v>
      </c>
      <c r="BF60" s="244">
        <f t="shared" si="7"/>
        <v>0</v>
      </c>
      <c r="BG60" s="244">
        <f t="shared" si="7"/>
        <v>0</v>
      </c>
      <c r="BH60" s="244">
        <f t="shared" si="7"/>
        <v>0</v>
      </c>
      <c r="BI60" s="244">
        <f t="shared" si="7"/>
        <v>0</v>
      </c>
      <c r="BJ60" s="7"/>
    </row>
    <row r="61" spans="1:62" x14ac:dyDescent="0.25">
      <c r="A61" s="1" t="s">
        <v>110</v>
      </c>
      <c r="B61" s="244">
        <f>SUM(B12:B23,B43:B44,B52)-B54</f>
        <v>0</v>
      </c>
      <c r="C61" s="244">
        <f t="shared" ref="C61:BI61" si="8">SUM(C12:C23,C43:C44,C52)-C54</f>
        <v>0</v>
      </c>
      <c r="D61" s="244">
        <f t="shared" si="8"/>
        <v>0</v>
      </c>
      <c r="E61" s="244">
        <f t="shared" si="8"/>
        <v>0</v>
      </c>
      <c r="F61" s="244">
        <f t="shared" si="8"/>
        <v>0</v>
      </c>
      <c r="G61" s="244">
        <f t="shared" si="8"/>
        <v>0</v>
      </c>
      <c r="H61" s="244">
        <f t="shared" si="8"/>
        <v>0</v>
      </c>
      <c r="I61" s="244">
        <f t="shared" si="8"/>
        <v>0</v>
      </c>
      <c r="J61" s="244">
        <f t="shared" si="8"/>
        <v>0</v>
      </c>
      <c r="K61" s="244">
        <f t="shared" si="8"/>
        <v>0</v>
      </c>
      <c r="L61" s="244">
        <f t="shared" si="8"/>
        <v>0</v>
      </c>
      <c r="M61" s="244">
        <f t="shared" si="8"/>
        <v>0</v>
      </c>
      <c r="N61" s="244">
        <f t="shared" si="8"/>
        <v>0</v>
      </c>
      <c r="O61" s="244">
        <f t="shared" si="8"/>
        <v>0</v>
      </c>
      <c r="P61" s="244">
        <f t="shared" si="8"/>
        <v>0</v>
      </c>
      <c r="Q61" s="244">
        <f t="shared" si="8"/>
        <v>0</v>
      </c>
      <c r="R61" s="244">
        <f t="shared" si="8"/>
        <v>0</v>
      </c>
      <c r="S61" s="244">
        <f t="shared" si="8"/>
        <v>0</v>
      </c>
      <c r="T61" s="244">
        <f t="shared" si="8"/>
        <v>0</v>
      </c>
      <c r="U61" s="244">
        <f t="shared" si="8"/>
        <v>0</v>
      </c>
      <c r="V61" s="244">
        <f t="shared" si="8"/>
        <v>0</v>
      </c>
      <c r="W61" s="244">
        <f t="shared" si="8"/>
        <v>0</v>
      </c>
      <c r="X61" s="244">
        <f t="shared" si="8"/>
        <v>0</v>
      </c>
      <c r="Y61" s="244">
        <f t="shared" si="8"/>
        <v>0</v>
      </c>
      <c r="Z61" s="244">
        <f t="shared" si="8"/>
        <v>0</v>
      </c>
      <c r="AA61" s="244">
        <f t="shared" si="8"/>
        <v>0</v>
      </c>
      <c r="AB61" s="244">
        <f t="shared" si="8"/>
        <v>0</v>
      </c>
      <c r="AC61" s="244">
        <f t="shared" si="8"/>
        <v>0</v>
      </c>
      <c r="AD61" s="244">
        <f t="shared" si="8"/>
        <v>0</v>
      </c>
      <c r="AE61" s="244">
        <f t="shared" si="8"/>
        <v>0</v>
      </c>
      <c r="AF61" s="244">
        <f t="shared" si="8"/>
        <v>0</v>
      </c>
      <c r="AG61" s="244">
        <f t="shared" si="8"/>
        <v>0</v>
      </c>
      <c r="AH61" s="244">
        <f t="shared" si="8"/>
        <v>0</v>
      </c>
      <c r="AI61" s="244">
        <f t="shared" si="8"/>
        <v>0</v>
      </c>
      <c r="AJ61" s="244">
        <f t="shared" si="8"/>
        <v>0</v>
      </c>
      <c r="AK61" s="244">
        <f t="shared" si="8"/>
        <v>0</v>
      </c>
      <c r="AL61" s="244">
        <f t="shared" si="8"/>
        <v>0</v>
      </c>
      <c r="AM61" s="244">
        <f t="shared" si="8"/>
        <v>0</v>
      </c>
      <c r="AN61" s="244">
        <f t="shared" si="8"/>
        <v>0</v>
      </c>
      <c r="AO61" s="244">
        <f t="shared" si="8"/>
        <v>0</v>
      </c>
      <c r="AP61" s="244">
        <f t="shared" si="8"/>
        <v>0</v>
      </c>
      <c r="AQ61" s="244">
        <f t="shared" si="8"/>
        <v>0</v>
      </c>
      <c r="AR61" s="244">
        <f t="shared" si="8"/>
        <v>0</v>
      </c>
      <c r="AS61" s="244">
        <f t="shared" si="8"/>
        <v>0</v>
      </c>
      <c r="AT61" s="244">
        <f t="shared" si="8"/>
        <v>0</v>
      </c>
      <c r="AU61" s="244">
        <f t="shared" si="8"/>
        <v>0</v>
      </c>
      <c r="AV61" s="244">
        <f t="shared" si="8"/>
        <v>0</v>
      </c>
      <c r="AW61" s="244">
        <f t="shared" si="8"/>
        <v>0</v>
      </c>
      <c r="AX61" s="244">
        <f t="shared" si="8"/>
        <v>0</v>
      </c>
      <c r="AY61" s="244">
        <f t="shared" si="8"/>
        <v>0</v>
      </c>
      <c r="AZ61" s="244">
        <f t="shared" si="8"/>
        <v>0</v>
      </c>
      <c r="BA61" s="244">
        <f t="shared" si="8"/>
        <v>0</v>
      </c>
      <c r="BB61" s="244">
        <f t="shared" si="8"/>
        <v>0</v>
      </c>
      <c r="BC61" s="244">
        <f t="shared" si="8"/>
        <v>0</v>
      </c>
      <c r="BD61" s="244">
        <f t="shared" si="8"/>
        <v>0</v>
      </c>
      <c r="BE61" s="244">
        <f t="shared" si="8"/>
        <v>0</v>
      </c>
      <c r="BF61" s="244">
        <f t="shared" si="8"/>
        <v>0</v>
      </c>
      <c r="BG61" s="244">
        <f t="shared" si="8"/>
        <v>0</v>
      </c>
      <c r="BH61" s="244">
        <f t="shared" si="8"/>
        <v>0</v>
      </c>
      <c r="BI61" s="244">
        <f t="shared" si="8"/>
        <v>0</v>
      </c>
    </row>
    <row r="62" spans="1:62" x14ac:dyDescent="0.25">
      <c r="A62" s="1" t="s">
        <v>111</v>
      </c>
      <c r="B62" s="244">
        <f t="shared" ref="B62:AG62" si="9">SUM(B12:B23)-B28</f>
        <v>0</v>
      </c>
      <c r="C62" s="244">
        <f t="shared" si="9"/>
        <v>0</v>
      </c>
      <c r="D62" s="244">
        <f t="shared" si="9"/>
        <v>0</v>
      </c>
      <c r="E62" s="244">
        <f t="shared" si="9"/>
        <v>0</v>
      </c>
      <c r="F62" s="244">
        <f t="shared" si="9"/>
        <v>0</v>
      </c>
      <c r="G62" s="244">
        <f t="shared" si="9"/>
        <v>0</v>
      </c>
      <c r="H62" s="244">
        <f t="shared" si="9"/>
        <v>0</v>
      </c>
      <c r="I62" s="244">
        <f t="shared" si="9"/>
        <v>0</v>
      </c>
      <c r="J62" s="244">
        <f t="shared" si="9"/>
        <v>0</v>
      </c>
      <c r="K62" s="244">
        <f t="shared" si="9"/>
        <v>0</v>
      </c>
      <c r="L62" s="244">
        <f t="shared" si="9"/>
        <v>0</v>
      </c>
      <c r="M62" s="244">
        <f t="shared" si="9"/>
        <v>0</v>
      </c>
      <c r="N62" s="244">
        <f t="shared" si="9"/>
        <v>0</v>
      </c>
      <c r="O62" s="244">
        <f t="shared" si="9"/>
        <v>0</v>
      </c>
      <c r="P62" s="244">
        <f t="shared" si="9"/>
        <v>0</v>
      </c>
      <c r="Q62" s="244">
        <f t="shared" si="9"/>
        <v>0</v>
      </c>
      <c r="R62" s="244">
        <f t="shared" si="9"/>
        <v>0</v>
      </c>
      <c r="S62" s="244">
        <f t="shared" si="9"/>
        <v>0</v>
      </c>
      <c r="T62" s="244">
        <f t="shared" si="9"/>
        <v>0</v>
      </c>
      <c r="U62" s="244">
        <f t="shared" si="9"/>
        <v>0</v>
      </c>
      <c r="V62" s="244">
        <f t="shared" si="9"/>
        <v>0</v>
      </c>
      <c r="W62" s="244">
        <f t="shared" si="9"/>
        <v>0</v>
      </c>
      <c r="X62" s="244">
        <f t="shared" si="9"/>
        <v>0</v>
      </c>
      <c r="Y62" s="244">
        <f t="shared" si="9"/>
        <v>0</v>
      </c>
      <c r="Z62" s="244">
        <f t="shared" si="9"/>
        <v>0</v>
      </c>
      <c r="AA62" s="244">
        <f t="shared" si="9"/>
        <v>0</v>
      </c>
      <c r="AB62" s="244">
        <f t="shared" si="9"/>
        <v>0</v>
      </c>
      <c r="AC62" s="244">
        <f t="shared" si="9"/>
        <v>0</v>
      </c>
      <c r="AD62" s="244">
        <f t="shared" si="9"/>
        <v>0</v>
      </c>
      <c r="AE62" s="244">
        <f t="shared" si="9"/>
        <v>0</v>
      </c>
      <c r="AF62" s="244">
        <f t="shared" si="9"/>
        <v>0</v>
      </c>
      <c r="AG62" s="244">
        <f t="shared" si="9"/>
        <v>0</v>
      </c>
      <c r="AH62" s="244">
        <f t="shared" ref="AH62:BI62" si="10">SUM(AH12:AH23)-AH28</f>
        <v>0</v>
      </c>
      <c r="AI62" s="244">
        <f t="shared" si="10"/>
        <v>0</v>
      </c>
      <c r="AJ62" s="244">
        <f t="shared" si="10"/>
        <v>0</v>
      </c>
      <c r="AK62" s="244">
        <f t="shared" si="10"/>
        <v>0</v>
      </c>
      <c r="AL62" s="244">
        <f t="shared" si="10"/>
        <v>0</v>
      </c>
      <c r="AM62" s="244">
        <f t="shared" si="10"/>
        <v>0</v>
      </c>
      <c r="AN62" s="244">
        <f t="shared" si="10"/>
        <v>0</v>
      </c>
      <c r="AO62" s="244">
        <f t="shared" si="10"/>
        <v>0</v>
      </c>
      <c r="AP62" s="244">
        <f t="shared" si="10"/>
        <v>0</v>
      </c>
      <c r="AQ62" s="244">
        <f t="shared" si="10"/>
        <v>0</v>
      </c>
      <c r="AR62" s="244">
        <f t="shared" si="10"/>
        <v>0</v>
      </c>
      <c r="AS62" s="244">
        <f t="shared" si="10"/>
        <v>0</v>
      </c>
      <c r="AT62" s="244">
        <f t="shared" si="10"/>
        <v>0</v>
      </c>
      <c r="AU62" s="244">
        <f t="shared" si="10"/>
        <v>0</v>
      </c>
      <c r="AV62" s="244">
        <f t="shared" si="10"/>
        <v>0</v>
      </c>
      <c r="AW62" s="244">
        <f t="shared" si="10"/>
        <v>0</v>
      </c>
      <c r="AX62" s="244">
        <f t="shared" si="10"/>
        <v>0</v>
      </c>
      <c r="AY62" s="244">
        <f t="shared" si="10"/>
        <v>0</v>
      </c>
      <c r="AZ62" s="244">
        <f t="shared" si="10"/>
        <v>0</v>
      </c>
      <c r="BA62" s="244">
        <f t="shared" si="10"/>
        <v>0</v>
      </c>
      <c r="BB62" s="244">
        <f t="shared" si="10"/>
        <v>0</v>
      </c>
      <c r="BC62" s="244">
        <f t="shared" si="10"/>
        <v>0</v>
      </c>
      <c r="BD62" s="244">
        <f t="shared" si="10"/>
        <v>0</v>
      </c>
      <c r="BE62" s="244">
        <f t="shared" si="10"/>
        <v>0</v>
      </c>
      <c r="BF62" s="244">
        <f t="shared" si="10"/>
        <v>0</v>
      </c>
      <c r="BG62" s="244">
        <f t="shared" si="10"/>
        <v>0</v>
      </c>
      <c r="BH62" s="244">
        <f t="shared" si="10"/>
        <v>0</v>
      </c>
      <c r="BI62" s="244">
        <f t="shared" si="10"/>
        <v>0</v>
      </c>
    </row>
    <row r="63" spans="1:62" x14ac:dyDescent="0.25">
      <c r="A63" s="1" t="s">
        <v>122</v>
      </c>
      <c r="B63" s="244">
        <f t="shared" ref="B63:AG63" si="11">SUM(B12:B23,B43)-B51</f>
        <v>0</v>
      </c>
      <c r="C63" s="244">
        <f t="shared" si="11"/>
        <v>0</v>
      </c>
      <c r="D63" s="244">
        <f t="shared" si="11"/>
        <v>0</v>
      </c>
      <c r="E63" s="244">
        <f t="shared" si="11"/>
        <v>0</v>
      </c>
      <c r="F63" s="244">
        <f t="shared" si="11"/>
        <v>0</v>
      </c>
      <c r="G63" s="244">
        <f t="shared" si="11"/>
        <v>0</v>
      </c>
      <c r="H63" s="244">
        <f t="shared" si="11"/>
        <v>0</v>
      </c>
      <c r="I63" s="244">
        <f t="shared" si="11"/>
        <v>0</v>
      </c>
      <c r="J63" s="244">
        <f t="shared" si="11"/>
        <v>0</v>
      </c>
      <c r="K63" s="244">
        <f t="shared" si="11"/>
        <v>0</v>
      </c>
      <c r="L63" s="244">
        <f t="shared" si="11"/>
        <v>0</v>
      </c>
      <c r="M63" s="244">
        <f t="shared" si="11"/>
        <v>0</v>
      </c>
      <c r="N63" s="244">
        <f t="shared" si="11"/>
        <v>0</v>
      </c>
      <c r="O63" s="244">
        <f t="shared" si="11"/>
        <v>0</v>
      </c>
      <c r="P63" s="244">
        <f t="shared" si="11"/>
        <v>0</v>
      </c>
      <c r="Q63" s="244">
        <f t="shared" si="11"/>
        <v>0</v>
      </c>
      <c r="R63" s="244">
        <f t="shared" si="11"/>
        <v>0</v>
      </c>
      <c r="S63" s="244">
        <f t="shared" si="11"/>
        <v>0</v>
      </c>
      <c r="T63" s="244">
        <f t="shared" si="11"/>
        <v>0</v>
      </c>
      <c r="U63" s="244">
        <f t="shared" si="11"/>
        <v>0</v>
      </c>
      <c r="V63" s="244">
        <f t="shared" si="11"/>
        <v>0</v>
      </c>
      <c r="W63" s="244">
        <f t="shared" si="11"/>
        <v>0</v>
      </c>
      <c r="X63" s="244">
        <f t="shared" si="11"/>
        <v>0</v>
      </c>
      <c r="Y63" s="244">
        <f t="shared" si="11"/>
        <v>0</v>
      </c>
      <c r="Z63" s="244">
        <f t="shared" si="11"/>
        <v>0</v>
      </c>
      <c r="AA63" s="244">
        <f t="shared" si="11"/>
        <v>0</v>
      </c>
      <c r="AB63" s="244">
        <f t="shared" si="11"/>
        <v>0</v>
      </c>
      <c r="AC63" s="244">
        <f t="shared" si="11"/>
        <v>0</v>
      </c>
      <c r="AD63" s="244">
        <f t="shared" si="11"/>
        <v>0</v>
      </c>
      <c r="AE63" s="244">
        <f t="shared" si="11"/>
        <v>0</v>
      </c>
      <c r="AF63" s="244">
        <f t="shared" si="11"/>
        <v>0</v>
      </c>
      <c r="AG63" s="244">
        <f t="shared" si="11"/>
        <v>0</v>
      </c>
      <c r="AH63" s="244">
        <f t="shared" ref="AH63:BI63" si="12">SUM(AH12:AH23,AH43)-AH51</f>
        <v>0</v>
      </c>
      <c r="AI63" s="244">
        <f t="shared" si="12"/>
        <v>0</v>
      </c>
      <c r="AJ63" s="244">
        <f t="shared" si="12"/>
        <v>0</v>
      </c>
      <c r="AK63" s="244">
        <f t="shared" si="12"/>
        <v>0</v>
      </c>
      <c r="AL63" s="244">
        <f t="shared" si="12"/>
        <v>0</v>
      </c>
      <c r="AM63" s="244">
        <f t="shared" si="12"/>
        <v>0</v>
      </c>
      <c r="AN63" s="244">
        <f t="shared" si="12"/>
        <v>0</v>
      </c>
      <c r="AO63" s="244">
        <f t="shared" si="12"/>
        <v>0</v>
      </c>
      <c r="AP63" s="244">
        <f t="shared" si="12"/>
        <v>0</v>
      </c>
      <c r="AQ63" s="244">
        <f t="shared" si="12"/>
        <v>0</v>
      </c>
      <c r="AR63" s="244">
        <f t="shared" si="12"/>
        <v>0</v>
      </c>
      <c r="AS63" s="244">
        <f t="shared" si="12"/>
        <v>0</v>
      </c>
      <c r="AT63" s="244">
        <f t="shared" si="12"/>
        <v>0</v>
      </c>
      <c r="AU63" s="244">
        <f t="shared" si="12"/>
        <v>0</v>
      </c>
      <c r="AV63" s="244">
        <f t="shared" si="12"/>
        <v>0</v>
      </c>
      <c r="AW63" s="244">
        <f t="shared" si="12"/>
        <v>0</v>
      </c>
      <c r="AX63" s="244">
        <f t="shared" si="12"/>
        <v>0</v>
      </c>
      <c r="AY63" s="244">
        <f t="shared" si="12"/>
        <v>0</v>
      </c>
      <c r="AZ63" s="244">
        <f t="shared" si="12"/>
        <v>0</v>
      </c>
      <c r="BA63" s="244">
        <f t="shared" si="12"/>
        <v>0</v>
      </c>
      <c r="BB63" s="244">
        <f t="shared" si="12"/>
        <v>0</v>
      </c>
      <c r="BC63" s="244">
        <f t="shared" si="12"/>
        <v>0</v>
      </c>
      <c r="BD63" s="244">
        <f t="shared" si="12"/>
        <v>0</v>
      </c>
      <c r="BE63" s="244">
        <f t="shared" si="12"/>
        <v>0</v>
      </c>
      <c r="BF63" s="244">
        <f t="shared" si="12"/>
        <v>0</v>
      </c>
      <c r="BG63" s="244">
        <f t="shared" si="12"/>
        <v>0</v>
      </c>
      <c r="BH63" s="244">
        <f t="shared" si="12"/>
        <v>0</v>
      </c>
      <c r="BI63" s="244">
        <f t="shared" si="12"/>
        <v>0</v>
      </c>
    </row>
    <row r="64" spans="1:62" x14ac:dyDescent="0.25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x14ac:dyDescent="0.25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x14ac:dyDescent="0.2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I67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61" width="10.5703125" bestFit="1" customWidth="1"/>
  </cols>
  <sheetData>
    <row r="1" spans="1:61" ht="14.45" x14ac:dyDescent="0.35">
      <c r="A1" s="1" t="s">
        <v>3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150.81088</v>
      </c>
      <c r="C12" s="3">
        <v>118.74455900000002</v>
      </c>
      <c r="D12" s="3">
        <v>838.953261</v>
      </c>
      <c r="E12" s="3">
        <v>68.384776000000002</v>
      </c>
      <c r="F12" s="3">
        <v>305.97189800000007</v>
      </c>
      <c r="G12" s="3">
        <v>884.48404500000015</v>
      </c>
      <c r="H12" s="3">
        <v>4.3447780000000069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91.117352999999994</v>
      </c>
      <c r="O12" s="3">
        <v>305.72591499999999</v>
      </c>
      <c r="P12" s="3">
        <v>377.08749</v>
      </c>
      <c r="Q12" s="3">
        <v>153.603466</v>
      </c>
      <c r="R12" s="3">
        <v>408.10603599999996</v>
      </c>
      <c r="S12" s="3">
        <v>677.80191400000001</v>
      </c>
      <c r="T12" s="3">
        <v>213.66466600000001</v>
      </c>
      <c r="U12" s="3">
        <v>125.95656900000002</v>
      </c>
      <c r="V12" s="3">
        <v>832.6085710000001</v>
      </c>
      <c r="W12" s="3">
        <v>270.61479399999996</v>
      </c>
      <c r="X12" s="3">
        <v>235.31333599999999</v>
      </c>
      <c r="Y12" s="3">
        <v>549.29374300000006</v>
      </c>
      <c r="Z12" s="3">
        <v>150.81088</v>
      </c>
      <c r="AA12" s="3">
        <v>118.744559</v>
      </c>
      <c r="AB12" s="3">
        <v>838.95326099999988</v>
      </c>
      <c r="AC12" s="3">
        <v>68.384776000000002</v>
      </c>
      <c r="AD12" s="3">
        <v>305.97189800000001</v>
      </c>
      <c r="AE12" s="3">
        <v>884.48404500000015</v>
      </c>
      <c r="AF12" s="3">
        <v>4.3447780000000087</v>
      </c>
      <c r="AG12" s="3">
        <v>441.71542000000011</v>
      </c>
      <c r="AH12" s="3">
        <v>525.87326871121036</v>
      </c>
      <c r="AI12" s="3">
        <v>388.64258000000007</v>
      </c>
      <c r="AJ12" s="3">
        <v>464.20064000000008</v>
      </c>
      <c r="AK12" s="3">
        <v>379.69947999999999</v>
      </c>
      <c r="AL12" s="3">
        <v>150.81088</v>
      </c>
      <c r="AM12" s="3">
        <v>118.744559</v>
      </c>
      <c r="AN12" s="3">
        <v>838.95326099999988</v>
      </c>
      <c r="AO12" s="3">
        <v>68.384776000000002</v>
      </c>
      <c r="AP12" s="3">
        <v>305.97189800000001</v>
      </c>
      <c r="AQ12" s="3">
        <v>884.48404500000015</v>
      </c>
      <c r="AR12" s="3">
        <v>389.28449999999998</v>
      </c>
      <c r="AS12" s="3">
        <v>441.18529000000001</v>
      </c>
      <c r="AT12" s="3">
        <v>525.26440656617058</v>
      </c>
      <c r="AU12" s="3">
        <v>388.16735000000006</v>
      </c>
      <c r="AV12" s="3">
        <v>463.65402</v>
      </c>
      <c r="AW12" s="3">
        <v>379.2480700000001</v>
      </c>
      <c r="AX12" s="3">
        <v>271.40246999999999</v>
      </c>
      <c r="AY12" s="3">
        <v>310.41615999999999</v>
      </c>
      <c r="AZ12" s="3">
        <v>390.51452</v>
      </c>
      <c r="BA12" s="3">
        <v>365.06666000000007</v>
      </c>
      <c r="BB12" s="3">
        <v>388.96036999999995</v>
      </c>
      <c r="BC12" s="3">
        <v>435.80205999999998</v>
      </c>
      <c r="BD12" s="3">
        <v>367.49205000000006</v>
      </c>
      <c r="BE12" s="3">
        <v>413.38853999999998</v>
      </c>
      <c r="BF12" s="3">
        <v>471.52504999999996</v>
      </c>
      <c r="BG12" s="3">
        <v>370.05416000000002</v>
      </c>
      <c r="BH12" s="3">
        <v>444.86182999999994</v>
      </c>
      <c r="BI12" s="3">
        <v>362.68215000000004</v>
      </c>
    </row>
    <row r="13" spans="1:61" ht="14.45" x14ac:dyDescent="0.35">
      <c r="A13" s="1" t="s">
        <v>125</v>
      </c>
      <c r="B13" s="3">
        <v>53.842010000000002</v>
      </c>
      <c r="C13" s="3">
        <v>86.39400000000002</v>
      </c>
      <c r="D13" s="3">
        <v>118.787916</v>
      </c>
      <c r="E13" s="3">
        <v>153.843389</v>
      </c>
      <c r="F13" s="3">
        <v>63.655254999999997</v>
      </c>
      <c r="G13" s="3">
        <v>176.52251799999999</v>
      </c>
      <c r="H13" s="3">
        <v>21.067710999999999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-5.5858799999999995</v>
      </c>
      <c r="O13" s="3">
        <v>61.087350000000001</v>
      </c>
      <c r="P13" s="3">
        <v>9.1721000000000004</v>
      </c>
      <c r="Q13" s="3">
        <v>-3.0256099999999999</v>
      </c>
      <c r="R13" s="3">
        <v>66.718040000000002</v>
      </c>
      <c r="S13" s="3">
        <v>157.12866</v>
      </c>
      <c r="T13" s="3">
        <v>38.158229999999996</v>
      </c>
      <c r="U13" s="3">
        <v>49.942150000000005</v>
      </c>
      <c r="V13" s="3">
        <v>100.50048999999999</v>
      </c>
      <c r="W13" s="3">
        <v>53.502130000000008</v>
      </c>
      <c r="X13" s="3">
        <v>91.697400000000002</v>
      </c>
      <c r="Y13" s="3">
        <v>188.08082000000002</v>
      </c>
      <c r="Z13" s="3">
        <v>53.842010000000002</v>
      </c>
      <c r="AA13" s="3">
        <v>86.39400000000002</v>
      </c>
      <c r="AB13" s="3">
        <v>118.787916</v>
      </c>
      <c r="AC13" s="3">
        <v>153.843389</v>
      </c>
      <c r="AD13" s="3">
        <v>63.655254999999983</v>
      </c>
      <c r="AE13" s="3">
        <v>176.52251800000002</v>
      </c>
      <c r="AF13" s="3">
        <v>21.067710999999999</v>
      </c>
      <c r="AG13" s="3">
        <v>174.17938999999998</v>
      </c>
      <c r="AH13" s="3">
        <v>181.73267999999999</v>
      </c>
      <c r="AI13" s="3">
        <v>88.140609999999981</v>
      </c>
      <c r="AJ13" s="3">
        <v>163.26602000000003</v>
      </c>
      <c r="AK13" s="3">
        <v>30.90757</v>
      </c>
      <c r="AL13" s="3">
        <v>53.842010000000002</v>
      </c>
      <c r="AM13" s="3">
        <v>86.39400000000002</v>
      </c>
      <c r="AN13" s="3">
        <v>118.787916</v>
      </c>
      <c r="AO13" s="3">
        <v>153.843389</v>
      </c>
      <c r="AP13" s="3">
        <v>63.655254999999983</v>
      </c>
      <c r="AQ13" s="3">
        <v>176.52251800000002</v>
      </c>
      <c r="AR13" s="3">
        <v>90.767250000000004</v>
      </c>
      <c r="AS13" s="3">
        <v>174.0102</v>
      </c>
      <c r="AT13" s="3">
        <v>181.68235000000001</v>
      </c>
      <c r="AU13" s="3">
        <v>87.964939999999999</v>
      </c>
      <c r="AV13" s="3">
        <v>163.02928000000003</v>
      </c>
      <c r="AW13" s="3">
        <v>30.864840000000001</v>
      </c>
      <c r="AX13" s="3">
        <v>55.176090000000002</v>
      </c>
      <c r="AY13" s="3">
        <v>61.408940000000001</v>
      </c>
      <c r="AZ13" s="3">
        <v>82.49203</v>
      </c>
      <c r="BA13" s="3">
        <v>36.313670000000002</v>
      </c>
      <c r="BB13" s="3">
        <v>195.96389999999997</v>
      </c>
      <c r="BC13" s="3">
        <v>39.769099999999995</v>
      </c>
      <c r="BD13" s="3">
        <v>65.247720000000001</v>
      </c>
      <c r="BE13" s="3">
        <v>123.52188999999998</v>
      </c>
      <c r="BF13" s="3">
        <v>68.703150000000008</v>
      </c>
      <c r="BG13" s="3">
        <v>79.821629999999985</v>
      </c>
      <c r="BH13" s="3">
        <v>152.45593999999997</v>
      </c>
      <c r="BI13" s="3">
        <v>29.697469999999999</v>
      </c>
    </row>
    <row r="14" spans="1:61" ht="14.45" x14ac:dyDescent="0.35">
      <c r="A14" s="1" t="s">
        <v>40</v>
      </c>
      <c r="B14" s="3">
        <v>26.556999999999999</v>
      </c>
      <c r="C14" s="3">
        <v>12.901489999999999</v>
      </c>
      <c r="D14" s="3">
        <v>59.719860000000004</v>
      </c>
      <c r="E14" s="3">
        <v>9.123149999999999</v>
      </c>
      <c r="F14" s="3">
        <v>30.959059999999997</v>
      </c>
      <c r="G14" s="3">
        <v>32.657839000000003</v>
      </c>
      <c r="H14" s="3">
        <v>10.397785000000001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7.1117800000000004</v>
      </c>
      <c r="O14" s="3">
        <v>30.625039000000001</v>
      </c>
      <c r="P14" s="3">
        <v>39.871136999999997</v>
      </c>
      <c r="Q14" s="3">
        <v>5.4472430000000003</v>
      </c>
      <c r="R14" s="3">
        <v>5.3162909999999997</v>
      </c>
      <c r="S14" s="3">
        <v>31.141301999999996</v>
      </c>
      <c r="T14" s="3">
        <v>9.6397879999999994</v>
      </c>
      <c r="U14" s="3">
        <v>18.954658999999999</v>
      </c>
      <c r="V14" s="3">
        <v>96.241547999999995</v>
      </c>
      <c r="W14" s="3">
        <v>13.295541</v>
      </c>
      <c r="X14" s="3">
        <v>19.412419999999997</v>
      </c>
      <c r="Y14" s="3">
        <v>39.599485999999999</v>
      </c>
      <c r="Z14" s="3">
        <v>26.556999999999999</v>
      </c>
      <c r="AA14" s="3">
        <v>12.901489999999999</v>
      </c>
      <c r="AB14" s="3">
        <v>59.719860000000011</v>
      </c>
      <c r="AC14" s="3">
        <v>9.123149999999999</v>
      </c>
      <c r="AD14" s="3">
        <v>30.959059999999997</v>
      </c>
      <c r="AE14" s="3">
        <v>32.657839000000003</v>
      </c>
      <c r="AF14" s="3">
        <v>10.397785000000001</v>
      </c>
      <c r="AG14" s="3">
        <v>36.199219999999997</v>
      </c>
      <c r="AH14" s="3">
        <v>20.669699999999999</v>
      </c>
      <c r="AI14" s="3">
        <v>38.824049999999993</v>
      </c>
      <c r="AJ14" s="3">
        <v>36.199219999999997</v>
      </c>
      <c r="AK14" s="3">
        <v>25.630959999999998</v>
      </c>
      <c r="AL14" s="3">
        <v>26.556999999999999</v>
      </c>
      <c r="AM14" s="3">
        <v>12.901489999999999</v>
      </c>
      <c r="AN14" s="3">
        <v>59.719860000000011</v>
      </c>
      <c r="AO14" s="3">
        <v>9.123149999999999</v>
      </c>
      <c r="AP14" s="3">
        <v>30.959059999999997</v>
      </c>
      <c r="AQ14" s="3">
        <v>32.657839000000003</v>
      </c>
      <c r="AR14" s="3">
        <v>37.02487</v>
      </c>
      <c r="AS14" s="3">
        <v>36.154960000000003</v>
      </c>
      <c r="AT14" s="3">
        <v>20.64479</v>
      </c>
      <c r="AU14" s="3">
        <v>38.77704</v>
      </c>
      <c r="AV14" s="3">
        <v>36.154960000000003</v>
      </c>
      <c r="AW14" s="3">
        <v>25.59168</v>
      </c>
      <c r="AX14" s="3">
        <v>36.19511</v>
      </c>
      <c r="AY14" s="3">
        <v>19.206830000000004</v>
      </c>
      <c r="AZ14" s="3">
        <v>21.660140000000002</v>
      </c>
      <c r="BA14" s="3">
        <v>36.19511</v>
      </c>
      <c r="BB14" s="3">
        <v>19.206830000000004</v>
      </c>
      <c r="BC14" s="3">
        <v>27.052090000000003</v>
      </c>
      <c r="BD14" s="3">
        <v>36.19511</v>
      </c>
      <c r="BE14" s="3">
        <v>35.198170000000005</v>
      </c>
      <c r="BF14" s="3">
        <v>20.132000000000001</v>
      </c>
      <c r="BG14" s="3">
        <v>37.723250000000007</v>
      </c>
      <c r="BH14" s="3">
        <v>35.198170000000005</v>
      </c>
      <c r="BI14" s="3">
        <v>24.279160000000005</v>
      </c>
    </row>
    <row r="15" spans="1:61" ht="14.45" x14ac:dyDescent="0.35">
      <c r="A15" s="1" t="s">
        <v>41</v>
      </c>
      <c r="B15" s="3">
        <v>0.61175999999999997</v>
      </c>
      <c r="C15" s="3">
        <v>8.7399999999999992E-2</v>
      </c>
      <c r="D15" s="3">
        <v>0.78905099999999995</v>
      </c>
      <c r="E15" s="3">
        <v>0.1007050000000001</v>
      </c>
      <c r="F15" s="3">
        <v>1.4935989999999999</v>
      </c>
      <c r="G15" s="3">
        <v>3.3051140000000001</v>
      </c>
      <c r="H15" s="3">
        <v>8.4619E-2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1.4998899999999997</v>
      </c>
      <c r="O15" s="3">
        <v>0.11459000000000001</v>
      </c>
      <c r="P15" s="3">
        <v>-6.6030000000000033E-2</v>
      </c>
      <c r="Q15" s="3">
        <v>1.649788</v>
      </c>
      <c r="R15" s="3">
        <v>0.25542699999999996</v>
      </c>
      <c r="S15" s="3">
        <v>0.18801700000000002</v>
      </c>
      <c r="T15" s="3">
        <v>0.50499899999999998</v>
      </c>
      <c r="U15" s="3">
        <v>0.42222899999999997</v>
      </c>
      <c r="V15" s="3">
        <v>3.1591180000000003</v>
      </c>
      <c r="W15" s="3">
        <v>0.11727199999999999</v>
      </c>
      <c r="X15" s="3">
        <v>0.14454400000000001</v>
      </c>
      <c r="Y15" s="3">
        <v>23.039937999999999</v>
      </c>
      <c r="Z15" s="3">
        <v>0.61175999999999997</v>
      </c>
      <c r="AA15" s="3">
        <v>8.7399999999999992E-2</v>
      </c>
      <c r="AB15" s="3">
        <v>0.78905099999999995</v>
      </c>
      <c r="AC15" s="3">
        <v>0.10070500000000007</v>
      </c>
      <c r="AD15" s="3">
        <v>1.4935990000000001</v>
      </c>
      <c r="AE15" s="3">
        <v>3.3051139999999997</v>
      </c>
      <c r="AF15" s="3">
        <v>8.4619E-2</v>
      </c>
      <c r="AG15" s="3">
        <v>10.224830000000001</v>
      </c>
      <c r="AH15" s="3">
        <v>0.98916000000000004</v>
      </c>
      <c r="AI15" s="3">
        <v>5.2453399999999997</v>
      </c>
      <c r="AJ15" s="3">
        <v>0.99826999999999999</v>
      </c>
      <c r="AK15" s="3">
        <v>0</v>
      </c>
      <c r="AL15" s="3">
        <v>0.61175999999999997</v>
      </c>
      <c r="AM15" s="3">
        <v>8.7399999999999992E-2</v>
      </c>
      <c r="AN15" s="3">
        <v>0.78905099999999995</v>
      </c>
      <c r="AO15" s="3">
        <v>0.10070500000000007</v>
      </c>
      <c r="AP15" s="3">
        <v>1.4935990000000001</v>
      </c>
      <c r="AQ15" s="3">
        <v>3.3051139999999997</v>
      </c>
      <c r="AR15" s="3">
        <v>0</v>
      </c>
      <c r="AS15" s="3">
        <v>10.2018</v>
      </c>
      <c r="AT15" s="3">
        <v>0.98806000000000005</v>
      </c>
      <c r="AU15" s="3">
        <v>5.23353</v>
      </c>
      <c r="AV15" s="3">
        <v>0.99717</v>
      </c>
      <c r="AW15" s="3">
        <v>0</v>
      </c>
      <c r="AX15" s="3">
        <v>0</v>
      </c>
      <c r="AY15" s="3">
        <v>0.70172000000000001</v>
      </c>
      <c r="AZ15" s="3">
        <v>4.5833300000000001</v>
      </c>
      <c r="BA15" s="3">
        <v>0</v>
      </c>
      <c r="BB15" s="3">
        <v>9.9956700000000005</v>
      </c>
      <c r="BC15" s="3">
        <v>0.95481000000000005</v>
      </c>
      <c r="BD15" s="3">
        <v>0</v>
      </c>
      <c r="BE15" s="3">
        <v>9.1479300000000006</v>
      </c>
      <c r="BF15" s="3">
        <v>0.91530999999999996</v>
      </c>
      <c r="BG15" s="3">
        <v>4.5234899999999998</v>
      </c>
      <c r="BH15" s="3">
        <v>0.70172000000000001</v>
      </c>
      <c r="BI15" s="3">
        <v>0</v>
      </c>
    </row>
    <row r="16" spans="1:61" ht="14.45" x14ac:dyDescent="0.35">
      <c r="A16" s="1" t="s">
        <v>43</v>
      </c>
      <c r="B16" s="3">
        <v>121.08462399999999</v>
      </c>
      <c r="C16" s="3">
        <v>55.719131999999981</v>
      </c>
      <c r="D16" s="3">
        <v>210.43219000000002</v>
      </c>
      <c r="E16" s="3">
        <v>88.259118000000001</v>
      </c>
      <c r="F16" s="3">
        <v>185.093795</v>
      </c>
      <c r="G16" s="3">
        <v>115.08223100000001</v>
      </c>
      <c r="H16" s="3">
        <v>15.458899000000001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1.5293960000000002</v>
      </c>
      <c r="O16" s="3">
        <v>27.474103000000003</v>
      </c>
      <c r="P16" s="3">
        <v>12.050060999999999</v>
      </c>
      <c r="Q16" s="3">
        <v>40.762710999999996</v>
      </c>
      <c r="R16" s="3">
        <v>14.067271</v>
      </c>
      <c r="S16" s="3">
        <v>3.8864779999999999</v>
      </c>
      <c r="T16" s="3">
        <v>10.025963000000003</v>
      </c>
      <c r="U16" s="3">
        <v>10.449756999999998</v>
      </c>
      <c r="V16" s="3">
        <v>30.832934999999999</v>
      </c>
      <c r="W16" s="3">
        <v>7.0818970000000006</v>
      </c>
      <c r="X16" s="3">
        <v>24.112910999999997</v>
      </c>
      <c r="Y16" s="3">
        <v>224.49891299999996</v>
      </c>
      <c r="Z16" s="3">
        <v>121.08462399999999</v>
      </c>
      <c r="AA16" s="3">
        <v>55.719131999999988</v>
      </c>
      <c r="AB16" s="3">
        <v>210.43219000000002</v>
      </c>
      <c r="AC16" s="3">
        <v>88.259118000000001</v>
      </c>
      <c r="AD16" s="3">
        <v>185.093795</v>
      </c>
      <c r="AE16" s="3">
        <v>115.08223100000001</v>
      </c>
      <c r="AF16" s="3">
        <v>15.458899000000001</v>
      </c>
      <c r="AG16" s="3">
        <v>90.346280000000007</v>
      </c>
      <c r="AH16" s="3">
        <v>228.79116999999999</v>
      </c>
      <c r="AI16" s="3">
        <v>112.76169000000002</v>
      </c>
      <c r="AJ16" s="3">
        <v>194.21793</v>
      </c>
      <c r="AK16" s="3">
        <v>94.53582999999999</v>
      </c>
      <c r="AL16" s="3">
        <v>121.08462399999999</v>
      </c>
      <c r="AM16" s="3">
        <v>55.719131999999988</v>
      </c>
      <c r="AN16" s="3">
        <v>210.43219000000002</v>
      </c>
      <c r="AO16" s="3">
        <v>88.259118000000001</v>
      </c>
      <c r="AP16" s="3">
        <v>185.093795</v>
      </c>
      <c r="AQ16" s="3">
        <v>115.08223100000001</v>
      </c>
      <c r="AR16" s="3">
        <v>103.86622</v>
      </c>
      <c r="AS16" s="3">
        <v>90.226389999999995</v>
      </c>
      <c r="AT16" s="3">
        <v>228.49684000000002</v>
      </c>
      <c r="AU16" s="3">
        <v>112.61701000000001</v>
      </c>
      <c r="AV16" s="3">
        <v>193.95542000000003</v>
      </c>
      <c r="AW16" s="3">
        <v>94.431280000000001</v>
      </c>
      <c r="AX16" s="3">
        <v>61.643689999999999</v>
      </c>
      <c r="AY16" s="3">
        <v>107.25669000000001</v>
      </c>
      <c r="AZ16" s="3">
        <v>80.544039999999995</v>
      </c>
      <c r="BA16" s="3">
        <v>78.456140000000005</v>
      </c>
      <c r="BB16" s="3">
        <v>95.652780000000007</v>
      </c>
      <c r="BC16" s="3">
        <v>136.38812000000001</v>
      </c>
      <c r="BD16" s="3">
        <v>90.419459999999987</v>
      </c>
      <c r="BE16" s="3">
        <v>80.312839999999994</v>
      </c>
      <c r="BF16" s="3">
        <v>187.34228000000002</v>
      </c>
      <c r="BG16" s="3">
        <v>95.652780000000007</v>
      </c>
      <c r="BH16" s="3">
        <v>161.99242999999998</v>
      </c>
      <c r="BI16" s="3">
        <v>79.032040000000009</v>
      </c>
    </row>
    <row r="17" spans="1:61" ht="14.45" x14ac:dyDescent="0.35">
      <c r="A17" s="1" t="s">
        <v>126</v>
      </c>
      <c r="B17" s="3">
        <v>2.1970399999999999</v>
      </c>
      <c r="C17" s="3">
        <v>12.315830000000002</v>
      </c>
      <c r="D17" s="3">
        <v>74.445490000000007</v>
      </c>
      <c r="E17" s="3">
        <v>1.4354499999999999</v>
      </c>
      <c r="F17" s="3">
        <v>17.667519999999996</v>
      </c>
      <c r="G17" s="3">
        <v>59.735789999999994</v>
      </c>
      <c r="H17" s="3">
        <v>-6.4913100000000004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6.5267399999999993</v>
      </c>
      <c r="O17" s="3">
        <v>21.754559999999998</v>
      </c>
      <c r="P17" s="3">
        <v>14.624469999999999</v>
      </c>
      <c r="Q17" s="3">
        <v>0.93870000000000009</v>
      </c>
      <c r="R17" s="3">
        <v>21.580889999999997</v>
      </c>
      <c r="S17" s="3">
        <v>22.098369999999999</v>
      </c>
      <c r="T17" s="3">
        <v>25.205410000000001</v>
      </c>
      <c r="U17" s="3">
        <v>17.607760000000003</v>
      </c>
      <c r="V17" s="3">
        <v>16.991910000000001</v>
      </c>
      <c r="W17" s="3">
        <v>9.5266500000000001</v>
      </c>
      <c r="X17" s="3">
        <v>8.7829400000000017</v>
      </c>
      <c r="Y17" s="3">
        <v>67.754019999999997</v>
      </c>
      <c r="Z17" s="3">
        <v>2.1970399999999999</v>
      </c>
      <c r="AA17" s="3">
        <v>12.315830000000002</v>
      </c>
      <c r="AB17" s="3">
        <v>74.445490000000007</v>
      </c>
      <c r="AC17" s="3">
        <v>1.4354499999999999</v>
      </c>
      <c r="AD17" s="3">
        <v>17.667519999999996</v>
      </c>
      <c r="AE17" s="3">
        <v>59.735789999999994</v>
      </c>
      <c r="AF17" s="3">
        <v>-6.4913100000000004</v>
      </c>
      <c r="AG17" s="3">
        <v>29.84695</v>
      </c>
      <c r="AH17" s="3">
        <v>38.107750000000003</v>
      </c>
      <c r="AI17" s="3">
        <v>29.880240000000001</v>
      </c>
      <c r="AJ17" s="3">
        <v>32.123849999999997</v>
      </c>
      <c r="AK17" s="3">
        <v>27.551629999999996</v>
      </c>
      <c r="AL17" s="3">
        <v>2.1970399999999999</v>
      </c>
      <c r="AM17" s="3">
        <v>12.315830000000002</v>
      </c>
      <c r="AN17" s="3">
        <v>74.445490000000007</v>
      </c>
      <c r="AO17" s="3">
        <v>1.4354499999999999</v>
      </c>
      <c r="AP17" s="3">
        <v>17.667519999999996</v>
      </c>
      <c r="AQ17" s="3">
        <v>59.735789999999994</v>
      </c>
      <c r="AR17" s="3">
        <v>39.612359999999995</v>
      </c>
      <c r="AS17" s="3">
        <v>29.811640000000001</v>
      </c>
      <c r="AT17" s="3">
        <v>38.059079999999994</v>
      </c>
      <c r="AU17" s="3">
        <v>29.841339999999999</v>
      </c>
      <c r="AV17" s="3">
        <v>32.082599999999999</v>
      </c>
      <c r="AW17" s="3">
        <v>27.516579999999998</v>
      </c>
      <c r="AX17" s="3">
        <v>9.282820000000001</v>
      </c>
      <c r="AY17" s="3">
        <v>25.963909999999998</v>
      </c>
      <c r="AZ17" s="3">
        <v>22.69464</v>
      </c>
      <c r="BA17" s="3">
        <v>22.354080000000003</v>
      </c>
      <c r="BB17" s="3">
        <v>34.906889999999997</v>
      </c>
      <c r="BC17" s="3">
        <v>37.964670000000005</v>
      </c>
      <c r="BD17" s="3">
        <v>37.76343</v>
      </c>
      <c r="BE17" s="3">
        <v>28.569390000000002</v>
      </c>
      <c r="BF17" s="3">
        <v>36.296970000000002</v>
      </c>
      <c r="BG17" s="3">
        <v>28.423560000000002</v>
      </c>
      <c r="BH17" s="3">
        <v>30.538470000000004</v>
      </c>
      <c r="BI17" s="3">
        <v>26.277239999999999</v>
      </c>
    </row>
    <row r="18" spans="1:61" ht="14.45" x14ac:dyDescent="0.35">
      <c r="A18" s="1" t="s">
        <v>127</v>
      </c>
      <c r="B18" s="3">
        <v>3.9707650000000005</v>
      </c>
      <c r="C18" s="3">
        <v>0.97461599999999993</v>
      </c>
      <c r="D18" s="3">
        <v>49.604268000000005</v>
      </c>
      <c r="E18" s="3">
        <v>0.90164500000000014</v>
      </c>
      <c r="F18" s="3">
        <v>17.135345999999998</v>
      </c>
      <c r="G18" s="3">
        <v>38.527041999999994</v>
      </c>
      <c r="H18" s="3">
        <v>-6.2349500000000013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22.068249999999999</v>
      </c>
      <c r="O18" s="3">
        <v>38.95682</v>
      </c>
      <c r="P18" s="3">
        <v>18.230309999999999</v>
      </c>
      <c r="Q18" s="3">
        <v>26.073170000000001</v>
      </c>
      <c r="R18" s="3">
        <v>30.953510000000001</v>
      </c>
      <c r="S18" s="3">
        <v>42.486080000000001</v>
      </c>
      <c r="T18" s="3">
        <v>11.878842000000001</v>
      </c>
      <c r="U18" s="3">
        <v>2.1874720000000001</v>
      </c>
      <c r="V18" s="3">
        <v>32.387315999999998</v>
      </c>
      <c r="W18" s="3">
        <v>24.016448000000004</v>
      </c>
      <c r="X18" s="3">
        <v>19.205239000000002</v>
      </c>
      <c r="Y18" s="3">
        <v>56.759279000000006</v>
      </c>
      <c r="Z18" s="3">
        <v>3.9707650000000005</v>
      </c>
      <c r="AA18" s="3">
        <v>0.97461599999999993</v>
      </c>
      <c r="AB18" s="3">
        <v>49.604268000000005</v>
      </c>
      <c r="AC18" s="3">
        <v>0.90164500000000014</v>
      </c>
      <c r="AD18" s="3">
        <v>17.135345999999998</v>
      </c>
      <c r="AE18" s="3">
        <v>38.527041999999994</v>
      </c>
      <c r="AF18" s="3">
        <v>-6.2349500000000004</v>
      </c>
      <c r="AG18" s="3">
        <v>46.319050000000004</v>
      </c>
      <c r="AH18" s="3">
        <v>43.985859999999995</v>
      </c>
      <c r="AI18" s="3">
        <v>49.782210000000006</v>
      </c>
      <c r="AJ18" s="3">
        <v>45.001190000000001</v>
      </c>
      <c r="AK18" s="3">
        <v>22.104140000000001</v>
      </c>
      <c r="AL18" s="3">
        <v>3.9707650000000005</v>
      </c>
      <c r="AM18" s="3">
        <v>0.97461599999999993</v>
      </c>
      <c r="AN18" s="3">
        <v>49.604268000000005</v>
      </c>
      <c r="AO18" s="3">
        <v>0.90164500000000014</v>
      </c>
      <c r="AP18" s="3">
        <v>17.135345999999998</v>
      </c>
      <c r="AQ18" s="3">
        <v>38.527041999999994</v>
      </c>
      <c r="AR18" s="3">
        <v>40.475609999999996</v>
      </c>
      <c r="AS18" s="3">
        <v>46.263660000000002</v>
      </c>
      <c r="AT18" s="3">
        <v>43.92792</v>
      </c>
      <c r="AU18" s="3">
        <v>49.717030000000001</v>
      </c>
      <c r="AV18" s="3">
        <v>44.941270000000003</v>
      </c>
      <c r="AW18" s="3">
        <v>22.079549999999998</v>
      </c>
      <c r="AX18" s="3">
        <v>16.961719999999996</v>
      </c>
      <c r="AY18" s="3">
        <v>45.69576</v>
      </c>
      <c r="AZ18" s="3">
        <v>34.774180000000001</v>
      </c>
      <c r="BA18" s="3">
        <v>31.263349999999999</v>
      </c>
      <c r="BB18" s="3">
        <v>48.117010000000001</v>
      </c>
      <c r="BC18" s="3">
        <v>35.668020000000006</v>
      </c>
      <c r="BD18" s="3">
        <v>38.162170000000003</v>
      </c>
      <c r="BE18" s="3">
        <v>43.958559999999999</v>
      </c>
      <c r="BF18" s="3">
        <v>41.166629999999998</v>
      </c>
      <c r="BG18" s="3">
        <v>46.941659999999992</v>
      </c>
      <c r="BH18" s="3">
        <v>42.109880000000004</v>
      </c>
      <c r="BI18" s="3">
        <v>20.934629999999999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0.64538999999999991</v>
      </c>
      <c r="C20" s="3">
        <v>0.49270999999999998</v>
      </c>
      <c r="D20" s="3">
        <v>13.982149999999999</v>
      </c>
      <c r="E20" s="3">
        <v>0.2</v>
      </c>
      <c r="F20" s="3">
        <v>39.562519999999992</v>
      </c>
      <c r="G20" s="3">
        <v>63.453679999999999</v>
      </c>
      <c r="H20" s="3">
        <v>0.50063999999999997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3.7945100000000003</v>
      </c>
      <c r="R20" s="3">
        <v>3.2442199999999999</v>
      </c>
      <c r="S20" s="3">
        <v>15.507510000000002</v>
      </c>
      <c r="T20" s="3">
        <v>5.9407999999999994</v>
      </c>
      <c r="U20" s="3">
        <v>2.5000000000000001E-3</v>
      </c>
      <c r="V20" s="3">
        <v>0.31809000000000004</v>
      </c>
      <c r="W20" s="3">
        <v>0</v>
      </c>
      <c r="X20" s="3">
        <v>2.1254900000000001</v>
      </c>
      <c r="Y20" s="3">
        <v>0.58626</v>
      </c>
      <c r="Z20" s="3">
        <v>0.64538999999999991</v>
      </c>
      <c r="AA20" s="3">
        <v>0.49270999999999998</v>
      </c>
      <c r="AB20" s="3">
        <v>13.982149999999999</v>
      </c>
      <c r="AC20" s="3">
        <v>0.2</v>
      </c>
      <c r="AD20" s="3">
        <v>39.562519999999992</v>
      </c>
      <c r="AE20" s="3">
        <v>63.453679999999999</v>
      </c>
      <c r="AF20" s="3">
        <v>0.50063999999999997</v>
      </c>
      <c r="AG20" s="3">
        <v>7.4424000000000001</v>
      </c>
      <c r="AH20" s="3">
        <v>53.024029999999996</v>
      </c>
      <c r="AI20" s="3">
        <v>18.606000000000002</v>
      </c>
      <c r="AJ20" s="3">
        <v>20.4666</v>
      </c>
      <c r="AK20" s="3">
        <v>20.4666</v>
      </c>
      <c r="AL20" s="3">
        <v>0.64538999999999991</v>
      </c>
      <c r="AM20" s="3">
        <v>0.49270999999999998</v>
      </c>
      <c r="AN20" s="3">
        <v>13.982149999999999</v>
      </c>
      <c r="AO20" s="3">
        <v>0.2</v>
      </c>
      <c r="AP20" s="3">
        <v>39.562519999999992</v>
      </c>
      <c r="AQ20" s="3">
        <v>63.453679999999999</v>
      </c>
      <c r="AR20" s="3">
        <v>7.4341699999999999</v>
      </c>
      <c r="AS20" s="3">
        <v>7.4341699999999999</v>
      </c>
      <c r="AT20" s="3">
        <v>52.913160000000005</v>
      </c>
      <c r="AU20" s="3">
        <v>18.585419999999999</v>
      </c>
      <c r="AV20" s="3">
        <v>20.443960000000001</v>
      </c>
      <c r="AW20" s="3">
        <v>20.443960000000001</v>
      </c>
      <c r="AX20" s="3">
        <v>7.0476099999999997</v>
      </c>
      <c r="AY20" s="3">
        <v>7.0476099999999997</v>
      </c>
      <c r="AZ20" s="3">
        <v>18.24755</v>
      </c>
      <c r="BA20" s="3">
        <v>7.0476099999999997</v>
      </c>
      <c r="BB20" s="3">
        <v>55.833629999999999</v>
      </c>
      <c r="BC20" s="3">
        <v>18.24755</v>
      </c>
      <c r="BD20" s="3">
        <v>7.0476099999999997</v>
      </c>
      <c r="BE20" s="3">
        <v>52.781540000000007</v>
      </c>
      <c r="BF20" s="3">
        <v>24.06504</v>
      </c>
      <c r="BG20" s="3">
        <v>35.799840000000003</v>
      </c>
      <c r="BH20" s="3">
        <v>19.478649999999998</v>
      </c>
      <c r="BI20" s="3">
        <v>18.24755</v>
      </c>
    </row>
    <row r="21" spans="1:61" ht="14.45" x14ac:dyDescent="0.35">
      <c r="A21" s="1" t="s">
        <v>130</v>
      </c>
      <c r="B21" s="3">
        <v>89.392009999999999</v>
      </c>
      <c r="C21" s="3">
        <v>161.25631899999999</v>
      </c>
      <c r="D21" s="3">
        <v>272.44471099999998</v>
      </c>
      <c r="E21" s="3">
        <v>-1.8982910000000146</v>
      </c>
      <c r="F21" s="3">
        <v>294.29137900000001</v>
      </c>
      <c r="G21" s="3">
        <v>639.47791599999994</v>
      </c>
      <c r="H21" s="3">
        <v>354.83048300000002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122.31626499999999</v>
      </c>
      <c r="O21" s="3">
        <v>183.63180399999999</v>
      </c>
      <c r="P21" s="3">
        <v>122.48719700000001</v>
      </c>
      <c r="Q21" s="3">
        <v>106.07937100000001</v>
      </c>
      <c r="R21" s="3">
        <v>125.79908399999999</v>
      </c>
      <c r="S21" s="3">
        <v>287.51953499999996</v>
      </c>
      <c r="T21" s="3">
        <v>95.340808999999979</v>
      </c>
      <c r="U21" s="3">
        <v>182.68954400000001</v>
      </c>
      <c r="V21" s="3">
        <v>178.692781</v>
      </c>
      <c r="W21" s="3">
        <v>216.418451</v>
      </c>
      <c r="X21" s="3">
        <v>139.30171999999999</v>
      </c>
      <c r="Y21" s="3">
        <v>410.24471399999993</v>
      </c>
      <c r="Z21" s="3">
        <v>89.392010000000013</v>
      </c>
      <c r="AA21" s="3">
        <v>161.25631899999999</v>
      </c>
      <c r="AB21" s="3">
        <v>272.44471099999998</v>
      </c>
      <c r="AC21" s="3">
        <v>-1.8982909999999933</v>
      </c>
      <c r="AD21" s="3">
        <v>294.29137900000001</v>
      </c>
      <c r="AE21" s="3">
        <v>639.47791599999994</v>
      </c>
      <c r="AF21" s="3">
        <v>354.83048300000002</v>
      </c>
      <c r="AG21" s="3">
        <v>234.88896</v>
      </c>
      <c r="AH21" s="3">
        <v>568.92300999999998</v>
      </c>
      <c r="AI21" s="3">
        <v>319.14127999999999</v>
      </c>
      <c r="AJ21" s="3">
        <v>336.54899</v>
      </c>
      <c r="AK21" s="3">
        <v>346.99362000000002</v>
      </c>
      <c r="AL21" s="3">
        <v>89.392010000000013</v>
      </c>
      <c r="AM21" s="3">
        <v>161.25631899999999</v>
      </c>
      <c r="AN21" s="3">
        <v>272.44471099999998</v>
      </c>
      <c r="AO21" s="3">
        <v>-1.8982909999999933</v>
      </c>
      <c r="AP21" s="3">
        <v>294.29137900000001</v>
      </c>
      <c r="AQ21" s="3">
        <v>639.47791599999994</v>
      </c>
      <c r="AR21" s="3">
        <v>313.2</v>
      </c>
      <c r="AS21" s="3">
        <v>234.36</v>
      </c>
      <c r="AT21" s="3">
        <v>568.61998999999992</v>
      </c>
      <c r="AU21" s="3">
        <v>318.42259000000001</v>
      </c>
      <c r="AV21" s="3">
        <v>335.79109000000005</v>
      </c>
      <c r="AW21" s="3">
        <v>346.2122</v>
      </c>
      <c r="AX21" s="3">
        <v>140.40042</v>
      </c>
      <c r="AY21" s="3">
        <v>151.20044000000001</v>
      </c>
      <c r="AZ21" s="3">
        <v>205.20060000000001</v>
      </c>
      <c r="BA21" s="3">
        <v>226.80065999999999</v>
      </c>
      <c r="BB21" s="3">
        <v>243.00072</v>
      </c>
      <c r="BC21" s="3">
        <v>264.60078000000004</v>
      </c>
      <c r="BD21" s="3">
        <v>264.60078000000004</v>
      </c>
      <c r="BE21" s="3">
        <v>280.80083000000002</v>
      </c>
      <c r="BF21" s="3">
        <v>291.60086000000001</v>
      </c>
      <c r="BG21" s="3">
        <v>297.00087000000002</v>
      </c>
      <c r="BH21" s="3">
        <v>313.20092</v>
      </c>
      <c r="BI21" s="3">
        <v>322.92095000000006</v>
      </c>
    </row>
    <row r="22" spans="1:61" ht="14.45" x14ac:dyDescent="0.35">
      <c r="A22" s="1" t="s">
        <v>30</v>
      </c>
      <c r="B22" s="3">
        <v>2.8380000000000001</v>
      </c>
      <c r="C22" s="3">
        <v>2.4340000000000002</v>
      </c>
      <c r="D22" s="3">
        <v>192.29240999999999</v>
      </c>
      <c r="E22" s="3">
        <v>-174.87475000000001</v>
      </c>
      <c r="F22" s="3">
        <v>5.2610000000000001</v>
      </c>
      <c r="G22" s="3">
        <v>-112.98509999999999</v>
      </c>
      <c r="H22" s="3">
        <v>-218.92689899999999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39.86177</v>
      </c>
      <c r="O22" s="3">
        <v>17.37548</v>
      </c>
      <c r="P22" s="3">
        <v>10.217359999999999</v>
      </c>
      <c r="Q22" s="3">
        <v>9.2169599999999985</v>
      </c>
      <c r="R22" s="3">
        <v>9.6282799999999984</v>
      </c>
      <c r="S22" s="3">
        <v>14.503139999999998</v>
      </c>
      <c r="T22" s="3">
        <v>8.6759099999999982</v>
      </c>
      <c r="U22" s="3">
        <v>14.810019999999998</v>
      </c>
      <c r="V22" s="3">
        <v>16.883450000000003</v>
      </c>
      <c r="W22" s="3">
        <v>9.0739999999999998</v>
      </c>
      <c r="X22" s="3">
        <v>5.0780000000000003</v>
      </c>
      <c r="Y22" s="3">
        <v>-175.53190999999998</v>
      </c>
      <c r="Z22" s="3">
        <v>2.8380000000000001</v>
      </c>
      <c r="AA22" s="3">
        <v>2.4340000000000002</v>
      </c>
      <c r="AB22" s="3">
        <v>192.29240999999999</v>
      </c>
      <c r="AC22" s="3">
        <v>-174.87475000000001</v>
      </c>
      <c r="AD22" s="3">
        <v>5.2610000000000001</v>
      </c>
      <c r="AE22" s="3">
        <v>-112.98509999999999</v>
      </c>
      <c r="AF22" s="3">
        <v>-218.92689899999999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2.8380000000000001</v>
      </c>
      <c r="AM22" s="3">
        <v>2.4340000000000002</v>
      </c>
      <c r="AN22" s="3">
        <v>192.29240999999999</v>
      </c>
      <c r="AO22" s="3">
        <v>-174.87475000000001</v>
      </c>
      <c r="AP22" s="3">
        <v>5.2610000000000001</v>
      </c>
      <c r="AQ22" s="3">
        <v>-112.98509999999999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476.12245899999999</v>
      </c>
      <c r="C27" s="3">
        <v>454.64182299999993</v>
      </c>
      <c r="D27" s="3">
        <v>1851.094216</v>
      </c>
      <c r="E27" s="3">
        <v>247.55599799999996</v>
      </c>
      <c r="F27" s="3">
        <v>1009.4803289999999</v>
      </c>
      <c r="G27" s="3">
        <v>1898.9965309999998</v>
      </c>
      <c r="H27" s="3">
        <v>255.70740800000002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322.02074300000004</v>
      </c>
      <c r="O27" s="3">
        <v>778.56227700000011</v>
      </c>
      <c r="P27" s="3">
        <v>821.019091</v>
      </c>
      <c r="Q27" s="3">
        <v>350.00586000000004</v>
      </c>
      <c r="R27" s="3">
        <v>704.56786299999987</v>
      </c>
      <c r="S27" s="3">
        <v>1215.1164660000002</v>
      </c>
      <c r="T27" s="3">
        <v>438.76718200000005</v>
      </c>
      <c r="U27" s="3">
        <v>433.83742699999999</v>
      </c>
      <c r="V27" s="3">
        <v>1997.8774500000004</v>
      </c>
      <c r="W27" s="3">
        <v>614.64007399999991</v>
      </c>
      <c r="X27" s="3">
        <v>594.65636199999994</v>
      </c>
      <c r="Y27" s="3">
        <v>1874.3309559999998</v>
      </c>
      <c r="Z27" s="3">
        <v>476.12245899999999</v>
      </c>
      <c r="AA27" s="3">
        <v>454.64182300000004</v>
      </c>
      <c r="AB27" s="3">
        <v>1851.094216</v>
      </c>
      <c r="AC27" s="3">
        <v>247.55599799999999</v>
      </c>
      <c r="AD27" s="3">
        <v>1009.4803289999998</v>
      </c>
      <c r="AE27" s="3">
        <v>1898.9965309999998</v>
      </c>
      <c r="AF27" s="3">
        <v>255.70740799999999</v>
      </c>
      <c r="AG27" s="3">
        <v>1307.88759</v>
      </c>
      <c r="AH27" s="3">
        <v>1723.3027585234993</v>
      </c>
      <c r="AI27" s="3">
        <v>1080.6993399999999</v>
      </c>
      <c r="AJ27" s="3">
        <v>1322.69805</v>
      </c>
      <c r="AK27" s="3">
        <v>1015.6473255359579</v>
      </c>
      <c r="AL27" s="3">
        <v>476.12245899999999</v>
      </c>
      <c r="AM27" s="3">
        <v>454.64182300000004</v>
      </c>
      <c r="AN27" s="3">
        <v>1851.094216</v>
      </c>
      <c r="AO27" s="3">
        <v>247.55599799999999</v>
      </c>
      <c r="AP27" s="3">
        <v>1009.4803289999998</v>
      </c>
      <c r="AQ27" s="3">
        <v>1898.9965309999998</v>
      </c>
      <c r="AR27" s="3">
        <v>1084.3895400000001</v>
      </c>
      <c r="AS27" s="3">
        <v>1306.1113600000001</v>
      </c>
      <c r="AT27" s="3">
        <v>1721.7349621408532</v>
      </c>
      <c r="AU27" s="3">
        <v>1078.96876</v>
      </c>
      <c r="AV27" s="3">
        <v>1320.69228</v>
      </c>
      <c r="AW27" s="3">
        <v>1014.0707174800889</v>
      </c>
      <c r="AX27" s="3">
        <v>627.04359000000011</v>
      </c>
      <c r="AY27" s="3">
        <v>757.83172000000002</v>
      </c>
      <c r="AZ27" s="3">
        <v>2096.6382084376719</v>
      </c>
      <c r="BA27" s="3">
        <v>832.43094000000008</v>
      </c>
      <c r="BB27" s="3">
        <v>1738.5673200000001</v>
      </c>
      <c r="BC27" s="3">
        <v>1154.3795684376719</v>
      </c>
      <c r="BD27" s="3">
        <v>935.86199000000022</v>
      </c>
      <c r="BE27" s="3">
        <v>1096.6133499999999</v>
      </c>
      <c r="BF27" s="3">
        <v>1207.6805184376717</v>
      </c>
      <c r="BG27" s="3">
        <v>1024.8748999999998</v>
      </c>
      <c r="BH27" s="3">
        <v>1229.4716699999997</v>
      </c>
      <c r="BI27" s="3">
        <v>950.00441843767203</v>
      </c>
    </row>
    <row r="28" spans="1:61" x14ac:dyDescent="0.25">
      <c r="A28" s="1" t="s">
        <v>97</v>
      </c>
      <c r="B28" s="3">
        <v>451.94947899999994</v>
      </c>
      <c r="C28" s="3">
        <v>451.32005600000002</v>
      </c>
      <c r="D28" s="3">
        <v>1831.451307</v>
      </c>
      <c r="E28" s="3">
        <v>145.47519199999996</v>
      </c>
      <c r="F28" s="3">
        <v>961.09137199999986</v>
      </c>
      <c r="G28" s="3">
        <v>1900.2610750000001</v>
      </c>
      <c r="H28" s="3">
        <v>175.031756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286.44556399999999</v>
      </c>
      <c r="O28" s="3">
        <v>686.74566100000004</v>
      </c>
      <c r="P28" s="3">
        <v>603.67409499999985</v>
      </c>
      <c r="Q28" s="3">
        <v>344.54030900000004</v>
      </c>
      <c r="R28" s="3">
        <v>685.66904899999986</v>
      </c>
      <c r="S28" s="3">
        <v>1252.2610060000002</v>
      </c>
      <c r="T28" s="3">
        <v>419.035417</v>
      </c>
      <c r="U28" s="3">
        <v>423.02265999999997</v>
      </c>
      <c r="V28" s="3">
        <v>1308.616209</v>
      </c>
      <c r="W28" s="3">
        <v>603.64718299999993</v>
      </c>
      <c r="X28" s="3">
        <v>545.17399999999998</v>
      </c>
      <c r="Y28" s="3">
        <v>1384.3252629999997</v>
      </c>
      <c r="Z28" s="3">
        <v>451.94947899999994</v>
      </c>
      <c r="AA28" s="3">
        <v>451.32005600000002</v>
      </c>
      <c r="AB28" s="3">
        <v>1831.451307</v>
      </c>
      <c r="AC28" s="3">
        <v>145.47519199999999</v>
      </c>
      <c r="AD28" s="3">
        <v>961.09137199999975</v>
      </c>
      <c r="AE28" s="3">
        <v>1900.2610750000001</v>
      </c>
      <c r="AF28" s="3">
        <v>175.031756</v>
      </c>
      <c r="AG28" s="3">
        <v>1071.1625000000001</v>
      </c>
      <c r="AH28" s="3">
        <v>1662.0966287112103</v>
      </c>
      <c r="AI28" s="3">
        <v>1051.0239999999999</v>
      </c>
      <c r="AJ28" s="3">
        <v>1293.02271</v>
      </c>
      <c r="AK28" s="3">
        <v>947.88983000000007</v>
      </c>
      <c r="AL28" s="3">
        <v>451.94947899999994</v>
      </c>
      <c r="AM28" s="3">
        <v>451.32005600000002</v>
      </c>
      <c r="AN28" s="3">
        <v>1831.451307</v>
      </c>
      <c r="AO28" s="3">
        <v>145.47519199999999</v>
      </c>
      <c r="AP28" s="3">
        <v>961.09137199999975</v>
      </c>
      <c r="AQ28" s="3">
        <v>1900.2610750000001</v>
      </c>
      <c r="AR28" s="3">
        <v>1021.66498</v>
      </c>
      <c r="AS28" s="3">
        <v>1069.6481100000001</v>
      </c>
      <c r="AT28" s="3">
        <v>1660.5965965661705</v>
      </c>
      <c r="AU28" s="3">
        <v>1049.3262500000001</v>
      </c>
      <c r="AV28" s="3">
        <v>1291.0497700000001</v>
      </c>
      <c r="AW28" s="3">
        <v>946.38815999999997</v>
      </c>
      <c r="AX28" s="3">
        <v>598.10993000000008</v>
      </c>
      <c r="AY28" s="3">
        <v>728.89805999999999</v>
      </c>
      <c r="AZ28" s="3">
        <v>860.71103000000005</v>
      </c>
      <c r="BA28" s="3">
        <v>803.49728000000005</v>
      </c>
      <c r="BB28" s="3">
        <v>1091.6377999999997</v>
      </c>
      <c r="BC28" s="3">
        <v>996.44720000000007</v>
      </c>
      <c r="BD28" s="3">
        <v>906.92833000000019</v>
      </c>
      <c r="BE28" s="3">
        <v>1067.6796899999997</v>
      </c>
      <c r="BF28" s="3">
        <v>1141.7472899999998</v>
      </c>
      <c r="BG28" s="3">
        <v>995.94123999999999</v>
      </c>
      <c r="BH28" s="3">
        <v>1200.5380099999998</v>
      </c>
      <c r="BI28" s="3">
        <v>884.07119000000012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177.97963999999999</v>
      </c>
      <c r="C30" s="3">
        <v>131.73344900000004</v>
      </c>
      <c r="D30" s="3">
        <v>899.4621719999999</v>
      </c>
      <c r="E30" s="3">
        <v>77.608630999999988</v>
      </c>
      <c r="F30" s="3">
        <v>338.42455700000005</v>
      </c>
      <c r="G30" s="3">
        <v>920.44699800000001</v>
      </c>
      <c r="H30" s="3">
        <v>14.827182000000008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99.729022999999998</v>
      </c>
      <c r="O30" s="3">
        <v>336.46554400000002</v>
      </c>
      <c r="P30" s="3">
        <v>416.89259699999997</v>
      </c>
      <c r="Q30" s="3">
        <v>160.70049699999996</v>
      </c>
      <c r="R30" s="3">
        <v>413.67775399999988</v>
      </c>
      <c r="S30" s="3">
        <v>709.13123300000007</v>
      </c>
      <c r="T30" s="3">
        <v>223.80945299999999</v>
      </c>
      <c r="U30" s="3">
        <v>145.33345700000001</v>
      </c>
      <c r="V30" s="3">
        <v>932.00923699999998</v>
      </c>
      <c r="W30" s="3">
        <v>284.02760700000005</v>
      </c>
      <c r="X30" s="3">
        <v>254.87030000000001</v>
      </c>
      <c r="Y30" s="3">
        <v>611.93316700000003</v>
      </c>
      <c r="Z30" s="3">
        <v>177.97963999999999</v>
      </c>
      <c r="AA30" s="3">
        <v>131.73344900000001</v>
      </c>
      <c r="AB30" s="3">
        <v>899.46217199999978</v>
      </c>
      <c r="AC30" s="3">
        <v>77.608630999999988</v>
      </c>
      <c r="AD30" s="3">
        <v>338.42455699999999</v>
      </c>
      <c r="AE30" s="3">
        <v>920.44699800000001</v>
      </c>
      <c r="AF30" s="3">
        <v>14.827182000000011</v>
      </c>
      <c r="AG30" s="3">
        <v>488.13947000000007</v>
      </c>
      <c r="AH30" s="3">
        <v>547.53212871121036</v>
      </c>
      <c r="AI30" s="3">
        <v>432.71197000000006</v>
      </c>
      <c r="AJ30" s="3">
        <v>501.39813000000009</v>
      </c>
      <c r="AK30" s="3">
        <v>405.33044000000001</v>
      </c>
      <c r="AL30" s="3">
        <v>177.97963999999999</v>
      </c>
      <c r="AM30" s="3">
        <v>131.73344900000001</v>
      </c>
      <c r="AN30" s="3">
        <v>899.46217199999978</v>
      </c>
      <c r="AO30" s="3">
        <v>77.608630999999988</v>
      </c>
      <c r="AP30" s="3">
        <v>338.42455699999999</v>
      </c>
      <c r="AQ30" s="3">
        <v>920.44699800000001</v>
      </c>
      <c r="AR30" s="3">
        <v>426.30937</v>
      </c>
      <c r="AS30" s="3">
        <v>487.54205000000002</v>
      </c>
      <c r="AT30" s="3">
        <v>546.89725656617065</v>
      </c>
      <c r="AU30" s="3">
        <v>432.17792000000003</v>
      </c>
      <c r="AV30" s="3">
        <v>500.80615</v>
      </c>
      <c r="AW30" s="3">
        <v>404.83975000000009</v>
      </c>
      <c r="AX30" s="3">
        <v>307.59757999999999</v>
      </c>
      <c r="AY30" s="3">
        <v>330.32470999999998</v>
      </c>
      <c r="AZ30" s="3">
        <v>416.75799000000001</v>
      </c>
      <c r="BA30" s="3">
        <v>401.26177000000007</v>
      </c>
      <c r="BB30" s="3">
        <v>418.16287</v>
      </c>
      <c r="BC30" s="3">
        <v>463.80896000000001</v>
      </c>
      <c r="BD30" s="3">
        <v>403.68716000000012</v>
      </c>
      <c r="BE30" s="3">
        <v>457.7346399999999</v>
      </c>
      <c r="BF30" s="3">
        <v>492.57235999999995</v>
      </c>
      <c r="BG30" s="3">
        <v>412.30089999999996</v>
      </c>
      <c r="BH30" s="3">
        <v>480.76171999999997</v>
      </c>
      <c r="BI30" s="3">
        <v>386.96131000000003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" t="s">
        <v>37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" t="s">
        <v>118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" t="s">
        <v>131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2.3087200000000001</v>
      </c>
      <c r="C43" s="3">
        <v>2.0769000000000002</v>
      </c>
      <c r="D43" s="3">
        <v>1.6425100000000001</v>
      </c>
      <c r="E43" s="3">
        <v>11.693619999999999</v>
      </c>
      <c r="F43" s="3">
        <v>1.30681</v>
      </c>
      <c r="G43" s="3">
        <v>9.4810300000000005</v>
      </c>
      <c r="H43" s="3">
        <v>4.1729099999999999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0.51117000000000001</v>
      </c>
      <c r="O43" s="3">
        <v>0.34300000000000003</v>
      </c>
      <c r="P43" s="3">
        <v>0.34300000000000003</v>
      </c>
      <c r="Q43" s="3">
        <v>0.34300000000000003</v>
      </c>
      <c r="R43" s="3">
        <v>0.34300000000000003</v>
      </c>
      <c r="S43" s="3">
        <v>0.34300000000000003</v>
      </c>
      <c r="T43" s="3">
        <v>0.33689000000000002</v>
      </c>
      <c r="U43" s="3">
        <v>-2.4000000000623523E-4</v>
      </c>
      <c r="V43" s="3">
        <v>0</v>
      </c>
      <c r="W43" s="3">
        <v>1.6000000000232495E-4</v>
      </c>
      <c r="X43" s="3">
        <v>-0.31012999999999991</v>
      </c>
      <c r="Y43" s="3">
        <v>472.6583</v>
      </c>
      <c r="Z43" s="3">
        <v>2.3087200000000001</v>
      </c>
      <c r="AA43" s="3">
        <v>2.0769000000000002</v>
      </c>
      <c r="AB43" s="3">
        <v>1.6425100000000001</v>
      </c>
      <c r="AC43" s="3">
        <v>11.693619999999999</v>
      </c>
      <c r="AD43" s="3">
        <v>1.30681</v>
      </c>
      <c r="AE43" s="3">
        <v>9.4810300000000005</v>
      </c>
      <c r="AF43" s="3">
        <v>4.1729099999999999</v>
      </c>
      <c r="AG43" s="3">
        <v>177.56367</v>
      </c>
      <c r="AH43" s="3">
        <v>2.0447098122891276</v>
      </c>
      <c r="AI43" s="3">
        <v>0</v>
      </c>
      <c r="AJ43" s="3">
        <v>0</v>
      </c>
      <c r="AK43" s="3">
        <v>38.082155535957796</v>
      </c>
      <c r="AL43" s="3">
        <v>2.3087200000000001</v>
      </c>
      <c r="AM43" s="3">
        <v>2.0769000000000002</v>
      </c>
      <c r="AN43" s="3">
        <v>1.6425100000000001</v>
      </c>
      <c r="AO43" s="3">
        <v>11.693619999999999</v>
      </c>
      <c r="AP43" s="3">
        <v>1.30681</v>
      </c>
      <c r="AQ43" s="3">
        <v>9.4810300000000005</v>
      </c>
      <c r="AR43" s="3">
        <v>3.6285799999999999</v>
      </c>
      <c r="AS43" s="3">
        <v>177.36726999999999</v>
      </c>
      <c r="AT43" s="3">
        <v>2.0423855746825694</v>
      </c>
      <c r="AU43" s="3">
        <v>0</v>
      </c>
      <c r="AV43" s="3">
        <v>0</v>
      </c>
      <c r="AW43" s="3">
        <v>38.04004748008893</v>
      </c>
      <c r="AX43" s="3">
        <v>0</v>
      </c>
      <c r="AY43" s="3">
        <v>0</v>
      </c>
      <c r="AZ43" s="3">
        <v>36.999568437671911</v>
      </c>
      <c r="BA43" s="3">
        <v>0</v>
      </c>
      <c r="BB43" s="3">
        <v>446.99723999999998</v>
      </c>
      <c r="BC43" s="3">
        <v>128.99870843767189</v>
      </c>
      <c r="BD43" s="3">
        <v>0</v>
      </c>
      <c r="BE43" s="3">
        <v>0</v>
      </c>
      <c r="BF43" s="3">
        <v>36.999568437671911</v>
      </c>
      <c r="BG43" s="3">
        <v>0</v>
      </c>
      <c r="BH43" s="3">
        <v>0</v>
      </c>
      <c r="BI43" s="3">
        <v>36.999568437671911</v>
      </c>
    </row>
    <row r="44" spans="1:61" x14ac:dyDescent="0.25">
      <c r="A44" s="1" t="s">
        <v>133</v>
      </c>
      <c r="B44" s="3">
        <v>21.864259999999998</v>
      </c>
      <c r="C44" s="3">
        <v>1.2448669999999984</v>
      </c>
      <c r="D44" s="3">
        <v>18.000399000000005</v>
      </c>
      <c r="E44" s="3">
        <v>90.387186</v>
      </c>
      <c r="F44" s="3">
        <v>47.082147000000006</v>
      </c>
      <c r="G44" s="3">
        <v>-10.745574000000001</v>
      </c>
      <c r="H44" s="3">
        <v>76.502741999999984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35.064008999999999</v>
      </c>
      <c r="O44" s="3">
        <v>91.473615999999993</v>
      </c>
      <c r="P44" s="3">
        <v>217.00199600000002</v>
      </c>
      <c r="Q44" s="3">
        <v>5.1225510000000005</v>
      </c>
      <c r="R44" s="3">
        <v>18.555813999999998</v>
      </c>
      <c r="S44" s="3">
        <v>-37.487539999999996</v>
      </c>
      <c r="T44" s="3">
        <v>19.394874999999999</v>
      </c>
      <c r="U44" s="3">
        <v>10.815007</v>
      </c>
      <c r="V44" s="3">
        <v>689.26124100000015</v>
      </c>
      <c r="W44" s="3">
        <v>10.992731000000003</v>
      </c>
      <c r="X44" s="3">
        <v>49.79249200000001</v>
      </c>
      <c r="Y44" s="3">
        <v>17.347392999999997</v>
      </c>
      <c r="Z44" s="3">
        <v>21.864259999999998</v>
      </c>
      <c r="AA44" s="3">
        <v>1.2448669999999984</v>
      </c>
      <c r="AB44" s="3">
        <v>18.000399000000005</v>
      </c>
      <c r="AC44" s="3">
        <v>90.387186</v>
      </c>
      <c r="AD44" s="3">
        <v>47.082147000000006</v>
      </c>
      <c r="AE44" s="3">
        <v>-10.745574000000001</v>
      </c>
      <c r="AF44" s="3">
        <v>76.502741999999984</v>
      </c>
      <c r="AG44" s="3">
        <v>59.16142</v>
      </c>
      <c r="AH44" s="3">
        <v>59.16142</v>
      </c>
      <c r="AI44" s="3">
        <v>29.675340000000002</v>
      </c>
      <c r="AJ44" s="3">
        <v>29.675340000000002</v>
      </c>
      <c r="AK44" s="3">
        <v>29.675340000000002</v>
      </c>
      <c r="AL44" s="3">
        <v>21.864259999999998</v>
      </c>
      <c r="AM44" s="3">
        <v>1.2448669999999984</v>
      </c>
      <c r="AN44" s="3">
        <v>18.000399000000005</v>
      </c>
      <c r="AO44" s="3">
        <v>90.387186</v>
      </c>
      <c r="AP44" s="3">
        <v>47.082147000000006</v>
      </c>
      <c r="AQ44" s="3">
        <v>-10.745574000000001</v>
      </c>
      <c r="AR44" s="3">
        <v>59.095979999999997</v>
      </c>
      <c r="AS44" s="3">
        <v>59.095979999999997</v>
      </c>
      <c r="AT44" s="3">
        <v>59.095979999999997</v>
      </c>
      <c r="AU44" s="3">
        <v>29.642510000000001</v>
      </c>
      <c r="AV44" s="3">
        <v>29.642510000000001</v>
      </c>
      <c r="AW44" s="3">
        <v>29.642510000000001</v>
      </c>
      <c r="AX44" s="3">
        <v>28.933660000000003</v>
      </c>
      <c r="AY44" s="3">
        <v>28.933660000000003</v>
      </c>
      <c r="AZ44" s="3">
        <v>1198.92761</v>
      </c>
      <c r="BA44" s="3">
        <v>28.933660000000003</v>
      </c>
      <c r="BB44" s="3">
        <v>199.93227999999999</v>
      </c>
      <c r="BC44" s="3">
        <v>28.933660000000003</v>
      </c>
      <c r="BD44" s="3">
        <v>28.933660000000003</v>
      </c>
      <c r="BE44" s="3">
        <v>28.933660000000003</v>
      </c>
      <c r="BF44" s="3">
        <v>28.933660000000003</v>
      </c>
      <c r="BG44" s="3">
        <v>28.933660000000003</v>
      </c>
      <c r="BH44" s="3">
        <v>28.933660000000003</v>
      </c>
      <c r="BI44" s="3">
        <v>28.933660000000003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1.2037</v>
      </c>
      <c r="C46" s="3">
        <v>3.304109</v>
      </c>
      <c r="D46" s="3">
        <v>34.324791999999995</v>
      </c>
      <c r="E46" s="3">
        <v>26.003896000000001</v>
      </c>
      <c r="F46" s="3">
        <v>22.683185999999996</v>
      </c>
      <c r="G46" s="3">
        <v>18.948291000000005</v>
      </c>
      <c r="H46" s="3">
        <v>16.217583000000005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14.113519999999998</v>
      </c>
      <c r="O46" s="3">
        <v>0.78973000000000015</v>
      </c>
      <c r="P46" s="3">
        <v>40.971989999999998</v>
      </c>
      <c r="Q46" s="3">
        <v>0.43364999999999998</v>
      </c>
      <c r="R46" s="3">
        <v>11.628105999999999</v>
      </c>
      <c r="S46" s="3">
        <v>20.285616000000001</v>
      </c>
      <c r="T46" s="3">
        <v>8.229057000000001</v>
      </c>
      <c r="U46" s="3">
        <v>10.541587</v>
      </c>
      <c r="V46" s="3">
        <v>13.844317</v>
      </c>
      <c r="W46" s="3">
        <v>3.8524280000000002</v>
      </c>
      <c r="X46" s="3">
        <v>0.71277599999999985</v>
      </c>
      <c r="Y46" s="3">
        <v>36.060425000000002</v>
      </c>
      <c r="Z46" s="3">
        <v>1.2037</v>
      </c>
      <c r="AA46" s="3">
        <v>3.304109</v>
      </c>
      <c r="AB46" s="3">
        <v>34.324792000000002</v>
      </c>
      <c r="AC46" s="3">
        <v>26.003896000000005</v>
      </c>
      <c r="AD46" s="3">
        <v>22.683185999999999</v>
      </c>
      <c r="AE46" s="3">
        <v>18.948291000000005</v>
      </c>
      <c r="AF46" s="3">
        <v>16.217583000000001</v>
      </c>
      <c r="AG46" s="3">
        <v>-11.738533333333335</v>
      </c>
      <c r="AH46" s="3">
        <v>88.56610666666667</v>
      </c>
      <c r="AI46" s="3">
        <v>18.739799999999999</v>
      </c>
      <c r="AJ46" s="3">
        <v>1.5948</v>
      </c>
      <c r="AK46" s="3">
        <v>94.909859999999995</v>
      </c>
      <c r="AL46" s="3">
        <v>1.2037</v>
      </c>
      <c r="AM46" s="3">
        <v>3.304109</v>
      </c>
      <c r="AN46" s="3">
        <v>34.324792000000002</v>
      </c>
      <c r="AO46" s="3">
        <v>26.003896000000005</v>
      </c>
      <c r="AP46" s="3">
        <v>22.683185999999999</v>
      </c>
      <c r="AQ46" s="3">
        <v>18.948291000000005</v>
      </c>
      <c r="AR46" s="3">
        <v>5.297566666666663</v>
      </c>
      <c r="AS46" s="3">
        <v>-11.740293333333334</v>
      </c>
      <c r="AT46" s="3">
        <v>88.453396666666677</v>
      </c>
      <c r="AU46" s="3">
        <v>18.719079999999998</v>
      </c>
      <c r="AV46" s="3">
        <v>1.59304</v>
      </c>
      <c r="AW46" s="3">
        <v>94.80489</v>
      </c>
      <c r="AX46" s="3">
        <v>26.337199999999999</v>
      </c>
      <c r="AY46" s="3">
        <v>0</v>
      </c>
      <c r="AZ46" s="3">
        <v>85.081500000000005</v>
      </c>
      <c r="BA46" s="3">
        <v>16.001799999999999</v>
      </c>
      <c r="BB46" s="3">
        <v>1.55494</v>
      </c>
      <c r="BC46" s="3">
        <v>92.982600000000005</v>
      </c>
      <c r="BD46" s="3">
        <v>17.556739999999998</v>
      </c>
      <c r="BE46" s="3">
        <v>1.55494</v>
      </c>
      <c r="BF46" s="3">
        <v>91.322859999999991</v>
      </c>
      <c r="BG46" s="3">
        <v>17.556739999999998</v>
      </c>
      <c r="BH46" s="3">
        <v>1.55494</v>
      </c>
      <c r="BI46" s="3">
        <v>84.487259999999992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1" t="s">
        <v>44</v>
      </c>
      <c r="B49" s="3">
        <v>3.6752410000000002</v>
      </c>
      <c r="C49" s="3">
        <v>0.43185899999999999</v>
      </c>
      <c r="D49" s="3">
        <v>2.152307</v>
      </c>
      <c r="E49" s="3">
        <v>0.55698700000000001</v>
      </c>
      <c r="F49" s="3">
        <v>0.95472500000000016</v>
      </c>
      <c r="G49" s="3">
        <v>3.0592280000000005</v>
      </c>
      <c r="H49" s="3">
        <v>1.8708990000000005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0.78373999999999988</v>
      </c>
      <c r="O49" s="3">
        <v>0.88734000000000002</v>
      </c>
      <c r="P49" s="3">
        <v>1.4714899999999997</v>
      </c>
      <c r="Q49" s="3">
        <v>-1.9614299999999998</v>
      </c>
      <c r="R49" s="3">
        <v>3.7805710000000001</v>
      </c>
      <c r="S49" s="3">
        <v>0.3510390000000001</v>
      </c>
      <c r="T49" s="3">
        <v>-0.1865199999999998</v>
      </c>
      <c r="U49" s="3">
        <v>9.2370000000000063E-2</v>
      </c>
      <c r="V49" s="3">
        <v>0.46820499999999993</v>
      </c>
      <c r="W49" s="3">
        <v>0.13111200000000001</v>
      </c>
      <c r="X49" s="3">
        <v>0.926844</v>
      </c>
      <c r="Y49" s="3">
        <v>7.3147010000000003</v>
      </c>
      <c r="Z49" s="3">
        <v>3.6752409999999998</v>
      </c>
      <c r="AA49" s="3">
        <v>0.43185899999999999</v>
      </c>
      <c r="AB49" s="3">
        <v>2.152307</v>
      </c>
      <c r="AC49" s="3">
        <v>0.55698700000000001</v>
      </c>
      <c r="AD49" s="3">
        <v>0.95472500000000016</v>
      </c>
      <c r="AE49" s="3">
        <v>3.0592280000000001</v>
      </c>
      <c r="AF49" s="3">
        <v>1.8708990000000001</v>
      </c>
      <c r="AG49" s="3">
        <v>1.1074999999999999</v>
      </c>
      <c r="AH49" s="3">
        <v>5.1513400000000003</v>
      </c>
      <c r="AI49" s="3">
        <v>1.1074999999999999</v>
      </c>
      <c r="AJ49" s="3">
        <v>1.1074999999999999</v>
      </c>
      <c r="AK49" s="3">
        <v>4.8582099999999997</v>
      </c>
      <c r="AL49" s="3">
        <v>3.6752409999999998</v>
      </c>
      <c r="AM49" s="3">
        <v>0.43185899999999999</v>
      </c>
      <c r="AN49" s="3">
        <v>2.152307</v>
      </c>
      <c r="AO49" s="3">
        <v>0.55698700000000001</v>
      </c>
      <c r="AP49" s="3">
        <v>0.95472500000000016</v>
      </c>
      <c r="AQ49" s="3">
        <v>3.0592280000000001</v>
      </c>
      <c r="AR49" s="3">
        <v>1.1062799999999999</v>
      </c>
      <c r="AS49" s="3">
        <v>1.1062799999999999</v>
      </c>
      <c r="AT49" s="3">
        <v>5.1456400000000002</v>
      </c>
      <c r="AU49" s="3">
        <v>1.1062799999999999</v>
      </c>
      <c r="AV49" s="3">
        <v>1.1062799999999999</v>
      </c>
      <c r="AW49" s="3">
        <v>4.8528500000000001</v>
      </c>
      <c r="AX49" s="3">
        <v>1.07982</v>
      </c>
      <c r="AY49" s="3">
        <v>1.07982</v>
      </c>
      <c r="AZ49" s="3">
        <v>4.0983200000000002</v>
      </c>
      <c r="BA49" s="3">
        <v>1.07982</v>
      </c>
      <c r="BB49" s="3">
        <v>1.07982</v>
      </c>
      <c r="BC49" s="3">
        <v>4.0983200000000002</v>
      </c>
      <c r="BD49" s="3">
        <v>1.07982</v>
      </c>
      <c r="BE49" s="3">
        <v>1.07982</v>
      </c>
      <c r="BF49" s="3">
        <v>4.0983200000000002</v>
      </c>
      <c r="BG49" s="3">
        <v>1.07982</v>
      </c>
      <c r="BH49" s="3">
        <v>1.07982</v>
      </c>
      <c r="BI49" s="3">
        <v>3.8195699999999997</v>
      </c>
    </row>
    <row r="50" spans="1:61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1" t="s">
        <v>121</v>
      </c>
      <c r="B51" s="3">
        <v>454.25819899999993</v>
      </c>
      <c r="C51" s="3">
        <v>453.39695599999999</v>
      </c>
      <c r="D51" s="3">
        <v>1833.0938169999999</v>
      </c>
      <c r="E51" s="3">
        <v>157.16881199999997</v>
      </c>
      <c r="F51" s="3">
        <v>962.39818200000002</v>
      </c>
      <c r="G51" s="3">
        <v>1909.742105</v>
      </c>
      <c r="H51" s="3">
        <v>179.204666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286.95673399999998</v>
      </c>
      <c r="O51" s="3">
        <v>687.088661</v>
      </c>
      <c r="P51" s="3">
        <v>604.01709499999981</v>
      </c>
      <c r="Q51" s="3">
        <v>344.88330900000005</v>
      </c>
      <c r="R51" s="3">
        <v>686.01204899999982</v>
      </c>
      <c r="S51" s="3">
        <v>1252.6040060000003</v>
      </c>
      <c r="T51" s="3">
        <v>419.37230700000003</v>
      </c>
      <c r="U51" s="3">
        <v>423.02242000000001</v>
      </c>
      <c r="V51" s="3">
        <v>1308.616209</v>
      </c>
      <c r="W51" s="3">
        <v>603.64734299999998</v>
      </c>
      <c r="X51" s="3">
        <v>544.86386999999991</v>
      </c>
      <c r="Y51" s="3">
        <v>1856.9835630000002</v>
      </c>
      <c r="Z51" s="3">
        <v>454.25819899999993</v>
      </c>
      <c r="AA51" s="3">
        <v>453.39695599999999</v>
      </c>
      <c r="AB51" s="3">
        <v>1833.0938169999999</v>
      </c>
      <c r="AC51" s="3">
        <v>157.168812</v>
      </c>
      <c r="AD51" s="3">
        <v>962.39818199999979</v>
      </c>
      <c r="AE51" s="3">
        <v>1909.7421050000003</v>
      </c>
      <c r="AF51" s="3">
        <v>179.204666</v>
      </c>
      <c r="AG51" s="3">
        <v>1248.7261700000001</v>
      </c>
      <c r="AH51" s="3">
        <v>1664.1413385234994</v>
      </c>
      <c r="AI51" s="3">
        <v>1051.0239999999999</v>
      </c>
      <c r="AJ51" s="3">
        <v>1293.02271</v>
      </c>
      <c r="AK51" s="3">
        <v>985.97198553595786</v>
      </c>
      <c r="AL51" s="3">
        <v>454.25819899999993</v>
      </c>
      <c r="AM51" s="3">
        <v>453.39695599999999</v>
      </c>
      <c r="AN51" s="3">
        <v>1833.0938169999999</v>
      </c>
      <c r="AO51" s="3">
        <v>157.168812</v>
      </c>
      <c r="AP51" s="3">
        <v>962.39818199999979</v>
      </c>
      <c r="AQ51" s="3">
        <v>1909.7421050000003</v>
      </c>
      <c r="AR51" s="3">
        <v>1025.2935600000001</v>
      </c>
      <c r="AS51" s="3">
        <v>1247.0153800000001</v>
      </c>
      <c r="AT51" s="3">
        <v>1662.6389821408532</v>
      </c>
      <c r="AU51" s="3">
        <v>1049.3262500000001</v>
      </c>
      <c r="AV51" s="3">
        <v>1291.0497700000001</v>
      </c>
      <c r="AW51" s="3">
        <v>984.42820748008887</v>
      </c>
      <c r="AX51" s="3">
        <v>598.10993000000008</v>
      </c>
      <c r="AY51" s="3">
        <v>728.89805999999999</v>
      </c>
      <c r="AZ51" s="3">
        <v>897.71059843767205</v>
      </c>
      <c r="BA51" s="3">
        <v>803.49728000000005</v>
      </c>
      <c r="BB51" s="3">
        <v>1538.6350399999999</v>
      </c>
      <c r="BC51" s="3">
        <v>1125.4459084376717</v>
      </c>
      <c r="BD51" s="3">
        <v>906.92833000000019</v>
      </c>
      <c r="BE51" s="3">
        <v>1067.6796899999997</v>
      </c>
      <c r="BF51" s="3">
        <v>1178.7468584376716</v>
      </c>
      <c r="BG51" s="3">
        <v>995.94123999999999</v>
      </c>
      <c r="BH51" s="3">
        <v>1200.5380099999998</v>
      </c>
      <c r="BI51" s="3">
        <v>921.070758437672</v>
      </c>
    </row>
    <row r="52" spans="1:61" x14ac:dyDescent="0.25">
      <c r="A52" s="1" t="s">
        <v>76</v>
      </c>
      <c r="B52" s="3">
        <v>4.8789410000000011</v>
      </c>
      <c r="C52" s="3">
        <v>3.7359680000000002</v>
      </c>
      <c r="D52" s="3">
        <v>36.477098999999995</v>
      </c>
      <c r="E52" s="3">
        <v>26.560883</v>
      </c>
      <c r="F52" s="3">
        <v>23.637910999999995</v>
      </c>
      <c r="G52" s="3">
        <v>22.007519000000002</v>
      </c>
      <c r="H52" s="3">
        <v>18.088482000000003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14.897259999999998</v>
      </c>
      <c r="O52" s="3">
        <v>1.6770700000000001</v>
      </c>
      <c r="P52" s="3">
        <v>42.443480000000001</v>
      </c>
      <c r="Q52" s="3">
        <v>-1.5277799999999999</v>
      </c>
      <c r="R52" s="3">
        <v>15.408677000000001</v>
      </c>
      <c r="S52" s="3">
        <v>20.636655000000001</v>
      </c>
      <c r="T52" s="3">
        <v>8.0425370000000012</v>
      </c>
      <c r="U52" s="3">
        <v>10.633957000000002</v>
      </c>
      <c r="V52" s="3">
        <v>14.312522000000001</v>
      </c>
      <c r="W52" s="3">
        <v>3.9835400000000001</v>
      </c>
      <c r="X52" s="3">
        <v>1.6396200000000001</v>
      </c>
      <c r="Y52" s="3">
        <v>43.375125999999995</v>
      </c>
      <c r="Z52" s="3">
        <v>4.8789410000000002</v>
      </c>
      <c r="AA52" s="3">
        <v>3.7359680000000002</v>
      </c>
      <c r="AB52" s="3">
        <v>36.477098999999995</v>
      </c>
      <c r="AC52" s="3">
        <v>26.560883000000004</v>
      </c>
      <c r="AD52" s="3">
        <v>23.637910999999999</v>
      </c>
      <c r="AE52" s="3">
        <v>22.007519000000002</v>
      </c>
      <c r="AF52" s="3">
        <v>18.088481999999999</v>
      </c>
      <c r="AG52" s="3">
        <v>-10.631033333333335</v>
      </c>
      <c r="AH52" s="3">
        <v>93.717446666666675</v>
      </c>
      <c r="AI52" s="3">
        <v>19.847299999999997</v>
      </c>
      <c r="AJ52" s="3">
        <v>2.7023000000000001</v>
      </c>
      <c r="AK52" s="3">
        <v>99.768069999999994</v>
      </c>
      <c r="AL52" s="3">
        <v>4.8789410000000002</v>
      </c>
      <c r="AM52" s="3">
        <v>3.7359680000000002</v>
      </c>
      <c r="AN52" s="3">
        <v>36.477098999999995</v>
      </c>
      <c r="AO52" s="3">
        <v>26.560883000000004</v>
      </c>
      <c r="AP52" s="3">
        <v>23.637910999999999</v>
      </c>
      <c r="AQ52" s="3">
        <v>22.007519000000002</v>
      </c>
      <c r="AR52" s="3">
        <v>6.4038466666666611</v>
      </c>
      <c r="AS52" s="3">
        <v>-10.634013333333334</v>
      </c>
      <c r="AT52" s="3">
        <v>93.599036666666677</v>
      </c>
      <c r="AU52" s="3">
        <v>19.825359999999996</v>
      </c>
      <c r="AV52" s="3">
        <v>2.6993200000000002</v>
      </c>
      <c r="AW52" s="3">
        <v>99.657740000000004</v>
      </c>
      <c r="AX52" s="3">
        <v>27.417020000000001</v>
      </c>
      <c r="AY52" s="3">
        <v>1.07982</v>
      </c>
      <c r="AZ52" s="3">
        <v>89.179820000000007</v>
      </c>
      <c r="BA52" s="3">
        <v>17.081620000000001</v>
      </c>
      <c r="BB52" s="3">
        <v>2.63476</v>
      </c>
      <c r="BC52" s="3">
        <v>97.080920000000006</v>
      </c>
      <c r="BD52" s="3">
        <v>18.636559999999999</v>
      </c>
      <c r="BE52" s="3">
        <v>2.63476</v>
      </c>
      <c r="BF52" s="3">
        <v>95.421179999999993</v>
      </c>
      <c r="BG52" s="3">
        <v>18.636559999999999</v>
      </c>
      <c r="BH52" s="3">
        <v>2.63476</v>
      </c>
      <c r="BI52" s="3">
        <v>88.306829999999991</v>
      </c>
    </row>
    <row r="53" spans="1:6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1" t="s">
        <v>105</v>
      </c>
      <c r="B54" s="7">
        <v>481.00139999999993</v>
      </c>
      <c r="C54" s="7">
        <v>458.37779099999995</v>
      </c>
      <c r="D54" s="7">
        <v>1887.5713150000001</v>
      </c>
      <c r="E54" s="7">
        <v>274.11688099999998</v>
      </c>
      <c r="F54" s="7">
        <v>1033.11824</v>
      </c>
      <c r="G54" s="7">
        <v>1921.0040499999998</v>
      </c>
      <c r="H54" s="7">
        <v>273.79588999999999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336.91800300000006</v>
      </c>
      <c r="O54" s="7">
        <v>780.23934700000007</v>
      </c>
      <c r="P54" s="7">
        <v>863.46257099999991</v>
      </c>
      <c r="Q54" s="7">
        <v>348.47808000000003</v>
      </c>
      <c r="R54" s="7">
        <v>719.97653999999989</v>
      </c>
      <c r="S54" s="7">
        <v>1235.753121</v>
      </c>
      <c r="T54" s="7">
        <v>446.80971900000009</v>
      </c>
      <c r="U54" s="7">
        <v>444.47138400000011</v>
      </c>
      <c r="V54" s="7">
        <v>2012.1899720000004</v>
      </c>
      <c r="W54" s="7">
        <v>618.62361399999998</v>
      </c>
      <c r="X54" s="7">
        <v>596.29598199999987</v>
      </c>
      <c r="Y54" s="7">
        <v>1917.7060819999999</v>
      </c>
      <c r="Z54" s="7">
        <v>481.00139999999999</v>
      </c>
      <c r="AA54" s="7">
        <v>458.37779100000006</v>
      </c>
      <c r="AB54" s="7">
        <v>1887.5713150000001</v>
      </c>
      <c r="AC54" s="7">
        <v>274.11688099999998</v>
      </c>
      <c r="AD54" s="7">
        <v>1033.1182399999998</v>
      </c>
      <c r="AE54" s="7">
        <v>1921.0040499999998</v>
      </c>
      <c r="AF54" s="7">
        <v>273.79588999999999</v>
      </c>
      <c r="AG54" s="7">
        <v>1297.2565566666667</v>
      </c>
      <c r="AH54" s="7">
        <v>1817.0202051901658</v>
      </c>
      <c r="AI54" s="7">
        <v>1100.5466399999998</v>
      </c>
      <c r="AJ54" s="7">
        <v>1325.4003499999999</v>
      </c>
      <c r="AK54" s="7">
        <v>1115.4153955359579</v>
      </c>
      <c r="AL54" s="7">
        <v>481.00139999999999</v>
      </c>
      <c r="AM54" s="7">
        <v>458.37779100000006</v>
      </c>
      <c r="AN54" s="7">
        <v>1887.5713150000001</v>
      </c>
      <c r="AO54" s="7">
        <v>274.11688099999998</v>
      </c>
      <c r="AP54" s="7">
        <v>1033.1182399999998</v>
      </c>
      <c r="AQ54" s="7">
        <v>1921.0040499999998</v>
      </c>
      <c r="AR54" s="7">
        <v>1090.7933866666669</v>
      </c>
      <c r="AS54" s="7">
        <v>1295.4773466666668</v>
      </c>
      <c r="AT54" s="7">
        <v>1815.3339988075197</v>
      </c>
      <c r="AU54" s="7">
        <v>1098.79412</v>
      </c>
      <c r="AV54" s="7">
        <v>1323.3915999999999</v>
      </c>
      <c r="AW54" s="7">
        <v>1113.728457480089</v>
      </c>
      <c r="AX54" s="7">
        <v>654.46061000000009</v>
      </c>
      <c r="AY54" s="7">
        <v>758.91154000000006</v>
      </c>
      <c r="AZ54" s="7">
        <v>2185.8180284376722</v>
      </c>
      <c r="BA54" s="7">
        <v>849.51256000000012</v>
      </c>
      <c r="BB54" s="7">
        <v>1741.20208</v>
      </c>
      <c r="BC54" s="7">
        <v>1251.4604884376718</v>
      </c>
      <c r="BD54" s="7">
        <v>954.49855000000025</v>
      </c>
      <c r="BE54" s="7">
        <v>1099.2481099999998</v>
      </c>
      <c r="BF54" s="7">
        <v>1303.101698437672</v>
      </c>
      <c r="BG54" s="7">
        <v>1043.5114599999999</v>
      </c>
      <c r="BH54" s="7">
        <v>1232.1064299999996</v>
      </c>
      <c r="BI54" s="7">
        <v>1038.311248437672</v>
      </c>
    </row>
    <row r="56" spans="1:61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0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1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</row>
    <row r="59" spans="1:61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</row>
    <row r="60" spans="1:61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0</v>
      </c>
      <c r="D60" s="244">
        <f t="shared" si="5"/>
        <v>0</v>
      </c>
      <c r="E60" s="244">
        <f t="shared" si="5"/>
        <v>0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0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0</v>
      </c>
      <c r="U60" s="244">
        <f t="shared" si="5"/>
        <v>0</v>
      </c>
      <c r="V60" s="244">
        <f t="shared" si="5"/>
        <v>0</v>
      </c>
      <c r="W60" s="244">
        <f t="shared" si="5"/>
        <v>0</v>
      </c>
      <c r="X60" s="244">
        <f t="shared" si="5"/>
        <v>0</v>
      </c>
      <c r="Y60" s="244">
        <f t="shared" si="5"/>
        <v>0</v>
      </c>
      <c r="Z60" s="244">
        <f t="shared" si="5"/>
        <v>0</v>
      </c>
      <c r="AA60" s="244">
        <f t="shared" si="5"/>
        <v>0</v>
      </c>
      <c r="AB60" s="244">
        <f t="shared" si="5"/>
        <v>0</v>
      </c>
      <c r="AC60" s="244">
        <f t="shared" si="5"/>
        <v>0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0</v>
      </c>
      <c r="AM60" s="244">
        <f t="shared" si="5"/>
        <v>0</v>
      </c>
      <c r="AN60" s="244">
        <f t="shared" si="5"/>
        <v>0</v>
      </c>
      <c r="AO60" s="244">
        <f t="shared" si="5"/>
        <v>0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</row>
    <row r="61" spans="1:61" x14ac:dyDescent="0.25">
      <c r="A61" s="1" t="s">
        <v>110</v>
      </c>
      <c r="B61" s="244">
        <f>SUM(B12:B23,B43:B44,B52)-B54</f>
        <v>0</v>
      </c>
      <c r="C61" s="244">
        <f t="shared" ref="C61:BI61" si="6">SUM(C12:C23,C43:C44,C52)-C54</f>
        <v>0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0</v>
      </c>
      <c r="O61" s="244">
        <f t="shared" si="6"/>
        <v>0</v>
      </c>
      <c r="P61" s="244">
        <f t="shared" si="6"/>
        <v>0</v>
      </c>
      <c r="Q61" s="244">
        <f t="shared" si="6"/>
        <v>0</v>
      </c>
      <c r="R61" s="244">
        <f t="shared" si="6"/>
        <v>0</v>
      </c>
      <c r="S61" s="244">
        <f t="shared" si="6"/>
        <v>0</v>
      </c>
      <c r="T61" s="244">
        <f t="shared" si="6"/>
        <v>0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0</v>
      </c>
      <c r="Y61" s="244">
        <f t="shared" si="6"/>
        <v>0</v>
      </c>
      <c r="Z61" s="244">
        <f t="shared" si="6"/>
        <v>0</v>
      </c>
      <c r="AA61" s="244">
        <f t="shared" si="6"/>
        <v>0</v>
      </c>
      <c r="AB61" s="244">
        <f t="shared" si="6"/>
        <v>0</v>
      </c>
      <c r="AC61" s="244">
        <f t="shared" si="6"/>
        <v>0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0</v>
      </c>
      <c r="AM61" s="244">
        <f t="shared" si="6"/>
        <v>0</v>
      </c>
      <c r="AN61" s="244">
        <f t="shared" si="6"/>
        <v>0</v>
      </c>
      <c r="AO61" s="244">
        <f t="shared" si="6"/>
        <v>0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</row>
    <row r="62" spans="1:61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0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0</v>
      </c>
      <c r="O62" s="244">
        <f t="shared" si="7"/>
        <v>0</v>
      </c>
      <c r="P62" s="244">
        <f t="shared" si="7"/>
        <v>0</v>
      </c>
      <c r="Q62" s="244">
        <f t="shared" si="7"/>
        <v>0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0</v>
      </c>
      <c r="V62" s="244">
        <f t="shared" si="7"/>
        <v>0</v>
      </c>
      <c r="W62" s="244">
        <f t="shared" si="7"/>
        <v>0</v>
      </c>
      <c r="X62" s="244">
        <f t="shared" si="7"/>
        <v>0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</row>
    <row r="63" spans="1:61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0</v>
      </c>
      <c r="O63" s="244">
        <f t="shared" si="9"/>
        <v>0</v>
      </c>
      <c r="P63" s="244">
        <f t="shared" si="9"/>
        <v>0</v>
      </c>
      <c r="Q63" s="244">
        <f t="shared" si="9"/>
        <v>0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0</v>
      </c>
      <c r="V63" s="244">
        <f t="shared" si="9"/>
        <v>0</v>
      </c>
      <c r="W63" s="244">
        <f t="shared" si="9"/>
        <v>0</v>
      </c>
      <c r="X63" s="244">
        <f t="shared" si="9"/>
        <v>0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  <row r="64" spans="1:61" x14ac:dyDescent="0.25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x14ac:dyDescent="0.25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x14ac:dyDescent="0.2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BI68"/>
  <sheetViews>
    <sheetView workbookViewId="0">
      <selection sqref="A1:BI54"/>
    </sheetView>
  </sheetViews>
  <sheetFormatPr defaultRowHeight="15" x14ac:dyDescent="0.25"/>
  <cols>
    <col min="1" max="1" width="40.140625" bestFit="1" customWidth="1"/>
    <col min="2" max="37" width="10.5703125" bestFit="1" customWidth="1"/>
    <col min="50" max="61" width="10.5703125" bestFit="1" customWidth="1"/>
  </cols>
  <sheetData>
    <row r="1" spans="1:61" ht="14.45" x14ac:dyDescent="0.35">
      <c r="A1" s="1" t="s">
        <v>14</v>
      </c>
    </row>
    <row r="2" spans="1:61" ht="14.45" x14ac:dyDescent="0.35">
      <c r="A2" s="1" t="s">
        <v>59</v>
      </c>
    </row>
    <row r="3" spans="1:61" ht="14.45" x14ac:dyDescent="0.35">
      <c r="A3" s="1" t="s">
        <v>11</v>
      </c>
    </row>
    <row r="4" spans="1:61" ht="14.45" x14ac:dyDescent="0.35">
      <c r="A4" s="1" t="s">
        <v>10</v>
      </c>
    </row>
    <row r="5" spans="1:61" ht="14.45" x14ac:dyDescent="0.35">
      <c r="A5" s="1" t="s">
        <v>13</v>
      </c>
    </row>
    <row r="6" spans="1:61" ht="14.45" x14ac:dyDescent="0.35">
      <c r="A6" s="1" t="s">
        <v>60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4.4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4.45" x14ac:dyDescent="0.35">
      <c r="A8" s="257"/>
      <c r="B8" s="257" t="s">
        <v>12</v>
      </c>
      <c r="C8" s="257" t="s">
        <v>12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257" t="s">
        <v>12</v>
      </c>
      <c r="AJ8" s="1" t="s">
        <v>12</v>
      </c>
      <c r="AK8" s="1" t="s">
        <v>12</v>
      </c>
      <c r="AL8" s="1" t="s">
        <v>135</v>
      </c>
      <c r="AM8" s="1" t="s">
        <v>135</v>
      </c>
      <c r="AN8" s="1" t="s">
        <v>135</v>
      </c>
      <c r="AO8" s="1" t="s">
        <v>135</v>
      </c>
      <c r="AP8" s="1" t="s">
        <v>135</v>
      </c>
      <c r="AQ8" s="1" t="s">
        <v>135</v>
      </c>
      <c r="AR8" s="1" t="s">
        <v>135</v>
      </c>
      <c r="AS8" s="1" t="s">
        <v>135</v>
      </c>
      <c r="AT8" s="1" t="s">
        <v>135</v>
      </c>
      <c r="AU8" s="1" t="s">
        <v>135</v>
      </c>
      <c r="AV8" s="1" t="s">
        <v>135</v>
      </c>
      <c r="AW8" s="1" t="s">
        <v>135</v>
      </c>
      <c r="AX8" s="257" t="s">
        <v>12</v>
      </c>
      <c r="AY8" s="257" t="s">
        <v>12</v>
      </c>
      <c r="AZ8" s="257" t="s">
        <v>12</v>
      </c>
      <c r="BA8" s="257" t="s">
        <v>12</v>
      </c>
      <c r="BB8" s="257" t="s">
        <v>12</v>
      </c>
      <c r="BC8" s="257" t="s">
        <v>12</v>
      </c>
      <c r="BD8" s="257" t="s">
        <v>12</v>
      </c>
      <c r="BE8" s="257" t="s">
        <v>12</v>
      </c>
      <c r="BF8" s="257" t="s">
        <v>12</v>
      </c>
      <c r="BG8" s="257" t="s">
        <v>12</v>
      </c>
      <c r="BH8" s="257" t="s">
        <v>12</v>
      </c>
      <c r="BI8" s="257" t="s">
        <v>12</v>
      </c>
    </row>
    <row r="9" spans="1:61" ht="14.45" x14ac:dyDescent="0.35">
      <c r="A9" s="1"/>
      <c r="B9" s="5" t="s">
        <v>123</v>
      </c>
      <c r="C9" s="5" t="s">
        <v>123</v>
      </c>
      <c r="D9" s="5" t="s">
        <v>123</v>
      </c>
      <c r="E9" s="5" t="s">
        <v>123</v>
      </c>
      <c r="F9" s="5" t="s">
        <v>123</v>
      </c>
      <c r="G9" s="5" t="s">
        <v>123</v>
      </c>
      <c r="H9" s="5" t="s">
        <v>123</v>
      </c>
      <c r="I9" s="5" t="s">
        <v>123</v>
      </c>
      <c r="J9" s="5" t="s">
        <v>123</v>
      </c>
      <c r="K9" s="5" t="s">
        <v>123</v>
      </c>
      <c r="L9" s="5" t="s">
        <v>123</v>
      </c>
      <c r="M9" s="5" t="s">
        <v>123</v>
      </c>
      <c r="N9" s="5" t="s">
        <v>117</v>
      </c>
      <c r="O9" s="5" t="s">
        <v>117</v>
      </c>
      <c r="P9" s="5" t="s">
        <v>117</v>
      </c>
      <c r="Q9" s="5" t="s">
        <v>117</v>
      </c>
      <c r="R9" s="5" t="s">
        <v>117</v>
      </c>
      <c r="S9" s="5" t="s">
        <v>117</v>
      </c>
      <c r="T9" s="5" t="s">
        <v>117</v>
      </c>
      <c r="U9" s="5" t="s">
        <v>117</v>
      </c>
      <c r="V9" s="5" t="s">
        <v>117</v>
      </c>
      <c r="W9" s="5" t="s">
        <v>117</v>
      </c>
      <c r="X9" s="5" t="s">
        <v>117</v>
      </c>
      <c r="Y9" s="5" t="s">
        <v>117</v>
      </c>
      <c r="Z9" s="5" t="s">
        <v>123</v>
      </c>
      <c r="AA9" s="5" t="s">
        <v>123</v>
      </c>
      <c r="AB9" s="5" t="s">
        <v>123</v>
      </c>
      <c r="AC9" s="5" t="s">
        <v>123</v>
      </c>
      <c r="AD9" s="5" t="s">
        <v>123</v>
      </c>
      <c r="AE9" s="5" t="s">
        <v>123</v>
      </c>
      <c r="AF9" s="5" t="s">
        <v>123</v>
      </c>
      <c r="AG9" s="5" t="s">
        <v>123</v>
      </c>
      <c r="AH9" s="5" t="s">
        <v>123</v>
      </c>
      <c r="AI9" s="5" t="s">
        <v>123</v>
      </c>
      <c r="AJ9" s="5" t="s">
        <v>123</v>
      </c>
      <c r="AK9" s="5" t="s">
        <v>123</v>
      </c>
      <c r="AL9" s="5" t="s">
        <v>123</v>
      </c>
      <c r="AM9" s="5" t="s">
        <v>123</v>
      </c>
      <c r="AN9" s="5" t="s">
        <v>123</v>
      </c>
      <c r="AO9" s="5" t="s">
        <v>123</v>
      </c>
      <c r="AP9" s="5" t="s">
        <v>123</v>
      </c>
      <c r="AQ9" s="5" t="s">
        <v>123</v>
      </c>
      <c r="AR9" s="5" t="s">
        <v>123</v>
      </c>
      <c r="AS9" s="5" t="s">
        <v>123</v>
      </c>
      <c r="AT9" s="5" t="s">
        <v>123</v>
      </c>
      <c r="AU9" s="5" t="s">
        <v>123</v>
      </c>
      <c r="AV9" s="5" t="s">
        <v>123</v>
      </c>
      <c r="AW9" s="5" t="s">
        <v>123</v>
      </c>
      <c r="AX9" s="5" t="s">
        <v>123</v>
      </c>
      <c r="AY9" s="5" t="s">
        <v>123</v>
      </c>
      <c r="AZ9" s="5" t="s">
        <v>123</v>
      </c>
      <c r="BA9" s="5" t="s">
        <v>123</v>
      </c>
      <c r="BB9" s="5" t="s">
        <v>123</v>
      </c>
      <c r="BC9" s="5" t="s">
        <v>123</v>
      </c>
      <c r="BD9" s="5" t="s">
        <v>123</v>
      </c>
      <c r="BE9" s="5" t="s">
        <v>123</v>
      </c>
      <c r="BF9" s="5" t="s">
        <v>123</v>
      </c>
      <c r="BG9" s="5" t="s">
        <v>123</v>
      </c>
      <c r="BH9" s="5" t="s">
        <v>123</v>
      </c>
      <c r="BI9" s="5" t="s">
        <v>123</v>
      </c>
    </row>
    <row r="10" spans="1:61" ht="14.45" x14ac:dyDescent="0.35">
      <c r="A10" s="1"/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5" t="s">
        <v>22</v>
      </c>
      <c r="J10" s="5" t="s">
        <v>23</v>
      </c>
      <c r="K10" s="5" t="s">
        <v>24</v>
      </c>
      <c r="L10" s="5" t="s">
        <v>25</v>
      </c>
      <c r="M10" s="5" t="s">
        <v>26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15</v>
      </c>
      <c r="AA10" s="5" t="s">
        <v>16</v>
      </c>
      <c r="AB10" s="5" t="s">
        <v>17</v>
      </c>
      <c r="AC10" s="5" t="s">
        <v>18</v>
      </c>
      <c r="AD10" s="5" t="s">
        <v>19</v>
      </c>
      <c r="AE10" s="5" t="s">
        <v>20</v>
      </c>
      <c r="AF10" s="5" t="s">
        <v>21</v>
      </c>
      <c r="AG10" s="5" t="s">
        <v>22</v>
      </c>
      <c r="AH10" s="5" t="s">
        <v>23</v>
      </c>
      <c r="AI10" s="5" t="s">
        <v>24</v>
      </c>
      <c r="AJ10" s="5" t="s">
        <v>25</v>
      </c>
      <c r="AK10" s="5" t="s">
        <v>26</v>
      </c>
      <c r="AL10" s="5" t="s">
        <v>15</v>
      </c>
      <c r="AM10" s="5" t="s">
        <v>16</v>
      </c>
      <c r="AN10" s="5" t="s">
        <v>17</v>
      </c>
      <c r="AO10" s="5" t="s">
        <v>18</v>
      </c>
      <c r="AP10" s="5" t="s">
        <v>19</v>
      </c>
      <c r="AQ10" s="5" t="s">
        <v>20</v>
      </c>
      <c r="AR10" s="5" t="s">
        <v>21</v>
      </c>
      <c r="AS10" s="5" t="s">
        <v>22</v>
      </c>
      <c r="AT10" s="5" t="s">
        <v>23</v>
      </c>
      <c r="AU10" s="5" t="s">
        <v>24</v>
      </c>
      <c r="AV10" s="5" t="s">
        <v>25</v>
      </c>
      <c r="AW10" s="5" t="s">
        <v>26</v>
      </c>
      <c r="AX10" s="5" t="s">
        <v>15</v>
      </c>
      <c r="AY10" s="5" t="s">
        <v>16</v>
      </c>
      <c r="AZ10" s="5" t="s">
        <v>17</v>
      </c>
      <c r="BA10" s="5" t="s">
        <v>18</v>
      </c>
      <c r="BB10" s="5" t="s">
        <v>19</v>
      </c>
      <c r="BC10" s="5" t="s">
        <v>20</v>
      </c>
      <c r="BD10" s="5" t="s">
        <v>21</v>
      </c>
      <c r="BE10" s="5" t="s">
        <v>22</v>
      </c>
      <c r="BF10" s="5" t="s">
        <v>23</v>
      </c>
      <c r="BG10" s="5" t="s">
        <v>24</v>
      </c>
      <c r="BH10" s="5" t="s">
        <v>25</v>
      </c>
      <c r="BI10" s="5" t="s">
        <v>26</v>
      </c>
    </row>
    <row r="11" spans="1:61" ht="14.45" x14ac:dyDescent="0.35">
      <c r="A11" s="1"/>
      <c r="B11" s="6" t="s">
        <v>8</v>
      </c>
      <c r="C11" s="6" t="s">
        <v>8</v>
      </c>
      <c r="D11" s="6" t="s">
        <v>8</v>
      </c>
      <c r="E11" s="6" t="s">
        <v>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8</v>
      </c>
      <c r="O11" s="6" t="s">
        <v>8</v>
      </c>
      <c r="P11" s="6" t="s">
        <v>8</v>
      </c>
      <c r="Q11" s="6" t="s">
        <v>8</v>
      </c>
      <c r="R11" s="6" t="s">
        <v>8</v>
      </c>
      <c r="S11" s="6" t="s">
        <v>8</v>
      </c>
      <c r="T11" s="6" t="s">
        <v>8</v>
      </c>
      <c r="U11" s="6" t="s">
        <v>8</v>
      </c>
      <c r="V11" s="6" t="s">
        <v>8</v>
      </c>
      <c r="W11" s="6" t="s">
        <v>8</v>
      </c>
      <c r="X11" s="6" t="s">
        <v>8</v>
      </c>
      <c r="Y11" s="6" t="s">
        <v>8</v>
      </c>
      <c r="Z11" s="6" t="s">
        <v>9</v>
      </c>
      <c r="AA11" s="6" t="s">
        <v>9</v>
      </c>
      <c r="AB11" s="6" t="s">
        <v>9</v>
      </c>
      <c r="AC11" s="6" t="s">
        <v>9</v>
      </c>
      <c r="AD11" s="6" t="s">
        <v>9</v>
      </c>
      <c r="AE11" s="6" t="s">
        <v>9</v>
      </c>
      <c r="AF11" s="6" t="s">
        <v>9</v>
      </c>
      <c r="AG11" s="6" t="s">
        <v>9</v>
      </c>
      <c r="AH11" s="6" t="s">
        <v>9</v>
      </c>
      <c r="AI11" s="6" t="s">
        <v>9</v>
      </c>
      <c r="AJ11" s="6" t="s">
        <v>9</v>
      </c>
      <c r="AK11" s="6" t="s">
        <v>9</v>
      </c>
      <c r="AL11" s="6" t="s">
        <v>9</v>
      </c>
      <c r="AM11" s="6" t="s">
        <v>9</v>
      </c>
      <c r="AN11" s="6" t="s">
        <v>9</v>
      </c>
      <c r="AO11" s="6" t="s">
        <v>9</v>
      </c>
      <c r="AP11" s="6" t="s">
        <v>9</v>
      </c>
      <c r="AQ11" s="6" t="s">
        <v>9</v>
      </c>
      <c r="AR11" s="6" t="s">
        <v>9</v>
      </c>
      <c r="AS11" s="6" t="s">
        <v>9</v>
      </c>
      <c r="AT11" s="6" t="s">
        <v>9</v>
      </c>
      <c r="AU11" s="6" t="s">
        <v>9</v>
      </c>
      <c r="AV11" s="6" t="s">
        <v>9</v>
      </c>
      <c r="AW11" s="6" t="s">
        <v>9</v>
      </c>
      <c r="AX11" s="6" t="s">
        <v>7</v>
      </c>
      <c r="AY11" s="6" t="s">
        <v>7</v>
      </c>
      <c r="AZ11" s="6" t="s">
        <v>7</v>
      </c>
      <c r="BA11" s="6" t="s">
        <v>7</v>
      </c>
      <c r="BB11" s="6" t="s">
        <v>7</v>
      </c>
      <c r="BC11" s="6" t="s">
        <v>7</v>
      </c>
      <c r="BD11" s="6" t="s">
        <v>7</v>
      </c>
      <c r="BE11" s="6" t="s">
        <v>7</v>
      </c>
      <c r="BF11" s="6" t="s">
        <v>7</v>
      </c>
      <c r="BG11" s="6" t="s">
        <v>7</v>
      </c>
      <c r="BH11" s="6" t="s">
        <v>7</v>
      </c>
      <c r="BI11" s="6" t="s">
        <v>7</v>
      </c>
    </row>
    <row r="12" spans="1:61" ht="14.45" x14ac:dyDescent="0.35">
      <c r="A12" s="1" t="s">
        <v>124</v>
      </c>
      <c r="B12" s="3">
        <v>-18.168579999999999</v>
      </c>
      <c r="C12" s="3">
        <v>-7.0907299999999998</v>
      </c>
      <c r="D12" s="3">
        <v>19.522540000000006</v>
      </c>
      <c r="E12" s="3">
        <v>-27.919800000000002</v>
      </c>
      <c r="F12" s="3">
        <v>-4.6982500000000016</v>
      </c>
      <c r="G12" s="3">
        <v>25.710109999999997</v>
      </c>
      <c r="H12" s="3">
        <v>-20.9283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-5.1728100000000001</v>
      </c>
      <c r="O12" s="3">
        <v>-4.2615199999999973</v>
      </c>
      <c r="P12" s="3">
        <v>-1.1980299999999957</v>
      </c>
      <c r="Q12" s="3">
        <v>-6.5420599999999993</v>
      </c>
      <c r="R12" s="3">
        <v>3.8920299999999983</v>
      </c>
      <c r="S12" s="3">
        <v>14.569790000000001</v>
      </c>
      <c r="T12" s="3">
        <v>-15.865569999999998</v>
      </c>
      <c r="U12" s="3">
        <v>-13.14527</v>
      </c>
      <c r="V12" s="3">
        <v>16.096099999999996</v>
      </c>
      <c r="W12" s="3">
        <v>-9.2817900000000009</v>
      </c>
      <c r="X12" s="3">
        <v>-2.489880000000003</v>
      </c>
      <c r="Y12" s="3">
        <v>20.533150000000006</v>
      </c>
      <c r="Z12" s="3">
        <v>-18.168579999999999</v>
      </c>
      <c r="AA12" s="3">
        <v>-7.0907299999999998</v>
      </c>
      <c r="AB12" s="3">
        <v>19.522540000000006</v>
      </c>
      <c r="AC12" s="3">
        <v>-27.919800000000002</v>
      </c>
      <c r="AD12" s="3">
        <v>-4.6982500000000016</v>
      </c>
      <c r="AE12" s="3">
        <v>25.710109999999997</v>
      </c>
      <c r="AF12" s="3">
        <v>-20.9283</v>
      </c>
      <c r="AG12" s="3">
        <v>-0.86089987922283784</v>
      </c>
      <c r="AH12" s="3">
        <v>-0.89401141303910103</v>
      </c>
      <c r="AI12" s="3">
        <v>-0.91056717994723235</v>
      </c>
      <c r="AJ12" s="3">
        <v>-0.96023448067162687</v>
      </c>
      <c r="AK12" s="3">
        <v>-0.99003486110626349</v>
      </c>
      <c r="AL12" s="3">
        <v>-18.168579999999999</v>
      </c>
      <c r="AM12" s="3">
        <v>-7.0907299999999998</v>
      </c>
      <c r="AN12" s="3">
        <v>19.522540000000006</v>
      </c>
      <c r="AO12" s="3">
        <v>-27.919800000000002</v>
      </c>
      <c r="AP12" s="3">
        <v>-4.6982500000000016</v>
      </c>
      <c r="AQ12" s="3">
        <v>25.710109999999997</v>
      </c>
      <c r="AR12" s="3">
        <v>-0.809400320236487</v>
      </c>
      <c r="AS12" s="3">
        <v>-0.85895544188361883</v>
      </c>
      <c r="AT12" s="3">
        <v>-0.89199218964837335</v>
      </c>
      <c r="AU12" s="3">
        <v>-0.90851056353075044</v>
      </c>
      <c r="AV12" s="3">
        <v>-0.95806568517788249</v>
      </c>
      <c r="AW12" s="3">
        <v>-0.98779875816616147</v>
      </c>
      <c r="AX12" s="3">
        <v>-0.40059334316132755</v>
      </c>
      <c r="AY12" s="3">
        <v>-0.43140821571219878</v>
      </c>
      <c r="AZ12" s="3">
        <v>-0.58548257846655549</v>
      </c>
      <c r="BA12" s="3">
        <v>-0.64711232356829829</v>
      </c>
      <c r="BB12" s="3">
        <v>-0.69333463239460524</v>
      </c>
      <c r="BC12" s="3">
        <v>-0.75496437749634815</v>
      </c>
      <c r="BD12" s="3">
        <v>-0.75496437749634815</v>
      </c>
      <c r="BE12" s="3">
        <v>-0.80118668632265511</v>
      </c>
      <c r="BF12" s="3">
        <v>-0.83200155887352656</v>
      </c>
      <c r="BG12" s="3">
        <v>-0.84740899514896195</v>
      </c>
      <c r="BH12" s="3">
        <v>-0.89363130397526913</v>
      </c>
      <c r="BI12" s="3">
        <v>-0.92136468927105331</v>
      </c>
    </row>
    <row r="13" spans="1:61" ht="14.45" x14ac:dyDescent="0.35">
      <c r="A13" s="1" t="s">
        <v>125</v>
      </c>
      <c r="B13" s="3">
        <v>0.2546400000000002</v>
      </c>
      <c r="C13" s="3">
        <v>2.1841900000000001</v>
      </c>
      <c r="D13" s="3">
        <v>3.7537700000000003</v>
      </c>
      <c r="E13" s="3">
        <v>-1.8411399999999998</v>
      </c>
      <c r="F13" s="3">
        <v>3.8192199999999996</v>
      </c>
      <c r="G13" s="3">
        <v>4.6147299999999998</v>
      </c>
      <c r="H13" s="3">
        <v>-1.4541600000000001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-0.18045999999999998</v>
      </c>
      <c r="O13" s="3">
        <v>1.3239300000000001</v>
      </c>
      <c r="P13" s="3">
        <v>-0.53800000000000003</v>
      </c>
      <c r="Q13" s="3">
        <v>-0.31623000000000001</v>
      </c>
      <c r="R13" s="3">
        <v>2.8058599999999996</v>
      </c>
      <c r="S13" s="3">
        <v>6.8038899999999991</v>
      </c>
      <c r="T13" s="3">
        <v>1.2349899999999998</v>
      </c>
      <c r="U13" s="3">
        <v>0.79952999999999974</v>
      </c>
      <c r="V13" s="3">
        <v>2.9147500000000002</v>
      </c>
      <c r="W13" s="3">
        <v>2.4414799999999994</v>
      </c>
      <c r="X13" s="3">
        <v>2.9267199999999995</v>
      </c>
      <c r="Y13" s="3">
        <v>2.6140499999999998</v>
      </c>
      <c r="Z13" s="3">
        <v>0.2546400000000002</v>
      </c>
      <c r="AA13" s="3">
        <v>2.1841900000000001</v>
      </c>
      <c r="AB13" s="3">
        <v>3.7537700000000003</v>
      </c>
      <c r="AC13" s="3">
        <v>-1.8411399999999998</v>
      </c>
      <c r="AD13" s="3">
        <v>3.8192199999999996</v>
      </c>
      <c r="AE13" s="3">
        <v>4.6147299999999998</v>
      </c>
      <c r="AF13" s="3">
        <v>-1.4541600000000001</v>
      </c>
      <c r="AG13" s="3">
        <v>-0.82296772730982604</v>
      </c>
      <c r="AH13" s="3">
        <v>-0.8546203322063578</v>
      </c>
      <c r="AI13" s="3">
        <v>-0.87044663465462369</v>
      </c>
      <c r="AJ13" s="3">
        <v>-0.91792554199942122</v>
      </c>
      <c r="AK13" s="3">
        <v>-0.94641288640629961</v>
      </c>
      <c r="AL13" s="3">
        <v>0.2546400000000002</v>
      </c>
      <c r="AM13" s="3">
        <v>2.1841900000000001</v>
      </c>
      <c r="AN13" s="3">
        <v>3.7537700000000003</v>
      </c>
      <c r="AO13" s="3">
        <v>-1.8411399999999998</v>
      </c>
      <c r="AP13" s="3">
        <v>3.8192199999999996</v>
      </c>
      <c r="AQ13" s="3">
        <v>4.6147299999999998</v>
      </c>
      <c r="AR13" s="3">
        <v>-0.77373729292445292</v>
      </c>
      <c r="AS13" s="3">
        <v>-0.82110896391982757</v>
      </c>
      <c r="AT13" s="3">
        <v>-0.852690077916744</v>
      </c>
      <c r="AU13" s="3">
        <v>-0.86848063491520211</v>
      </c>
      <c r="AV13" s="3">
        <v>-0.91585230591057665</v>
      </c>
      <c r="AW13" s="3">
        <v>-0.94427530850780139</v>
      </c>
      <c r="AX13" s="3">
        <v>-0.38294278016920108</v>
      </c>
      <c r="AY13" s="3">
        <v>-0.41239991710529333</v>
      </c>
      <c r="AZ13" s="3">
        <v>-0.55968560178575522</v>
      </c>
      <c r="BA13" s="3">
        <v>-0.61859987565794006</v>
      </c>
      <c r="BB13" s="3">
        <v>-0.66278558106207852</v>
      </c>
      <c r="BC13" s="3">
        <v>-0.72169985493426358</v>
      </c>
      <c r="BD13" s="3">
        <v>-0.72169985493426358</v>
      </c>
      <c r="BE13" s="3">
        <v>-0.76588556033840216</v>
      </c>
      <c r="BF13" s="3">
        <v>-0.79534269727449458</v>
      </c>
      <c r="BG13" s="3">
        <v>-0.81007126574254062</v>
      </c>
      <c r="BH13" s="3">
        <v>-0.85425697114667909</v>
      </c>
      <c r="BI13" s="3">
        <v>-0.88076839438916221</v>
      </c>
    </row>
    <row r="14" spans="1:61" ht="14.45" x14ac:dyDescent="0.35">
      <c r="A14" s="1" t="s">
        <v>40</v>
      </c>
      <c r="B14" s="3">
        <v>8.8480000000000003E-2</v>
      </c>
      <c r="C14" s="3">
        <v>-6.2120000000000009E-2</v>
      </c>
      <c r="D14" s="3">
        <v>0.31360999999999994</v>
      </c>
      <c r="E14" s="3">
        <v>-0.70191000000000003</v>
      </c>
      <c r="F14" s="3">
        <v>0.15181</v>
      </c>
      <c r="G14" s="3">
        <v>0.24357000000000006</v>
      </c>
      <c r="H14" s="3">
        <v>-0.42192000000000002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0.15891</v>
      </c>
      <c r="O14" s="3">
        <v>0.84040000000000004</v>
      </c>
      <c r="P14" s="3">
        <v>1.9428300000000001</v>
      </c>
      <c r="Q14" s="3">
        <v>8.4010000000000001E-2</v>
      </c>
      <c r="R14" s="3">
        <v>5.9839999999999997E-2</v>
      </c>
      <c r="S14" s="3">
        <v>1.1379999999999999</v>
      </c>
      <c r="T14" s="3">
        <v>0.14433000000000001</v>
      </c>
      <c r="U14" s="3">
        <v>0.31836999999999999</v>
      </c>
      <c r="V14" s="3">
        <v>3.5228999999999999</v>
      </c>
      <c r="W14" s="3">
        <v>0.83173000000000008</v>
      </c>
      <c r="X14" s="3">
        <v>1.8215299999999999</v>
      </c>
      <c r="Y14" s="3">
        <v>2.2491099999999999</v>
      </c>
      <c r="Z14" s="3">
        <v>8.8480000000000003E-2</v>
      </c>
      <c r="AA14" s="3">
        <v>-6.2120000000000009E-2</v>
      </c>
      <c r="AB14" s="3">
        <v>0.31360999999999994</v>
      </c>
      <c r="AC14" s="3">
        <v>-0.70191000000000003</v>
      </c>
      <c r="AD14" s="3">
        <v>0.15181</v>
      </c>
      <c r="AE14" s="3">
        <v>0.24357000000000006</v>
      </c>
      <c r="AF14" s="3">
        <v>-0.42192000000000002</v>
      </c>
      <c r="AG14" s="3">
        <v>-6.5744661363417028E-2</v>
      </c>
      <c r="AH14" s="3">
        <v>-6.8273302185086912E-2</v>
      </c>
      <c r="AI14" s="3">
        <v>-6.9537622595921833E-2</v>
      </c>
      <c r="AJ14" s="3">
        <v>-7.3330583828426665E-2</v>
      </c>
      <c r="AK14" s="3">
        <v>-7.5606360567929576E-2</v>
      </c>
      <c r="AL14" s="3">
        <v>8.8480000000000003E-2</v>
      </c>
      <c r="AM14" s="3">
        <v>-6.2120000000000009E-2</v>
      </c>
      <c r="AN14" s="3">
        <v>0.31360999999999994</v>
      </c>
      <c r="AO14" s="3">
        <v>-0.70191000000000003</v>
      </c>
      <c r="AP14" s="3">
        <v>0.15181</v>
      </c>
      <c r="AQ14" s="3">
        <v>0.24357000000000006</v>
      </c>
      <c r="AR14" s="3">
        <v>-6.1811775382553086E-2</v>
      </c>
      <c r="AS14" s="3">
        <v>-6.5596169793729786E-2</v>
      </c>
      <c r="AT14" s="3">
        <v>-6.8119099401180952E-2</v>
      </c>
      <c r="AU14" s="3">
        <v>-6.93805642049065E-2</v>
      </c>
      <c r="AV14" s="3">
        <v>-7.3164958616083214E-2</v>
      </c>
      <c r="AW14" s="3">
        <v>-7.5435595262789257E-2</v>
      </c>
      <c r="AX14" s="3">
        <v>-3.0592260872838936E-2</v>
      </c>
      <c r="AY14" s="3">
        <v>-3.2945511709211152E-2</v>
      </c>
      <c r="AZ14" s="3">
        <v>-4.4711765891072279E-2</v>
      </c>
      <c r="BA14" s="3">
        <v>-4.9418267563816724E-2</v>
      </c>
      <c r="BB14" s="3">
        <v>-5.2948143818375058E-2</v>
      </c>
      <c r="BC14" s="3">
        <v>-5.7654645491119531E-2</v>
      </c>
      <c r="BD14" s="3">
        <v>-5.7654645491119531E-2</v>
      </c>
      <c r="BE14" s="3">
        <v>-6.1184521745677872E-2</v>
      </c>
      <c r="BF14" s="3">
        <v>-6.3537772582050109E-2</v>
      </c>
      <c r="BG14" s="3">
        <v>-6.4714398000236206E-2</v>
      </c>
      <c r="BH14" s="3">
        <v>-6.8244274254794526E-2</v>
      </c>
      <c r="BI14" s="3">
        <v>-7.0362200007529532E-2</v>
      </c>
    </row>
    <row r="15" spans="1:61" ht="14.45" x14ac:dyDescent="0.35">
      <c r="A15" s="1" t="s">
        <v>41</v>
      </c>
      <c r="B15" s="3">
        <v>5.8780000000000006E-2</v>
      </c>
      <c r="C15" s="3">
        <v>1.98E-3</v>
      </c>
      <c r="D15" s="3">
        <v>0</v>
      </c>
      <c r="E15" s="3">
        <v>0</v>
      </c>
      <c r="F15" s="3">
        <v>0.20438999999999999</v>
      </c>
      <c r="G15" s="3">
        <v>2.8289999999999999E-2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0.57652000000000003</v>
      </c>
      <c r="O15" s="3">
        <v>0</v>
      </c>
      <c r="P15" s="3">
        <v>5.9998000000000003E-2</v>
      </c>
      <c r="Q15" s="3">
        <v>-1.9999999999999999E-6</v>
      </c>
      <c r="R15" s="3">
        <v>2.9308000000000001E-2</v>
      </c>
      <c r="S15" s="3">
        <v>-1.9999999999999999E-6</v>
      </c>
      <c r="T15" s="3">
        <v>1.2005999999999999E-2</v>
      </c>
      <c r="U15" s="3">
        <v>1.3793E-2</v>
      </c>
      <c r="V15" s="3">
        <v>0.26594399999999996</v>
      </c>
      <c r="W15" s="3">
        <v>1.1283E-2</v>
      </c>
      <c r="X15" s="3">
        <v>2.2339999999999999E-3</v>
      </c>
      <c r="Y15" s="3">
        <v>0.96327399999999996</v>
      </c>
      <c r="Z15" s="3">
        <v>5.8780000000000006E-2</v>
      </c>
      <c r="AA15" s="3">
        <v>1.98E-3</v>
      </c>
      <c r="AB15" s="3">
        <v>0</v>
      </c>
      <c r="AC15" s="3">
        <v>0</v>
      </c>
      <c r="AD15" s="3">
        <v>0.20438999999999999</v>
      </c>
      <c r="AE15" s="3">
        <v>2.8289999999999999E-2</v>
      </c>
      <c r="AF15" s="3">
        <v>0</v>
      </c>
      <c r="AG15" s="3">
        <v>-2.7176426942965966E-2</v>
      </c>
      <c r="AH15" s="3">
        <v>-2.8221674133080049E-2</v>
      </c>
      <c r="AI15" s="3">
        <v>-2.874429772813708E-2</v>
      </c>
      <c r="AJ15" s="3">
        <v>-3.0312168513308195E-2</v>
      </c>
      <c r="AK15" s="3">
        <v>-3.1252890984410864E-2</v>
      </c>
      <c r="AL15" s="3">
        <v>5.8780000000000006E-2</v>
      </c>
      <c r="AM15" s="3">
        <v>1.98E-3</v>
      </c>
      <c r="AN15" s="3">
        <v>0</v>
      </c>
      <c r="AO15" s="3">
        <v>0</v>
      </c>
      <c r="AP15" s="3">
        <v>0.20438999999999999</v>
      </c>
      <c r="AQ15" s="3">
        <v>2.8289999999999999E-2</v>
      </c>
      <c r="AR15" s="3">
        <v>-2.5550716408947804E-2</v>
      </c>
      <c r="AS15" s="3">
        <v>-2.7115045985005831E-2</v>
      </c>
      <c r="AT15" s="3">
        <v>-2.8157932369044521E-2</v>
      </c>
      <c r="AU15" s="3">
        <v>-2.8679375561063859E-2</v>
      </c>
      <c r="AV15" s="3">
        <v>-3.0243705137121889E-2</v>
      </c>
      <c r="AW15" s="3">
        <v>-3.1182302882756703E-2</v>
      </c>
      <c r="AX15" s="3">
        <v>-1.2645716403271057E-2</v>
      </c>
      <c r="AY15" s="3">
        <v>-1.361846381890729E-2</v>
      </c>
      <c r="AZ15" s="3">
        <v>-1.8482200897088463E-2</v>
      </c>
      <c r="BA15" s="3">
        <v>-2.0427695728360937E-2</v>
      </c>
      <c r="BB15" s="3">
        <v>-2.1886816851815285E-2</v>
      </c>
      <c r="BC15" s="3">
        <v>-2.3832311683087762E-2</v>
      </c>
      <c r="BD15" s="3">
        <v>-2.3832311683087762E-2</v>
      </c>
      <c r="BE15" s="3">
        <v>-2.5291432806542113E-2</v>
      </c>
      <c r="BF15" s="3">
        <v>-2.6264180222178354E-2</v>
      </c>
      <c r="BG15" s="3">
        <v>-2.6750553929996465E-2</v>
      </c>
      <c r="BH15" s="3">
        <v>-2.8209675053450824E-2</v>
      </c>
      <c r="BI15" s="3">
        <v>-2.9085147727523429E-2</v>
      </c>
    </row>
    <row r="16" spans="1:61" ht="14.45" x14ac:dyDescent="0.35">
      <c r="A16" s="1" t="s">
        <v>43</v>
      </c>
      <c r="B16" s="3">
        <v>0.80541999999999991</v>
      </c>
      <c r="C16" s="3">
        <v>1.49E-3</v>
      </c>
      <c r="D16" s="3">
        <v>7.0790000000000006E-2</v>
      </c>
      <c r="E16" s="3">
        <v>0.22145999999999999</v>
      </c>
      <c r="F16" s="3">
        <v>0.65966199999999997</v>
      </c>
      <c r="G16" s="3">
        <v>0.14517100000000002</v>
      </c>
      <c r="H16" s="3">
        <v>0.5756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0.42218600000000001</v>
      </c>
      <c r="O16" s="3">
        <v>-6.0000000000000002E-6</v>
      </c>
      <c r="P16" s="3">
        <v>1.792924</v>
      </c>
      <c r="Q16" s="3">
        <v>1.404558</v>
      </c>
      <c r="R16" s="3">
        <v>0.50320900000000002</v>
      </c>
      <c r="S16" s="3">
        <v>0.46438299999999999</v>
      </c>
      <c r="T16" s="3">
        <v>0.49929399999999996</v>
      </c>
      <c r="U16" s="3">
        <v>2.4199999999999992E-4</v>
      </c>
      <c r="V16" s="3">
        <v>3.6923710000000001</v>
      </c>
      <c r="W16" s="3">
        <v>7.6299999999999996E-3</v>
      </c>
      <c r="X16" s="3">
        <v>0.33780700000000002</v>
      </c>
      <c r="Y16" s="3">
        <v>2.6550520000000004</v>
      </c>
      <c r="Z16" s="3">
        <v>0.80541999999999991</v>
      </c>
      <c r="AA16" s="3">
        <v>1.49E-3</v>
      </c>
      <c r="AB16" s="3">
        <v>7.0790000000000006E-2</v>
      </c>
      <c r="AC16" s="3">
        <v>0.22145999999999999</v>
      </c>
      <c r="AD16" s="3">
        <v>0.65966199999999997</v>
      </c>
      <c r="AE16" s="3">
        <v>0.14517100000000002</v>
      </c>
      <c r="AF16" s="3">
        <v>0.5756</v>
      </c>
      <c r="AG16" s="3">
        <v>-0.38031910870628638</v>
      </c>
      <c r="AH16" s="3">
        <v>-0.39494676673345125</v>
      </c>
      <c r="AI16" s="3">
        <v>-0.40226059574703354</v>
      </c>
      <c r="AJ16" s="3">
        <v>-0.42420208278778093</v>
      </c>
      <c r="AK16" s="3">
        <v>-0.43736697501222921</v>
      </c>
      <c r="AL16" s="3">
        <v>0.80541999999999991</v>
      </c>
      <c r="AM16" s="3">
        <v>1.49E-3</v>
      </c>
      <c r="AN16" s="3">
        <v>7.0790000000000006E-2</v>
      </c>
      <c r="AO16" s="3">
        <v>0.22145999999999999</v>
      </c>
      <c r="AP16" s="3">
        <v>0.65966199999999997</v>
      </c>
      <c r="AQ16" s="3">
        <v>0.14517100000000002</v>
      </c>
      <c r="AR16" s="3">
        <v>-0.35756818627598358</v>
      </c>
      <c r="AS16" s="3">
        <v>-0.37946011604798263</v>
      </c>
      <c r="AT16" s="3">
        <v>-0.39405473589598194</v>
      </c>
      <c r="AU16" s="3">
        <v>-0.40135204581998152</v>
      </c>
      <c r="AV16" s="3">
        <v>-0.42324397559198051</v>
      </c>
      <c r="AW16" s="3">
        <v>-0.43637913345517981</v>
      </c>
      <c r="AX16" s="3">
        <v>-0.17696982762074712</v>
      </c>
      <c r="AY16" s="3">
        <v>-0.19058289128388142</v>
      </c>
      <c r="AZ16" s="3">
        <v>-0.25864820959955337</v>
      </c>
      <c r="BA16" s="3">
        <v>-0.28587433692582215</v>
      </c>
      <c r="BB16" s="3">
        <v>-0.30629393242052372</v>
      </c>
      <c r="BC16" s="3">
        <v>-0.33352005974679261</v>
      </c>
      <c r="BD16" s="3">
        <v>-0.33352005974679261</v>
      </c>
      <c r="BE16" s="3">
        <v>-0.35393965524149423</v>
      </c>
      <c r="BF16" s="3">
        <v>-0.36755271890462859</v>
      </c>
      <c r="BG16" s="3">
        <v>-0.37435925073619569</v>
      </c>
      <c r="BH16" s="3">
        <v>-0.39477884623089732</v>
      </c>
      <c r="BI16" s="3">
        <v>-0.40703060352771819</v>
      </c>
    </row>
    <row r="17" spans="1:61" ht="14.45" x14ac:dyDescent="0.35">
      <c r="A17" s="1" t="s">
        <v>126</v>
      </c>
      <c r="B17" s="3">
        <v>-2.96306</v>
      </c>
      <c r="C17" s="3">
        <v>-1.1777040000000001</v>
      </c>
      <c r="D17" s="3">
        <v>-0.47173000000000032</v>
      </c>
      <c r="E17" s="3">
        <v>-3.4818380000000002</v>
      </c>
      <c r="F17" s="3">
        <v>-2.3687880000000003</v>
      </c>
      <c r="G17" s="3">
        <v>-0.78065900000000044</v>
      </c>
      <c r="H17" s="3">
        <v>-3.3371660000000003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-0.57465999999999984</v>
      </c>
      <c r="O17" s="3">
        <v>-1.0396899999999998</v>
      </c>
      <c r="P17" s="3">
        <v>-1.6602400000000002</v>
      </c>
      <c r="Q17" s="3">
        <v>-1.34432</v>
      </c>
      <c r="R17" s="3">
        <v>-1.0839699999999999</v>
      </c>
      <c r="S17" s="3">
        <v>-1.2900299999999998</v>
      </c>
      <c r="T17" s="3">
        <v>-1.7682</v>
      </c>
      <c r="U17" s="3">
        <v>-0.97769000000000017</v>
      </c>
      <c r="V17" s="3">
        <v>-0.14639999999999986</v>
      </c>
      <c r="W17" s="3">
        <v>-1.7685799999999998</v>
      </c>
      <c r="X17" s="3">
        <v>-0.21421000000000001</v>
      </c>
      <c r="Y17" s="3">
        <v>4.50596</v>
      </c>
      <c r="Z17" s="3">
        <v>-2.96306</v>
      </c>
      <c r="AA17" s="3">
        <v>-1.1777040000000001</v>
      </c>
      <c r="AB17" s="3">
        <v>-0.47173000000000032</v>
      </c>
      <c r="AC17" s="3">
        <v>-3.4818380000000002</v>
      </c>
      <c r="AD17" s="3">
        <v>-2.3687880000000003</v>
      </c>
      <c r="AE17" s="3">
        <v>-0.78065900000000044</v>
      </c>
      <c r="AF17" s="3">
        <v>-3.3371660000000003</v>
      </c>
      <c r="AG17" s="3">
        <v>-4.5754861582199692E-2</v>
      </c>
      <c r="AH17" s="3">
        <v>-4.7514663950745828E-2</v>
      </c>
      <c r="AI17" s="3">
        <v>-4.8394565135018892E-2</v>
      </c>
      <c r="AJ17" s="3">
        <v>-5.1034268687838114E-2</v>
      </c>
      <c r="AK17" s="3">
        <v>-5.2618090819529631E-2</v>
      </c>
      <c r="AL17" s="3">
        <v>-2.96306</v>
      </c>
      <c r="AM17" s="3">
        <v>-1.1777040000000001</v>
      </c>
      <c r="AN17" s="3">
        <v>-0.47173000000000032</v>
      </c>
      <c r="AO17" s="3">
        <v>-3.4818380000000002</v>
      </c>
      <c r="AP17" s="3">
        <v>-2.3687880000000003</v>
      </c>
      <c r="AQ17" s="3">
        <v>-0.78065900000000044</v>
      </c>
      <c r="AR17" s="3">
        <v>-4.3017777689131918E-2</v>
      </c>
      <c r="AS17" s="3">
        <v>-4.565151918030326E-2</v>
      </c>
      <c r="AT17" s="3">
        <v>-4.7407346841084157E-2</v>
      </c>
      <c r="AU17" s="3">
        <v>-4.8285260671474602E-2</v>
      </c>
      <c r="AV17" s="3">
        <v>-5.0919002162645943E-2</v>
      </c>
      <c r="AW17" s="3">
        <v>-5.2499247057348743E-2</v>
      </c>
      <c r="AX17" s="3">
        <v>-2.1290620906630198E-2</v>
      </c>
      <c r="AY17" s="3">
        <v>-2.2928360976370972E-2</v>
      </c>
      <c r="AZ17" s="3">
        <v>-3.1117061325074896E-2</v>
      </c>
      <c r="BA17" s="3">
        <v>-3.4392541464556461E-2</v>
      </c>
      <c r="BB17" s="3">
        <v>-3.6849151569167626E-2</v>
      </c>
      <c r="BC17" s="3">
        <v>-4.0124631708649217E-2</v>
      </c>
      <c r="BD17" s="3">
        <v>-4.0124631708649217E-2</v>
      </c>
      <c r="BE17" s="3">
        <v>-4.2581241813260395E-2</v>
      </c>
      <c r="BF17" s="3">
        <v>-4.4218981883001177E-2</v>
      </c>
      <c r="BG17" s="3">
        <v>-4.503785191787156E-2</v>
      </c>
      <c r="BH17" s="3">
        <v>-4.7494462022482739E-2</v>
      </c>
      <c r="BI17" s="3">
        <v>-4.8968428085249441E-2</v>
      </c>
    </row>
    <row r="18" spans="1:61" ht="14.45" x14ac:dyDescent="0.35">
      <c r="A18" s="1" t="s">
        <v>127</v>
      </c>
      <c r="B18" s="3">
        <v>-8.698500000000001</v>
      </c>
      <c r="C18" s="3">
        <v>-2.9581900000000005</v>
      </c>
      <c r="D18" s="3">
        <v>-8.7389799999999997</v>
      </c>
      <c r="E18" s="3">
        <v>-10.140739999999999</v>
      </c>
      <c r="F18" s="3">
        <v>-7.480220000000001</v>
      </c>
      <c r="G18" s="3">
        <v>-6.1707100000000015</v>
      </c>
      <c r="H18" s="3">
        <v>-9.4819800000000001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-1.3128199999999994</v>
      </c>
      <c r="O18" s="3">
        <v>-3.2958699999999999</v>
      </c>
      <c r="P18" s="3">
        <v>-5.0908300000000004</v>
      </c>
      <c r="Q18" s="3">
        <v>-1.1361299999999996</v>
      </c>
      <c r="R18" s="3">
        <v>-4.7790900000000001</v>
      </c>
      <c r="S18" s="3">
        <v>-2.6834500000000006</v>
      </c>
      <c r="T18" s="3">
        <v>-6.9603700000000011</v>
      </c>
      <c r="U18" s="3">
        <v>-4.8500999999999994</v>
      </c>
      <c r="V18" s="3">
        <v>-3.587548</v>
      </c>
      <c r="W18" s="3">
        <v>-5.0400970000000003</v>
      </c>
      <c r="X18" s="3">
        <v>-0.73006499999999974</v>
      </c>
      <c r="Y18" s="3">
        <v>-1.4934129999999994</v>
      </c>
      <c r="Z18" s="3">
        <v>-8.698500000000001</v>
      </c>
      <c r="AA18" s="3">
        <v>-2.9581900000000005</v>
      </c>
      <c r="AB18" s="3">
        <v>-8.7389799999999997</v>
      </c>
      <c r="AC18" s="3">
        <v>-10.140739999999999</v>
      </c>
      <c r="AD18" s="3">
        <v>-7.480220000000001</v>
      </c>
      <c r="AE18" s="3">
        <v>-6.1707100000000015</v>
      </c>
      <c r="AF18" s="3">
        <v>-9.4819800000000001</v>
      </c>
      <c r="AG18" s="3">
        <v>-0.1122502318539902</v>
      </c>
      <c r="AH18" s="3">
        <v>-0.11656754846375907</v>
      </c>
      <c r="AI18" s="3">
        <v>-0.11872620676864347</v>
      </c>
      <c r="AJ18" s="3">
        <v>-0.12520218168329675</v>
      </c>
      <c r="AK18" s="3">
        <v>-0.12908776663208871</v>
      </c>
      <c r="AL18" s="3">
        <v>-8.698500000000001</v>
      </c>
      <c r="AM18" s="3">
        <v>-2.9581900000000005</v>
      </c>
      <c r="AN18" s="3">
        <v>-8.7389799999999997</v>
      </c>
      <c r="AO18" s="3">
        <v>-10.140739999999999</v>
      </c>
      <c r="AP18" s="3">
        <v>-7.480220000000001</v>
      </c>
      <c r="AQ18" s="3">
        <v>-6.1707100000000015</v>
      </c>
      <c r="AR18" s="3">
        <v>-0.10553535411255682</v>
      </c>
      <c r="AS18" s="3">
        <v>-0.11199670232352965</v>
      </c>
      <c r="AT18" s="3">
        <v>-0.11630426779751157</v>
      </c>
      <c r="AU18" s="3">
        <v>-0.11845805053450252</v>
      </c>
      <c r="AV18" s="3">
        <v>-0.12491939874547536</v>
      </c>
      <c r="AW18" s="3">
        <v>-0.12879620767205907</v>
      </c>
      <c r="AX18" s="3">
        <v>-5.2232201135417697E-2</v>
      </c>
      <c r="AY18" s="3">
        <v>-5.6250062761219057E-2</v>
      </c>
      <c r="AZ18" s="3">
        <v>-7.6339370890225855E-2</v>
      </c>
      <c r="BA18" s="3">
        <v>-8.4375094141828574E-2</v>
      </c>
      <c r="BB18" s="3">
        <v>-9.0401886580530624E-2</v>
      </c>
      <c r="BC18" s="3">
        <v>-9.8437609832133371E-2</v>
      </c>
      <c r="BD18" s="3">
        <v>-9.8437609832133371E-2</v>
      </c>
      <c r="BE18" s="3">
        <v>-0.10446440227083539</v>
      </c>
      <c r="BF18" s="3">
        <v>-0.10848226389663677</v>
      </c>
      <c r="BG18" s="3">
        <v>-0.11049119470953744</v>
      </c>
      <c r="BH18" s="3">
        <v>-0.11651798714823948</v>
      </c>
      <c r="BI18" s="3">
        <v>-0.1201340626114607</v>
      </c>
    </row>
    <row r="19" spans="1:61" ht="14.45" x14ac:dyDescent="0.35">
      <c r="A19" s="1" t="s">
        <v>128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</row>
    <row r="20" spans="1:61" ht="14.45" x14ac:dyDescent="0.35">
      <c r="A20" s="1" t="s">
        <v>129</v>
      </c>
      <c r="B20" s="3">
        <v>0.10942</v>
      </c>
      <c r="C20" s="3">
        <v>0.14832999999999999</v>
      </c>
      <c r="D20" s="3">
        <v>0.17817</v>
      </c>
      <c r="E20" s="3">
        <v>1.6049999999999998E-2</v>
      </c>
      <c r="F20" s="3">
        <v>0.44912000000000002</v>
      </c>
      <c r="G20" s="3">
        <v>0.72555000000000003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4.5710000000000001E-2</v>
      </c>
      <c r="R20" s="3">
        <v>2.4119999999999999E-2</v>
      </c>
      <c r="S20" s="3">
        <v>1.09361</v>
      </c>
      <c r="T20" s="3">
        <v>0</v>
      </c>
      <c r="U20" s="3">
        <v>0</v>
      </c>
      <c r="V20" s="3">
        <v>3.4779999999999998E-2</v>
      </c>
      <c r="W20" s="3">
        <v>0</v>
      </c>
      <c r="X20" s="3">
        <v>1.6858599999999999</v>
      </c>
      <c r="Y20" s="3">
        <v>5.4559999999999997E-2</v>
      </c>
      <c r="Z20" s="3">
        <v>0.10942</v>
      </c>
      <c r="AA20" s="3">
        <v>0.14832999999999999</v>
      </c>
      <c r="AB20" s="3">
        <v>0.17817</v>
      </c>
      <c r="AC20" s="3">
        <v>1.6049999999999998E-2</v>
      </c>
      <c r="AD20" s="3">
        <v>0.44912000000000002</v>
      </c>
      <c r="AE20" s="3">
        <v>0.72555000000000003</v>
      </c>
      <c r="AF20" s="3">
        <v>0</v>
      </c>
      <c r="AG20" s="3">
        <v>-4.1055356553141811E-2</v>
      </c>
      <c r="AH20" s="3">
        <v>-4.2634408728262657E-2</v>
      </c>
      <c r="AI20" s="3">
        <v>-4.3423934815823073E-2</v>
      </c>
      <c r="AJ20" s="3">
        <v>-4.5792513078504321E-2</v>
      </c>
      <c r="AK20" s="3">
        <v>-4.7213660036113075E-2</v>
      </c>
      <c r="AL20" s="3">
        <v>0.10942</v>
      </c>
      <c r="AM20" s="3">
        <v>0.14832999999999999</v>
      </c>
      <c r="AN20" s="3">
        <v>0.17817</v>
      </c>
      <c r="AO20" s="3">
        <v>1.6049999999999998E-2</v>
      </c>
      <c r="AP20" s="3">
        <v>0.44912000000000002</v>
      </c>
      <c r="AQ20" s="3">
        <v>0.72555000000000003</v>
      </c>
      <c r="AR20" s="3">
        <v>-3.8599399934327004E-2</v>
      </c>
      <c r="AS20" s="3">
        <v>-4.096262850173478E-2</v>
      </c>
      <c r="AT20" s="3">
        <v>-4.2538114213339973E-2</v>
      </c>
      <c r="AU20" s="3">
        <v>-4.3325857069142555E-2</v>
      </c>
      <c r="AV20" s="3">
        <v>-4.5689085636550324E-2</v>
      </c>
      <c r="AW20" s="3">
        <v>-4.7107022776994988E-2</v>
      </c>
      <c r="AX20" s="3">
        <v>-1.9103850439786546E-2</v>
      </c>
      <c r="AY20" s="3">
        <v>-2.0573377396693196E-2</v>
      </c>
      <c r="AZ20" s="3">
        <v>-2.792101218122648E-2</v>
      </c>
      <c r="BA20" s="3">
        <v>-3.0860066095039801E-2</v>
      </c>
      <c r="BB20" s="3">
        <v>-3.3064356530399783E-2</v>
      </c>
      <c r="BC20" s="3">
        <v>-3.6003410444213103E-2</v>
      </c>
      <c r="BD20" s="3">
        <v>-3.6003410444213103E-2</v>
      </c>
      <c r="BE20" s="3">
        <v>-3.8207700879573092E-2</v>
      </c>
      <c r="BF20" s="3">
        <v>-3.9677227836479756E-2</v>
      </c>
      <c r="BG20" s="3">
        <v>-4.0411991314933074E-2</v>
      </c>
      <c r="BH20" s="3">
        <v>-4.2616281750293056E-2</v>
      </c>
      <c r="BI20" s="3">
        <v>-4.3938856011509049E-2</v>
      </c>
    </row>
    <row r="21" spans="1:61" ht="14.45" x14ac:dyDescent="0.35">
      <c r="A21" s="1" t="s">
        <v>130</v>
      </c>
      <c r="B21" s="3">
        <v>-11.145382999999999</v>
      </c>
      <c r="C21" s="3">
        <v>-16.315922999999998</v>
      </c>
      <c r="D21" s="3">
        <v>-18.366458999999999</v>
      </c>
      <c r="E21" s="3">
        <v>217.97842799999998</v>
      </c>
      <c r="F21" s="3">
        <v>-18.717393000000001</v>
      </c>
      <c r="G21" s="3">
        <v>-7.3191370000000013</v>
      </c>
      <c r="H21" s="3">
        <v>-23.466146999999999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-24.431303</v>
      </c>
      <c r="O21" s="3">
        <v>-22.397659000000001</v>
      </c>
      <c r="P21" s="3">
        <v>-16.694562000000001</v>
      </c>
      <c r="Q21" s="3">
        <v>-23.294323000000002</v>
      </c>
      <c r="R21" s="3">
        <v>-20.796768</v>
      </c>
      <c r="S21" s="3">
        <v>-4.2376179999999994</v>
      </c>
      <c r="T21" s="3">
        <v>-11.938983</v>
      </c>
      <c r="U21" s="3">
        <v>-16.391791000000001</v>
      </c>
      <c r="V21" s="3">
        <v>-10.552277999999999</v>
      </c>
      <c r="W21" s="3">
        <v>37.207096999999997</v>
      </c>
      <c r="X21" s="3">
        <v>-3.1289970000000005</v>
      </c>
      <c r="Y21" s="3">
        <v>-16.867825000000003</v>
      </c>
      <c r="Z21" s="3">
        <v>-11.145382999999999</v>
      </c>
      <c r="AA21" s="3">
        <v>-16.315922999999998</v>
      </c>
      <c r="AB21" s="3">
        <v>-18.366458999999999</v>
      </c>
      <c r="AC21" s="3">
        <v>217.97842799999998</v>
      </c>
      <c r="AD21" s="3">
        <v>-18.717393000000001</v>
      </c>
      <c r="AE21" s="3">
        <v>-7.3191370000000013</v>
      </c>
      <c r="AF21" s="3">
        <v>-23.466146999999999</v>
      </c>
      <c r="AG21" s="3">
        <v>-15.176385102738397</v>
      </c>
      <c r="AH21" s="3">
        <v>-15.267009052302948</v>
      </c>
      <c r="AI21" s="3">
        <v>-13.640125929599122</v>
      </c>
      <c r="AJ21" s="3">
        <v>-13.776061853945947</v>
      </c>
      <c r="AK21" s="3">
        <v>-13.857623408554042</v>
      </c>
      <c r="AL21" s="3">
        <v>-11.145382999999999</v>
      </c>
      <c r="AM21" s="3">
        <v>-16.315922999999998</v>
      </c>
      <c r="AN21" s="3">
        <v>-18.366458999999999</v>
      </c>
      <c r="AO21" s="3">
        <v>217.97842799999998</v>
      </c>
      <c r="AP21" s="3">
        <v>-18.717393000000001</v>
      </c>
      <c r="AQ21" s="3">
        <v>-7.3191370000000013</v>
      </c>
      <c r="AR21" s="3">
        <v>-15.006478664877864</v>
      </c>
      <c r="AS21" s="3">
        <v>-15.142107562945069</v>
      </c>
      <c r="AT21" s="3">
        <v>-15.232526828323209</v>
      </c>
      <c r="AU21" s="3">
        <v>-13.60931820060617</v>
      </c>
      <c r="AV21" s="3">
        <v>-13.744947098673379</v>
      </c>
      <c r="AW21" s="3">
        <v>-13.826324437513701</v>
      </c>
      <c r="AX21" s="3">
        <v>-16.658489518473779</v>
      </c>
      <c r="AY21" s="3">
        <v>-16.742827666968626</v>
      </c>
      <c r="AZ21" s="3">
        <v>-17.16451840944287</v>
      </c>
      <c r="BA21" s="3">
        <v>-15.776985347628496</v>
      </c>
      <c r="BB21" s="3">
        <v>-15.903492570370769</v>
      </c>
      <c r="BC21" s="3">
        <v>-16.072168867360467</v>
      </c>
      <c r="BD21" s="3">
        <v>-13.997223055621703</v>
      </c>
      <c r="BE21" s="3">
        <v>-14.123730278363976</v>
      </c>
      <c r="BF21" s="3">
        <v>-14.208068426858825</v>
      </c>
      <c r="BG21" s="3">
        <v>-12.694028142302175</v>
      </c>
      <c r="BH21" s="3">
        <v>-12.820535365044448</v>
      </c>
      <c r="BI21" s="3">
        <v>-12.896439698689813</v>
      </c>
    </row>
    <row r="22" spans="1:61" ht="14.45" x14ac:dyDescent="0.35">
      <c r="A22" s="1" t="s">
        <v>30</v>
      </c>
      <c r="B22" s="3">
        <v>0</v>
      </c>
      <c r="C22" s="3">
        <v>0</v>
      </c>
      <c r="D22" s="3">
        <v>3.1E-4</v>
      </c>
      <c r="E22" s="3">
        <v>1.0000000000000001E-5</v>
      </c>
      <c r="F22" s="3">
        <v>7.2999999999999996E-4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5.6600000000000001E-3</v>
      </c>
      <c r="P22" s="3">
        <v>1.5399999999999999E-3</v>
      </c>
      <c r="Q22" s="3">
        <v>0</v>
      </c>
      <c r="R22" s="3">
        <v>0.78710999999999998</v>
      </c>
      <c r="S22" s="3">
        <v>2.0699999999999998E-3</v>
      </c>
      <c r="T22" s="3">
        <v>0.10231999999999999</v>
      </c>
      <c r="U22" s="3">
        <v>0</v>
      </c>
      <c r="V22" s="3">
        <v>0</v>
      </c>
      <c r="W22" s="3">
        <v>-0.596889</v>
      </c>
      <c r="X22" s="3">
        <v>-1.0832310000000001</v>
      </c>
      <c r="Y22" s="3">
        <v>1.0897410000000001</v>
      </c>
      <c r="Z22" s="3">
        <v>0</v>
      </c>
      <c r="AA22" s="3">
        <v>0</v>
      </c>
      <c r="AB22" s="3">
        <v>3.1E-4</v>
      </c>
      <c r="AC22" s="3">
        <v>1.0000000000000001E-5</v>
      </c>
      <c r="AD22" s="3">
        <v>7.2999999999999996E-4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3.1E-4</v>
      </c>
      <c r="AO22" s="3">
        <v>1.0000000000000001E-5</v>
      </c>
      <c r="AP22" s="3">
        <v>7.2999999999999996E-4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</row>
    <row r="23" spans="1:61" ht="14.45" x14ac:dyDescent="0.35">
      <c r="A23" s="1" t="s">
        <v>52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</row>
    <row r="24" spans="1:6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1" t="s">
        <v>104</v>
      </c>
      <c r="B27" s="3">
        <v>-39.658783</v>
      </c>
      <c r="C27" s="3">
        <v>-25.268676999999997</v>
      </c>
      <c r="D27" s="3">
        <v>-3.7379789999999957</v>
      </c>
      <c r="E27" s="3">
        <v>175.47348</v>
      </c>
      <c r="F27" s="3">
        <v>-27.979719000000003</v>
      </c>
      <c r="G27" s="3">
        <v>17.196914999999983</v>
      </c>
      <c r="H27" s="3">
        <v>-58.514072999999996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-30.514437000000001</v>
      </c>
      <c r="O27" s="3">
        <v>-28.824755</v>
      </c>
      <c r="P27" s="3">
        <v>-21.384369999999997</v>
      </c>
      <c r="Q27" s="3">
        <v>-31.098787000000002</v>
      </c>
      <c r="R27" s="3">
        <v>-18.558350999999991</v>
      </c>
      <c r="S27" s="3">
        <v>15.862522999999994</v>
      </c>
      <c r="T27" s="3">
        <v>-34.540183000000013</v>
      </c>
      <c r="U27" s="3">
        <v>-34.232915999999996</v>
      </c>
      <c r="V27" s="3">
        <v>12.34759</v>
      </c>
      <c r="W27" s="3">
        <v>23.812446999999992</v>
      </c>
      <c r="X27" s="3">
        <v>-0.87177199999999466</v>
      </c>
      <c r="Y27" s="3">
        <v>16.893632</v>
      </c>
      <c r="Z27" s="3">
        <v>-39.658783</v>
      </c>
      <c r="AA27" s="3">
        <v>-25.268676999999997</v>
      </c>
      <c r="AB27" s="3">
        <v>-3.7379789999999957</v>
      </c>
      <c r="AC27" s="3">
        <v>175.47348</v>
      </c>
      <c r="AD27" s="3">
        <v>-27.979719000000003</v>
      </c>
      <c r="AE27" s="3">
        <v>17.196914999999983</v>
      </c>
      <c r="AF27" s="3">
        <v>-58.514072999999996</v>
      </c>
      <c r="AG27" s="3">
        <v>-17.532553356273063</v>
      </c>
      <c r="AH27" s="3">
        <v>-17.713799161742791</v>
      </c>
      <c r="AI27" s="3">
        <v>-16.13222696699156</v>
      </c>
      <c r="AJ27" s="3">
        <v>-16.404095675196153</v>
      </c>
      <c r="AK27" s="3">
        <v>-16.567216900118908</v>
      </c>
      <c r="AL27" s="3">
        <v>-39.658783</v>
      </c>
      <c r="AM27" s="3">
        <v>-25.268676999999997</v>
      </c>
      <c r="AN27" s="3">
        <v>-3.7379789999999957</v>
      </c>
      <c r="AO27" s="3">
        <v>175.47348</v>
      </c>
      <c r="AP27" s="3">
        <v>-27.979719000000003</v>
      </c>
      <c r="AQ27" s="3">
        <v>17.196914999999983</v>
      </c>
      <c r="AR27" s="3">
        <v>-17.221699487842304</v>
      </c>
      <c r="AS27" s="3">
        <v>-17.4929541505808</v>
      </c>
      <c r="AT27" s="3">
        <v>-17.673790592406469</v>
      </c>
      <c r="AU27" s="3">
        <v>-16.095790552913193</v>
      </c>
      <c r="AV27" s="3">
        <v>-16.367045215651693</v>
      </c>
      <c r="AW27" s="3">
        <v>-16.529798013294794</v>
      </c>
      <c r="AX27" s="3">
        <v>-17.754860119182997</v>
      </c>
      <c r="AY27" s="3">
        <v>-17.923534467732402</v>
      </c>
      <c r="AZ27" s="3">
        <v>-18.766906210479423</v>
      </c>
      <c r="BA27" s="3">
        <v>-17.548045548774159</v>
      </c>
      <c r="BB27" s="3">
        <v>-17.801057071598265</v>
      </c>
      <c r="BC27" s="3">
        <v>-18.138405768697076</v>
      </c>
      <c r="BD27" s="3">
        <v>-16.063459956958312</v>
      </c>
      <c r="BE27" s="3">
        <v>-16.316471479782415</v>
      </c>
      <c r="BF27" s="3">
        <v>-16.48514582833182</v>
      </c>
      <c r="BG27" s="3">
        <v>-15.013273643802448</v>
      </c>
      <c r="BH27" s="3">
        <v>-15.266285166626554</v>
      </c>
      <c r="BI27" s="3">
        <v>-15.418092080321017</v>
      </c>
    </row>
    <row r="28" spans="1:61" x14ac:dyDescent="0.25">
      <c r="A28" s="1" t="s">
        <v>97</v>
      </c>
      <c r="B28" s="3">
        <v>-39.658783</v>
      </c>
      <c r="C28" s="3">
        <v>-25.268676999999997</v>
      </c>
      <c r="D28" s="3">
        <v>-3.7379789999999957</v>
      </c>
      <c r="E28" s="3">
        <v>174.13051999999999</v>
      </c>
      <c r="F28" s="3">
        <v>-27.979719000000003</v>
      </c>
      <c r="G28" s="3">
        <v>17.196914999999983</v>
      </c>
      <c r="H28" s="3">
        <v>-58.514072999999996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-30.514437000000001</v>
      </c>
      <c r="O28" s="3">
        <v>-28.824755</v>
      </c>
      <c r="P28" s="3">
        <v>-21.384369999999997</v>
      </c>
      <c r="Q28" s="3">
        <v>-31.098787000000002</v>
      </c>
      <c r="R28" s="3">
        <v>-18.558350999999991</v>
      </c>
      <c r="S28" s="3">
        <v>15.860642999999994</v>
      </c>
      <c r="T28" s="3">
        <v>-34.540183000000013</v>
      </c>
      <c r="U28" s="3">
        <v>-34.232915999999996</v>
      </c>
      <c r="V28" s="3">
        <v>12.240618999999999</v>
      </c>
      <c r="W28" s="3">
        <v>23.811863999999993</v>
      </c>
      <c r="X28" s="3">
        <v>-0.87223199999999501</v>
      </c>
      <c r="Y28" s="3">
        <v>16.303659</v>
      </c>
      <c r="Z28" s="3">
        <v>-39.658783</v>
      </c>
      <c r="AA28" s="3">
        <v>-25.268676999999997</v>
      </c>
      <c r="AB28" s="3">
        <v>-3.7379789999999957</v>
      </c>
      <c r="AC28" s="3">
        <v>174.13051999999999</v>
      </c>
      <c r="AD28" s="3">
        <v>-27.979719000000003</v>
      </c>
      <c r="AE28" s="3">
        <v>17.196914999999983</v>
      </c>
      <c r="AF28" s="3">
        <v>-58.514072999999996</v>
      </c>
      <c r="AG28" s="3">
        <v>-17.532553356273063</v>
      </c>
      <c r="AH28" s="3">
        <v>-17.713799161742791</v>
      </c>
      <c r="AI28" s="3">
        <v>-16.13222696699156</v>
      </c>
      <c r="AJ28" s="3">
        <v>-16.404095675196153</v>
      </c>
      <c r="AK28" s="3">
        <v>-16.567216900118908</v>
      </c>
      <c r="AL28" s="3">
        <v>-39.658783</v>
      </c>
      <c r="AM28" s="3">
        <v>-25.268676999999997</v>
      </c>
      <c r="AN28" s="3">
        <v>-3.7379789999999957</v>
      </c>
      <c r="AO28" s="3">
        <v>174.13051999999999</v>
      </c>
      <c r="AP28" s="3">
        <v>-27.979719000000003</v>
      </c>
      <c r="AQ28" s="3">
        <v>17.196914999999983</v>
      </c>
      <c r="AR28" s="3">
        <v>-17.221699487842304</v>
      </c>
      <c r="AS28" s="3">
        <v>-17.4929541505808</v>
      </c>
      <c r="AT28" s="3">
        <v>-17.673790592406469</v>
      </c>
      <c r="AU28" s="3">
        <v>-16.095790552913193</v>
      </c>
      <c r="AV28" s="3">
        <v>-16.367045215651693</v>
      </c>
      <c r="AW28" s="3">
        <v>-16.529798013294794</v>
      </c>
      <c r="AX28" s="3">
        <v>-17.754860119182997</v>
      </c>
      <c r="AY28" s="3">
        <v>-17.923534467732402</v>
      </c>
      <c r="AZ28" s="3">
        <v>-18.766906210479423</v>
      </c>
      <c r="BA28" s="3">
        <v>-17.548045548774159</v>
      </c>
      <c r="BB28" s="3">
        <v>-17.801057071598265</v>
      </c>
      <c r="BC28" s="3">
        <v>-18.138405768697076</v>
      </c>
      <c r="BD28" s="3">
        <v>-16.063459956958312</v>
      </c>
      <c r="BE28" s="3">
        <v>-16.316471479782415</v>
      </c>
      <c r="BF28" s="3">
        <v>-16.48514582833182</v>
      </c>
      <c r="BG28" s="3">
        <v>-15.013273643802448</v>
      </c>
      <c r="BH28" s="3">
        <v>-15.266285166626554</v>
      </c>
      <c r="BI28" s="3">
        <v>-15.418092080321017</v>
      </c>
    </row>
    <row r="29" spans="1:6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5">
      <c r="A30" s="1" t="s">
        <v>134</v>
      </c>
      <c r="B30" s="3">
        <v>-18.021320000000003</v>
      </c>
      <c r="C30" s="3">
        <v>-7.1508700000000003</v>
      </c>
      <c r="D30" s="3">
        <v>19.836150000000004</v>
      </c>
      <c r="E30" s="3">
        <v>-28.62171</v>
      </c>
      <c r="F30" s="3">
        <v>-4.3420500000000004</v>
      </c>
      <c r="G30" s="3">
        <v>25.981969999999993</v>
      </c>
      <c r="H30" s="3">
        <v>-21.35022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-4.4373799999999992</v>
      </c>
      <c r="O30" s="3">
        <v>-3.4211199999999984</v>
      </c>
      <c r="P30" s="3">
        <v>0.80479800000000523</v>
      </c>
      <c r="Q30" s="3">
        <v>-6.4580520000000003</v>
      </c>
      <c r="R30" s="3">
        <v>3.9811779999999999</v>
      </c>
      <c r="S30" s="3">
        <v>15.707787999999997</v>
      </c>
      <c r="T30" s="3">
        <v>-15.709233999999999</v>
      </c>
      <c r="U30" s="3">
        <v>-12.813107</v>
      </c>
      <c r="V30" s="3">
        <v>19.884943999999994</v>
      </c>
      <c r="W30" s="3">
        <v>-8.4387770000000017</v>
      </c>
      <c r="X30" s="3">
        <v>-0.66611600000000237</v>
      </c>
      <c r="Y30" s="3">
        <v>23.745534000000006</v>
      </c>
      <c r="Z30" s="3">
        <v>-18.021320000000003</v>
      </c>
      <c r="AA30" s="3">
        <v>-7.1508700000000003</v>
      </c>
      <c r="AB30" s="3">
        <v>19.836150000000004</v>
      </c>
      <c r="AC30" s="3">
        <v>-28.62171</v>
      </c>
      <c r="AD30" s="3">
        <v>-4.3420500000000004</v>
      </c>
      <c r="AE30" s="3">
        <v>25.981969999999993</v>
      </c>
      <c r="AF30" s="3">
        <v>-21.35022</v>
      </c>
      <c r="AG30" s="3">
        <v>-0.95382096752922085</v>
      </c>
      <c r="AH30" s="3">
        <v>-0.99050638935726798</v>
      </c>
      <c r="AI30" s="3">
        <v>-1.0088491002712914</v>
      </c>
      <c r="AJ30" s="3">
        <v>-1.0638772330133617</v>
      </c>
      <c r="AK30" s="3">
        <v>-1.096894112658604</v>
      </c>
      <c r="AL30" s="3">
        <v>-18.021320000000003</v>
      </c>
      <c r="AM30" s="3">
        <v>-7.1508700000000003</v>
      </c>
      <c r="AN30" s="3">
        <v>19.836150000000004</v>
      </c>
      <c r="AO30" s="3">
        <v>-28.62171</v>
      </c>
      <c r="AP30" s="3">
        <v>-4.3420500000000004</v>
      </c>
      <c r="AQ30" s="3">
        <v>25.981969999999993</v>
      </c>
      <c r="AR30" s="3">
        <v>-0.89676281202798791</v>
      </c>
      <c r="AS30" s="3">
        <v>-0.95166665766235448</v>
      </c>
      <c r="AT30" s="3">
        <v>-0.98826922141859885</v>
      </c>
      <c r="AU30" s="3">
        <v>-1.0065705032967207</v>
      </c>
      <c r="AV30" s="3">
        <v>-1.0614743489310876</v>
      </c>
      <c r="AW30" s="3">
        <v>-1.0944166563117075</v>
      </c>
      <c r="AX30" s="3">
        <v>-0.44383132043743756</v>
      </c>
      <c r="AY30" s="3">
        <v>-0.47797219124031726</v>
      </c>
      <c r="AZ30" s="3">
        <v>-0.6486765452547163</v>
      </c>
      <c r="BA30" s="3">
        <v>-0.71695828686047591</v>
      </c>
      <c r="BB30" s="3">
        <v>-0.7681695930647956</v>
      </c>
      <c r="BC30" s="3">
        <v>-0.83645133467055544</v>
      </c>
      <c r="BD30" s="3">
        <v>-0.83645133467055544</v>
      </c>
      <c r="BE30" s="3">
        <v>-0.88766264087487512</v>
      </c>
      <c r="BF30" s="3">
        <v>-0.92180351167775498</v>
      </c>
      <c r="BG30" s="3">
        <v>-0.93887394707919458</v>
      </c>
      <c r="BH30" s="3">
        <v>-0.99008525328351449</v>
      </c>
      <c r="BI30" s="3">
        <v>-1.0208120370061062</v>
      </c>
    </row>
    <row r="31" spans="1:6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</row>
    <row r="33" spans="1:61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</row>
    <row r="34" spans="1:61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</row>
    <row r="35" spans="1:61" x14ac:dyDescent="0.25">
      <c r="A35" s="1" t="s">
        <v>37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</row>
    <row r="36" spans="1:61" x14ac:dyDescent="0.25">
      <c r="A36" s="1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</row>
    <row r="37" spans="1:61" x14ac:dyDescent="0.25">
      <c r="A37" s="1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</row>
    <row r="38" spans="1:61" x14ac:dyDescent="0.25">
      <c r="A38" s="1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</row>
    <row r="39" spans="1:61" x14ac:dyDescent="0.25">
      <c r="A39" s="1" t="s">
        <v>118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</row>
    <row r="40" spans="1:61" x14ac:dyDescent="0.25">
      <c r="A40" s="1" t="s">
        <v>131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</row>
    <row r="41" spans="1:61" x14ac:dyDescent="0.25">
      <c r="A41" s="1" t="s">
        <v>120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</row>
    <row r="42" spans="1:6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25">
      <c r="A43" s="1" t="s">
        <v>132</v>
      </c>
      <c r="B43" s="3">
        <v>0</v>
      </c>
      <c r="C43" s="3">
        <v>0</v>
      </c>
      <c r="D43" s="3">
        <v>0</v>
      </c>
      <c r="E43" s="3">
        <v>1.3429599999999999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0.58967999999999998</v>
      </c>
      <c r="Z43" s="3">
        <v>0</v>
      </c>
      <c r="AA43" s="3">
        <v>0</v>
      </c>
      <c r="AB43" s="3">
        <v>0</v>
      </c>
      <c r="AC43" s="3">
        <v>1.3429599999999999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1.3429599999999999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</row>
    <row r="44" spans="1:61" x14ac:dyDescent="0.25">
      <c r="A44" s="1" t="s">
        <v>133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1.8799999999999999E-3</v>
      </c>
      <c r="T44" s="3">
        <v>0</v>
      </c>
      <c r="U44" s="3">
        <v>0</v>
      </c>
      <c r="V44" s="3">
        <v>0.106971</v>
      </c>
      <c r="W44" s="3">
        <v>5.8299999999999997E-4</v>
      </c>
      <c r="X44" s="3">
        <v>4.6000000000000001E-4</v>
      </c>
      <c r="Y44" s="3">
        <v>2.9300000000000002E-4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</row>
    <row r="45" spans="1:6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25">
      <c r="A46" s="1" t="s">
        <v>42</v>
      </c>
      <c r="B46" s="3">
        <v>0</v>
      </c>
      <c r="C46" s="3">
        <v>0.18517</v>
      </c>
      <c r="D46" s="3">
        <v>1.4598199999999999</v>
      </c>
      <c r="E46" s="3">
        <v>1.2177899999999999</v>
      </c>
      <c r="F46" s="3">
        <v>0.35269</v>
      </c>
      <c r="G46" s="3">
        <v>4.7151800000000001</v>
      </c>
      <c r="H46" s="3">
        <v>1.8617699999999999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0.77971999999999997</v>
      </c>
      <c r="O46" s="3">
        <v>0.19302</v>
      </c>
      <c r="P46" s="3">
        <v>7.315809999999999</v>
      </c>
      <c r="Q46" s="3">
        <v>0.20213</v>
      </c>
      <c r="R46" s="3">
        <v>2.7747600000000001</v>
      </c>
      <c r="S46" s="3">
        <v>1.9076600000000001</v>
      </c>
      <c r="T46" s="3">
        <v>0</v>
      </c>
      <c r="U46" s="3">
        <v>1.49E-3</v>
      </c>
      <c r="V46" s="3">
        <v>0</v>
      </c>
      <c r="W46" s="3">
        <v>0</v>
      </c>
      <c r="X46" s="3">
        <v>0.80967999999999996</v>
      </c>
      <c r="Y46" s="3">
        <v>0.21962999999999999</v>
      </c>
      <c r="Z46" s="3">
        <v>0</v>
      </c>
      <c r="AA46" s="3">
        <v>0.18517</v>
      </c>
      <c r="AB46" s="3">
        <v>1.4598199999999999</v>
      </c>
      <c r="AC46" s="3">
        <v>1.2177899999999999</v>
      </c>
      <c r="AD46" s="3">
        <v>0.35269</v>
      </c>
      <c r="AE46" s="3">
        <v>4.7151800000000001</v>
      </c>
      <c r="AF46" s="3">
        <v>1.8617699999999999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0.18517</v>
      </c>
      <c r="AN46" s="3">
        <v>1.4598199999999999</v>
      </c>
      <c r="AO46" s="3">
        <v>1.2177899999999999</v>
      </c>
      <c r="AP46" s="3">
        <v>0.35269</v>
      </c>
      <c r="AQ46" s="3">
        <v>4.7151800000000001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</row>
    <row r="47" spans="1:61" x14ac:dyDescent="0.25">
      <c r="A47" s="1" t="s">
        <v>47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</row>
    <row r="48" spans="1:6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25">
      <c r="A49" s="1" t="s">
        <v>44</v>
      </c>
      <c r="B49" s="3">
        <v>1.415503</v>
      </c>
      <c r="C49" s="3">
        <v>2.0903999999999999E-2</v>
      </c>
      <c r="D49" s="3">
        <v>0.20463699999999999</v>
      </c>
      <c r="E49" s="3">
        <v>3.7390000000000001E-3</v>
      </c>
      <c r="F49" s="3">
        <v>1.2771000000000001E-2</v>
      </c>
      <c r="G49" s="3">
        <v>0.26587699999999997</v>
      </c>
      <c r="H49" s="3">
        <v>5.2873000000000003E-2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4.1390000000000003E-2</v>
      </c>
      <c r="P49" s="3">
        <v>3.1208840000000002</v>
      </c>
      <c r="Q49" s="3">
        <v>2.3900000000000001E-4</v>
      </c>
      <c r="R49" s="3">
        <v>2.5844529999999999</v>
      </c>
      <c r="S49" s="3">
        <v>1.158069</v>
      </c>
      <c r="T49" s="3">
        <v>1.4131940000000001</v>
      </c>
      <c r="U49" s="3">
        <v>1.1771910000000001</v>
      </c>
      <c r="V49" s="3">
        <v>1.8081960000000001</v>
      </c>
      <c r="W49" s="3">
        <v>0.90488400000000002</v>
      </c>
      <c r="X49" s="3">
        <v>0.46163299999999996</v>
      </c>
      <c r="Y49" s="3">
        <v>6.4917379999999998</v>
      </c>
      <c r="Z49" s="3">
        <v>1.415503</v>
      </c>
      <c r="AA49" s="3">
        <v>2.0903999999999999E-2</v>
      </c>
      <c r="AB49" s="3">
        <v>0.20463699999999999</v>
      </c>
      <c r="AC49" s="3">
        <v>3.7390000000000001E-3</v>
      </c>
      <c r="AD49" s="3">
        <v>1.2771000000000001E-2</v>
      </c>
      <c r="AE49" s="3">
        <v>0.26587699999999997</v>
      </c>
      <c r="AF49" s="3">
        <v>5.2873000000000003E-2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1.415503</v>
      </c>
      <c r="AM49" s="3">
        <v>2.0903999999999999E-2</v>
      </c>
      <c r="AN49" s="3">
        <v>0.20463699999999999</v>
      </c>
      <c r="AO49" s="3">
        <v>3.7390000000000001E-3</v>
      </c>
      <c r="AP49" s="3">
        <v>1.2771000000000001E-2</v>
      </c>
      <c r="AQ49" s="3">
        <v>0.26587699999999997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</row>
    <row r="50" spans="1:61" x14ac:dyDescent="0.25">
      <c r="A50" s="1" t="s">
        <v>29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5">
      <c r="A51" s="1" t="s">
        <v>121</v>
      </c>
      <c r="B51" s="3">
        <v>-39.658783</v>
      </c>
      <c r="C51" s="3">
        <v>-25.268676999999997</v>
      </c>
      <c r="D51" s="3">
        <v>-3.7379789999999957</v>
      </c>
      <c r="E51" s="3">
        <v>175.47348</v>
      </c>
      <c r="F51" s="3">
        <v>-27.979719000000003</v>
      </c>
      <c r="G51" s="3">
        <v>17.196914999999983</v>
      </c>
      <c r="H51" s="3">
        <v>-58.514072999999996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-30.514437000000001</v>
      </c>
      <c r="O51" s="3">
        <v>-28.824755</v>
      </c>
      <c r="P51" s="3">
        <v>-21.384369999999997</v>
      </c>
      <c r="Q51" s="3">
        <v>-31.098787000000002</v>
      </c>
      <c r="R51" s="3">
        <v>-18.558350999999991</v>
      </c>
      <c r="S51" s="3">
        <v>15.860642999999994</v>
      </c>
      <c r="T51" s="3">
        <v>-34.540183000000013</v>
      </c>
      <c r="U51" s="3">
        <v>-34.232915999999996</v>
      </c>
      <c r="V51" s="3">
        <v>12.240618999999999</v>
      </c>
      <c r="W51" s="3">
        <v>23.811863999999993</v>
      </c>
      <c r="X51" s="3">
        <v>-0.87223199999999501</v>
      </c>
      <c r="Y51" s="3">
        <v>16.893339000000001</v>
      </c>
      <c r="Z51" s="3">
        <v>-39.658783</v>
      </c>
      <c r="AA51" s="3">
        <v>-25.268676999999997</v>
      </c>
      <c r="AB51" s="3">
        <v>-3.7379789999999957</v>
      </c>
      <c r="AC51" s="3">
        <v>175.47348</v>
      </c>
      <c r="AD51" s="3">
        <v>-27.979719000000003</v>
      </c>
      <c r="AE51" s="3">
        <v>17.196914999999983</v>
      </c>
      <c r="AF51" s="3">
        <v>-58.514072999999996</v>
      </c>
      <c r="AG51" s="3">
        <v>-17.532553356273063</v>
      </c>
      <c r="AH51" s="3">
        <v>-17.713799161742791</v>
      </c>
      <c r="AI51" s="3">
        <v>-16.13222696699156</v>
      </c>
      <c r="AJ51" s="3">
        <v>-16.404095675196153</v>
      </c>
      <c r="AK51" s="3">
        <v>-16.567216900118908</v>
      </c>
      <c r="AL51" s="3">
        <v>-39.658783</v>
      </c>
      <c r="AM51" s="3">
        <v>-25.268676999999997</v>
      </c>
      <c r="AN51" s="3">
        <v>-3.7379789999999957</v>
      </c>
      <c r="AO51" s="3">
        <v>175.47348</v>
      </c>
      <c r="AP51" s="3">
        <v>-27.979719000000003</v>
      </c>
      <c r="AQ51" s="3">
        <v>17.196914999999983</v>
      </c>
      <c r="AR51" s="3">
        <v>-17.221699487842304</v>
      </c>
      <c r="AS51" s="3">
        <v>-17.4929541505808</v>
      </c>
      <c r="AT51" s="3">
        <v>-17.673790592406469</v>
      </c>
      <c r="AU51" s="3">
        <v>-16.095790552913193</v>
      </c>
      <c r="AV51" s="3">
        <v>-16.367045215651693</v>
      </c>
      <c r="AW51" s="3">
        <v>-16.529798013294794</v>
      </c>
      <c r="AX51" s="3">
        <v>-17.754860119182997</v>
      </c>
      <c r="AY51" s="3">
        <v>-17.923534467732402</v>
      </c>
      <c r="AZ51" s="3">
        <v>-18.766906210479423</v>
      </c>
      <c r="BA51" s="3">
        <v>-17.548045548774159</v>
      </c>
      <c r="BB51" s="3">
        <v>-17.801057071598265</v>
      </c>
      <c r="BC51" s="3">
        <v>-18.138405768697076</v>
      </c>
      <c r="BD51" s="3">
        <v>-16.063459956958312</v>
      </c>
      <c r="BE51" s="3">
        <v>-16.316471479782415</v>
      </c>
      <c r="BF51" s="3">
        <v>-16.48514582833182</v>
      </c>
      <c r="BG51" s="3">
        <v>-15.013273643802448</v>
      </c>
      <c r="BH51" s="3">
        <v>-15.266285166626554</v>
      </c>
      <c r="BI51" s="3">
        <v>-15.418092080321017</v>
      </c>
    </row>
    <row r="52" spans="1:61" x14ac:dyDescent="0.25">
      <c r="A52" s="1" t="s">
        <v>76</v>
      </c>
      <c r="B52" s="3">
        <v>1.415503</v>
      </c>
      <c r="C52" s="3">
        <v>0.20607400000000001</v>
      </c>
      <c r="D52" s="3">
        <v>1.6644569999999999</v>
      </c>
      <c r="E52" s="3">
        <v>1.2215289999999999</v>
      </c>
      <c r="F52" s="3">
        <v>0.36546099999999998</v>
      </c>
      <c r="G52" s="3">
        <v>4.9810569999999998</v>
      </c>
      <c r="H52" s="3">
        <v>1.9146429999999999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0.77971999999999997</v>
      </c>
      <c r="O52" s="3">
        <v>0.23441000000000001</v>
      </c>
      <c r="P52" s="3">
        <v>10.436693999999999</v>
      </c>
      <c r="Q52" s="3">
        <v>0.20236899999999999</v>
      </c>
      <c r="R52" s="3">
        <v>5.3592130000000004</v>
      </c>
      <c r="S52" s="3">
        <v>3.0657290000000001</v>
      </c>
      <c r="T52" s="3">
        <v>1.4131940000000001</v>
      </c>
      <c r="U52" s="3">
        <v>1.1786810000000001</v>
      </c>
      <c r="V52" s="3">
        <v>1.8081960000000001</v>
      </c>
      <c r="W52" s="3">
        <v>0.90488400000000002</v>
      </c>
      <c r="X52" s="3">
        <v>1.2713129999999999</v>
      </c>
      <c r="Y52" s="3">
        <v>6.7113680000000002</v>
      </c>
      <c r="Z52" s="3">
        <v>1.415503</v>
      </c>
      <c r="AA52" s="3">
        <v>0.20607400000000001</v>
      </c>
      <c r="AB52" s="3">
        <v>1.6644569999999999</v>
      </c>
      <c r="AC52" s="3">
        <v>1.2215289999999999</v>
      </c>
      <c r="AD52" s="3">
        <v>0.36546099999999998</v>
      </c>
      <c r="AE52" s="3">
        <v>4.9810569999999998</v>
      </c>
      <c r="AF52" s="3">
        <v>1.9146429999999999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1.415503</v>
      </c>
      <c r="AM52" s="3">
        <v>0.20607400000000001</v>
      </c>
      <c r="AN52" s="3">
        <v>1.6644569999999999</v>
      </c>
      <c r="AO52" s="3">
        <v>1.2215289999999999</v>
      </c>
      <c r="AP52" s="3">
        <v>0.36546099999999998</v>
      </c>
      <c r="AQ52" s="3">
        <v>4.9810569999999998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</row>
    <row r="53" spans="1:6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25">
      <c r="A54" s="1" t="s">
        <v>105</v>
      </c>
      <c r="B54" s="7">
        <v>-38.243279999999999</v>
      </c>
      <c r="C54" s="7">
        <v>-25.062602999999999</v>
      </c>
      <c r="D54" s="7">
        <v>-2.073521999999997</v>
      </c>
      <c r="E54" s="7">
        <v>176.69500899999997</v>
      </c>
      <c r="F54" s="7">
        <v>-27.614258</v>
      </c>
      <c r="G54" s="7">
        <v>22.177971999999976</v>
      </c>
      <c r="H54" s="7">
        <v>-56.599429999999998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-29.734717</v>
      </c>
      <c r="O54" s="7">
        <v>-28.590344999999999</v>
      </c>
      <c r="P54" s="7">
        <v>-10.947676000000003</v>
      </c>
      <c r="Q54" s="7">
        <v>-30.896418000000004</v>
      </c>
      <c r="R54" s="7">
        <v>-13.199137999999994</v>
      </c>
      <c r="S54" s="7">
        <v>18.928251999999993</v>
      </c>
      <c r="T54" s="7">
        <v>-33.126989000000009</v>
      </c>
      <c r="U54" s="7">
        <v>-33.054234999999991</v>
      </c>
      <c r="V54" s="7">
        <v>14.155786000000003</v>
      </c>
      <c r="W54" s="7">
        <v>24.717330999999991</v>
      </c>
      <c r="X54" s="7">
        <v>0.39954100000000459</v>
      </c>
      <c r="Y54" s="7">
        <v>23.604999999999993</v>
      </c>
      <c r="Z54" s="7">
        <v>-38.243279999999999</v>
      </c>
      <c r="AA54" s="7">
        <v>-25.062602999999999</v>
      </c>
      <c r="AB54" s="7">
        <v>-2.073521999999997</v>
      </c>
      <c r="AC54" s="7">
        <v>176.69500899999997</v>
      </c>
      <c r="AD54" s="7">
        <v>-27.614258</v>
      </c>
      <c r="AE54" s="7">
        <v>22.177971999999976</v>
      </c>
      <c r="AF54" s="7">
        <v>-56.599429999999998</v>
      </c>
      <c r="AG54" s="7">
        <v>-17.532553356273063</v>
      </c>
      <c r="AH54" s="7">
        <v>-17.713799161742791</v>
      </c>
      <c r="AI54" s="7">
        <v>-16.13222696699156</v>
      </c>
      <c r="AJ54" s="7">
        <v>-16.404095675196153</v>
      </c>
      <c r="AK54" s="7">
        <v>-16.567216900118908</v>
      </c>
      <c r="AL54" s="7">
        <v>-38.243279999999999</v>
      </c>
      <c r="AM54" s="7">
        <v>-25.062602999999999</v>
      </c>
      <c r="AN54" s="7">
        <v>-2.073521999999997</v>
      </c>
      <c r="AO54" s="7">
        <v>176.69500899999997</v>
      </c>
      <c r="AP54" s="7">
        <v>-27.614258</v>
      </c>
      <c r="AQ54" s="7">
        <v>22.177971999999976</v>
      </c>
      <c r="AR54" s="7">
        <v>-17.221699487842304</v>
      </c>
      <c r="AS54" s="7">
        <v>-17.4929541505808</v>
      </c>
      <c r="AT54" s="7">
        <v>-17.673790592406469</v>
      </c>
      <c r="AU54" s="7">
        <v>-16.095790552913193</v>
      </c>
      <c r="AV54" s="7">
        <v>-16.367045215651693</v>
      </c>
      <c r="AW54" s="7">
        <v>-16.529798013294794</v>
      </c>
      <c r="AX54" s="7">
        <v>-17.754860119182997</v>
      </c>
      <c r="AY54" s="7">
        <v>-17.923534467732402</v>
      </c>
      <c r="AZ54" s="7">
        <v>-18.766906210479423</v>
      </c>
      <c r="BA54" s="7">
        <v>-17.548045548774159</v>
      </c>
      <c r="BB54" s="7">
        <v>-17.801057071598265</v>
      </c>
      <c r="BC54" s="7">
        <v>-18.138405768697076</v>
      </c>
      <c r="BD54" s="7">
        <v>-16.063459956958312</v>
      </c>
      <c r="BE54" s="7">
        <v>-16.316471479782415</v>
      </c>
      <c r="BF54" s="7">
        <v>-16.48514582833182</v>
      </c>
      <c r="BG54" s="7">
        <v>-15.013273643802448</v>
      </c>
      <c r="BH54" s="7">
        <v>-15.266285166626554</v>
      </c>
      <c r="BI54" s="7">
        <v>-15.418092080321017</v>
      </c>
    </row>
    <row r="56" spans="1:61" x14ac:dyDescent="0.25">
      <c r="A56" s="1" t="s">
        <v>106</v>
      </c>
      <c r="B56" s="244">
        <f t="shared" ref="B56:AG56" si="0">SUM(B12,B14,B15,-B30)</f>
        <v>0</v>
      </c>
      <c r="C56" s="244">
        <f t="shared" si="0"/>
        <v>0</v>
      </c>
      <c r="D56" s="244">
        <f t="shared" si="0"/>
        <v>0</v>
      </c>
      <c r="E56" s="244">
        <f t="shared" si="0"/>
        <v>0</v>
      </c>
      <c r="F56" s="244">
        <f t="shared" si="0"/>
        <v>0</v>
      </c>
      <c r="G56" s="244">
        <f t="shared" si="0"/>
        <v>0</v>
      </c>
      <c r="H56" s="244">
        <f t="shared" si="0"/>
        <v>0</v>
      </c>
      <c r="I56" s="244">
        <f t="shared" si="0"/>
        <v>0</v>
      </c>
      <c r="J56" s="244">
        <f t="shared" si="0"/>
        <v>0</v>
      </c>
      <c r="K56" s="244">
        <f t="shared" si="0"/>
        <v>0</v>
      </c>
      <c r="L56" s="244">
        <f t="shared" si="0"/>
        <v>0</v>
      </c>
      <c r="M56" s="244">
        <f t="shared" si="0"/>
        <v>0</v>
      </c>
      <c r="N56" s="244">
        <f t="shared" si="0"/>
        <v>0</v>
      </c>
      <c r="O56" s="244">
        <f t="shared" si="0"/>
        <v>0</v>
      </c>
      <c r="P56" s="244">
        <f t="shared" si="0"/>
        <v>-8.8817841970012523E-16</v>
      </c>
      <c r="Q56" s="244">
        <f t="shared" si="0"/>
        <v>0</v>
      </c>
      <c r="R56" s="244">
        <f t="shared" si="0"/>
        <v>0</v>
      </c>
      <c r="S56" s="244">
        <f t="shared" si="0"/>
        <v>0</v>
      </c>
      <c r="T56" s="244">
        <f t="shared" si="0"/>
        <v>0</v>
      </c>
      <c r="U56" s="244">
        <f t="shared" si="0"/>
        <v>0</v>
      </c>
      <c r="V56" s="244">
        <f t="shared" si="0"/>
        <v>0</v>
      </c>
      <c r="W56" s="244">
        <f t="shared" si="0"/>
        <v>0</v>
      </c>
      <c r="X56" s="244">
        <f t="shared" si="0"/>
        <v>0</v>
      </c>
      <c r="Y56" s="244">
        <f t="shared" si="0"/>
        <v>0</v>
      </c>
      <c r="Z56" s="244">
        <f t="shared" si="0"/>
        <v>0</v>
      </c>
      <c r="AA56" s="244">
        <f t="shared" si="0"/>
        <v>0</v>
      </c>
      <c r="AB56" s="244">
        <f t="shared" si="0"/>
        <v>0</v>
      </c>
      <c r="AC56" s="244">
        <f t="shared" si="0"/>
        <v>0</v>
      </c>
      <c r="AD56" s="244">
        <f t="shared" si="0"/>
        <v>0</v>
      </c>
      <c r="AE56" s="244">
        <f t="shared" si="0"/>
        <v>0</v>
      </c>
      <c r="AF56" s="244">
        <f t="shared" si="0"/>
        <v>0</v>
      </c>
      <c r="AG56" s="244">
        <f t="shared" si="0"/>
        <v>0</v>
      </c>
      <c r="AH56" s="244">
        <f t="shared" ref="AH56:BI56" si="1">SUM(AH12,AH14,AH15,-AH30)</f>
        <v>0</v>
      </c>
      <c r="AI56" s="244">
        <f t="shared" si="1"/>
        <v>0</v>
      </c>
      <c r="AJ56" s="244">
        <f t="shared" si="1"/>
        <v>0</v>
      </c>
      <c r="AK56" s="244">
        <f t="shared" si="1"/>
        <v>0</v>
      </c>
      <c r="AL56" s="244">
        <f t="shared" si="1"/>
        <v>0</v>
      </c>
      <c r="AM56" s="244">
        <f t="shared" si="1"/>
        <v>0</v>
      </c>
      <c r="AN56" s="244">
        <f t="shared" si="1"/>
        <v>0</v>
      </c>
      <c r="AO56" s="244">
        <f t="shared" si="1"/>
        <v>0</v>
      </c>
      <c r="AP56" s="244">
        <f t="shared" si="1"/>
        <v>0</v>
      </c>
      <c r="AQ56" s="244">
        <f t="shared" si="1"/>
        <v>0</v>
      </c>
      <c r="AR56" s="244">
        <f t="shared" si="1"/>
        <v>0</v>
      </c>
      <c r="AS56" s="244">
        <f t="shared" si="1"/>
        <v>0</v>
      </c>
      <c r="AT56" s="244">
        <f t="shared" si="1"/>
        <v>0</v>
      </c>
      <c r="AU56" s="244">
        <f t="shared" si="1"/>
        <v>0</v>
      </c>
      <c r="AV56" s="244">
        <f t="shared" si="1"/>
        <v>0</v>
      </c>
      <c r="AW56" s="244">
        <f t="shared" si="1"/>
        <v>0</v>
      </c>
      <c r="AX56" s="244">
        <f t="shared" si="1"/>
        <v>0</v>
      </c>
      <c r="AY56" s="244">
        <f t="shared" si="1"/>
        <v>0</v>
      </c>
      <c r="AZ56" s="244">
        <f t="shared" si="1"/>
        <v>0</v>
      </c>
      <c r="BA56" s="244">
        <f t="shared" si="1"/>
        <v>0</v>
      </c>
      <c r="BB56" s="244">
        <f t="shared" si="1"/>
        <v>0</v>
      </c>
      <c r="BC56" s="244">
        <f t="shared" si="1"/>
        <v>0</v>
      </c>
      <c r="BD56" s="244">
        <f t="shared" si="1"/>
        <v>0</v>
      </c>
      <c r="BE56" s="244">
        <f t="shared" si="1"/>
        <v>0</v>
      </c>
      <c r="BF56" s="244">
        <f t="shared" si="1"/>
        <v>0</v>
      </c>
      <c r="BG56" s="244">
        <f t="shared" si="1"/>
        <v>0</v>
      </c>
      <c r="BH56" s="244">
        <f t="shared" si="1"/>
        <v>0</v>
      </c>
      <c r="BI56" s="244">
        <f t="shared" si="1"/>
        <v>0</v>
      </c>
    </row>
    <row r="57" spans="1:61" x14ac:dyDescent="0.25">
      <c r="A57" s="1"/>
      <c r="B57" s="24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 x14ac:dyDescent="0.25">
      <c r="A58" s="1" t="s">
        <v>107</v>
      </c>
      <c r="B58" s="244">
        <f t="shared" ref="B58:AG58" si="2">SUM(B32:B41)-B23</f>
        <v>0</v>
      </c>
      <c r="C58" s="244">
        <f t="shared" si="2"/>
        <v>0</v>
      </c>
      <c r="D58" s="244">
        <f t="shared" si="2"/>
        <v>0</v>
      </c>
      <c r="E58" s="244">
        <f t="shared" si="2"/>
        <v>0</v>
      </c>
      <c r="F58" s="244">
        <f t="shared" si="2"/>
        <v>0</v>
      </c>
      <c r="G58" s="244">
        <f t="shared" si="2"/>
        <v>0</v>
      </c>
      <c r="H58" s="244">
        <f t="shared" si="2"/>
        <v>0</v>
      </c>
      <c r="I58" s="244">
        <f t="shared" si="2"/>
        <v>0</v>
      </c>
      <c r="J58" s="244">
        <f t="shared" si="2"/>
        <v>0</v>
      </c>
      <c r="K58" s="244">
        <f t="shared" si="2"/>
        <v>0</v>
      </c>
      <c r="L58" s="244">
        <f t="shared" si="2"/>
        <v>0</v>
      </c>
      <c r="M58" s="244">
        <f t="shared" si="2"/>
        <v>0</v>
      </c>
      <c r="N58" s="244">
        <f t="shared" si="2"/>
        <v>0</v>
      </c>
      <c r="O58" s="244">
        <f t="shared" si="2"/>
        <v>0</v>
      </c>
      <c r="P58" s="244">
        <f t="shared" si="2"/>
        <v>0</v>
      </c>
      <c r="Q58" s="244">
        <f t="shared" si="2"/>
        <v>0</v>
      </c>
      <c r="R58" s="244">
        <f t="shared" si="2"/>
        <v>0</v>
      </c>
      <c r="S58" s="244">
        <f t="shared" si="2"/>
        <v>0</v>
      </c>
      <c r="T58" s="244">
        <f t="shared" si="2"/>
        <v>0</v>
      </c>
      <c r="U58" s="244">
        <f t="shared" si="2"/>
        <v>0</v>
      </c>
      <c r="V58" s="244">
        <f t="shared" si="2"/>
        <v>0</v>
      </c>
      <c r="W58" s="244">
        <f t="shared" si="2"/>
        <v>0</v>
      </c>
      <c r="X58" s="244">
        <f t="shared" si="2"/>
        <v>0</v>
      </c>
      <c r="Y58" s="244">
        <f t="shared" si="2"/>
        <v>0</v>
      </c>
      <c r="Z58" s="244">
        <f t="shared" si="2"/>
        <v>0</v>
      </c>
      <c r="AA58" s="244">
        <f t="shared" si="2"/>
        <v>0</v>
      </c>
      <c r="AB58" s="244">
        <f t="shared" si="2"/>
        <v>0</v>
      </c>
      <c r="AC58" s="244">
        <f t="shared" si="2"/>
        <v>0</v>
      </c>
      <c r="AD58" s="244">
        <f t="shared" si="2"/>
        <v>0</v>
      </c>
      <c r="AE58" s="244">
        <f t="shared" si="2"/>
        <v>0</v>
      </c>
      <c r="AF58" s="244">
        <f t="shared" si="2"/>
        <v>0</v>
      </c>
      <c r="AG58" s="244">
        <f t="shared" si="2"/>
        <v>0</v>
      </c>
      <c r="AH58" s="244">
        <f t="shared" ref="AH58:BI58" si="3">SUM(AH32:AH41)-AH23</f>
        <v>0</v>
      </c>
      <c r="AI58" s="244">
        <f t="shared" si="3"/>
        <v>0</v>
      </c>
      <c r="AJ58" s="244">
        <f t="shared" si="3"/>
        <v>0</v>
      </c>
      <c r="AK58" s="244">
        <f t="shared" si="3"/>
        <v>0</v>
      </c>
      <c r="AL58" s="244">
        <f t="shared" si="3"/>
        <v>0</v>
      </c>
      <c r="AM58" s="244">
        <f t="shared" si="3"/>
        <v>0</v>
      </c>
      <c r="AN58" s="244">
        <f t="shared" si="3"/>
        <v>0</v>
      </c>
      <c r="AO58" s="244">
        <f t="shared" si="3"/>
        <v>0</v>
      </c>
      <c r="AP58" s="244">
        <f t="shared" si="3"/>
        <v>0</v>
      </c>
      <c r="AQ58" s="244">
        <f t="shared" si="3"/>
        <v>0</v>
      </c>
      <c r="AR58" s="244">
        <f t="shared" si="3"/>
        <v>0</v>
      </c>
      <c r="AS58" s="244">
        <f t="shared" si="3"/>
        <v>0</v>
      </c>
      <c r="AT58" s="244">
        <f t="shared" si="3"/>
        <v>0</v>
      </c>
      <c r="AU58" s="244">
        <f t="shared" si="3"/>
        <v>0</v>
      </c>
      <c r="AV58" s="244">
        <f t="shared" si="3"/>
        <v>0</v>
      </c>
      <c r="AW58" s="244">
        <f t="shared" si="3"/>
        <v>0</v>
      </c>
      <c r="AX58" s="244">
        <f t="shared" si="3"/>
        <v>0</v>
      </c>
      <c r="AY58" s="244">
        <f t="shared" si="3"/>
        <v>0</v>
      </c>
      <c r="AZ58" s="244">
        <f t="shared" si="3"/>
        <v>0</v>
      </c>
      <c r="BA58" s="244">
        <f t="shared" si="3"/>
        <v>0</v>
      </c>
      <c r="BB58" s="244">
        <f t="shared" si="3"/>
        <v>0</v>
      </c>
      <c r="BC58" s="244">
        <f t="shared" si="3"/>
        <v>0</v>
      </c>
      <c r="BD58" s="244">
        <f t="shared" si="3"/>
        <v>0</v>
      </c>
      <c r="BE58" s="244">
        <f t="shared" si="3"/>
        <v>0</v>
      </c>
      <c r="BF58" s="244">
        <f t="shared" si="3"/>
        <v>0</v>
      </c>
      <c r="BG58" s="244">
        <f t="shared" si="3"/>
        <v>0</v>
      </c>
      <c r="BH58" s="244">
        <f t="shared" si="3"/>
        <v>0</v>
      </c>
      <c r="BI58" s="244">
        <f t="shared" si="3"/>
        <v>0</v>
      </c>
    </row>
    <row r="59" spans="1:61" x14ac:dyDescent="0.25">
      <c r="A59" s="1" t="s">
        <v>108</v>
      </c>
      <c r="B59" s="244">
        <f t="shared" ref="B59:BI59" si="4">SUM(B46:B49)-B52</f>
        <v>0</v>
      </c>
      <c r="C59" s="244">
        <f t="shared" si="4"/>
        <v>0</v>
      </c>
      <c r="D59" s="244">
        <f t="shared" si="4"/>
        <v>0</v>
      </c>
      <c r="E59" s="244">
        <f t="shared" si="4"/>
        <v>0</v>
      </c>
      <c r="F59" s="244">
        <f t="shared" si="4"/>
        <v>0</v>
      </c>
      <c r="G59" s="244">
        <f t="shared" si="4"/>
        <v>0</v>
      </c>
      <c r="H59" s="244">
        <f t="shared" si="4"/>
        <v>0</v>
      </c>
      <c r="I59" s="244">
        <f t="shared" si="4"/>
        <v>0</v>
      </c>
      <c r="J59" s="244">
        <f t="shared" si="4"/>
        <v>0</v>
      </c>
      <c r="K59" s="244">
        <f t="shared" si="4"/>
        <v>0</v>
      </c>
      <c r="L59" s="244">
        <f t="shared" si="4"/>
        <v>0</v>
      </c>
      <c r="M59" s="244">
        <f t="shared" si="4"/>
        <v>0</v>
      </c>
      <c r="N59" s="244">
        <f t="shared" si="4"/>
        <v>0</v>
      </c>
      <c r="O59" s="244">
        <f t="shared" si="4"/>
        <v>0</v>
      </c>
      <c r="P59" s="244">
        <f t="shared" si="4"/>
        <v>0</v>
      </c>
      <c r="Q59" s="244">
        <f t="shared" si="4"/>
        <v>0</v>
      </c>
      <c r="R59" s="244">
        <f t="shared" si="4"/>
        <v>0</v>
      </c>
      <c r="S59" s="244">
        <f t="shared" si="4"/>
        <v>0</v>
      </c>
      <c r="T59" s="244">
        <f t="shared" si="4"/>
        <v>0</v>
      </c>
      <c r="U59" s="244">
        <f t="shared" si="4"/>
        <v>0</v>
      </c>
      <c r="V59" s="244">
        <f t="shared" si="4"/>
        <v>0</v>
      </c>
      <c r="W59" s="244">
        <f t="shared" si="4"/>
        <v>0</v>
      </c>
      <c r="X59" s="244">
        <f t="shared" si="4"/>
        <v>0</v>
      </c>
      <c r="Y59" s="244">
        <f t="shared" si="4"/>
        <v>0</v>
      </c>
      <c r="Z59" s="244">
        <f t="shared" si="4"/>
        <v>0</v>
      </c>
      <c r="AA59" s="244">
        <f t="shared" si="4"/>
        <v>0</v>
      </c>
      <c r="AB59" s="244">
        <f t="shared" si="4"/>
        <v>0</v>
      </c>
      <c r="AC59" s="244">
        <f t="shared" si="4"/>
        <v>0</v>
      </c>
      <c r="AD59" s="244">
        <f t="shared" si="4"/>
        <v>0</v>
      </c>
      <c r="AE59" s="244">
        <f t="shared" si="4"/>
        <v>0</v>
      </c>
      <c r="AF59" s="244">
        <f t="shared" si="4"/>
        <v>0</v>
      </c>
      <c r="AG59" s="244">
        <f t="shared" si="4"/>
        <v>0</v>
      </c>
      <c r="AH59" s="244">
        <f t="shared" si="4"/>
        <v>0</v>
      </c>
      <c r="AI59" s="244">
        <f t="shared" si="4"/>
        <v>0</v>
      </c>
      <c r="AJ59" s="244">
        <f t="shared" si="4"/>
        <v>0</v>
      </c>
      <c r="AK59" s="244">
        <f t="shared" si="4"/>
        <v>0</v>
      </c>
      <c r="AL59" s="244">
        <f t="shared" si="4"/>
        <v>0</v>
      </c>
      <c r="AM59" s="244">
        <f t="shared" si="4"/>
        <v>0</v>
      </c>
      <c r="AN59" s="244">
        <f t="shared" si="4"/>
        <v>0</v>
      </c>
      <c r="AO59" s="244">
        <f t="shared" si="4"/>
        <v>0</v>
      </c>
      <c r="AP59" s="244">
        <f t="shared" si="4"/>
        <v>0</v>
      </c>
      <c r="AQ59" s="244">
        <f t="shared" si="4"/>
        <v>0</v>
      </c>
      <c r="AR59" s="244">
        <f t="shared" si="4"/>
        <v>0</v>
      </c>
      <c r="AS59" s="244">
        <f t="shared" si="4"/>
        <v>0</v>
      </c>
      <c r="AT59" s="244">
        <f t="shared" si="4"/>
        <v>0</v>
      </c>
      <c r="AU59" s="244">
        <f t="shared" si="4"/>
        <v>0</v>
      </c>
      <c r="AV59" s="244">
        <f t="shared" si="4"/>
        <v>0</v>
      </c>
      <c r="AW59" s="244">
        <f t="shared" si="4"/>
        <v>0</v>
      </c>
      <c r="AX59" s="244">
        <f t="shared" si="4"/>
        <v>0</v>
      </c>
      <c r="AY59" s="244">
        <f t="shared" si="4"/>
        <v>0</v>
      </c>
      <c r="AZ59" s="244">
        <f t="shared" si="4"/>
        <v>0</v>
      </c>
      <c r="BA59" s="244">
        <f t="shared" si="4"/>
        <v>0</v>
      </c>
      <c r="BB59" s="244">
        <f t="shared" si="4"/>
        <v>0</v>
      </c>
      <c r="BC59" s="244">
        <f t="shared" si="4"/>
        <v>0</v>
      </c>
      <c r="BD59" s="244">
        <f t="shared" si="4"/>
        <v>0</v>
      </c>
      <c r="BE59" s="244">
        <f t="shared" si="4"/>
        <v>0</v>
      </c>
      <c r="BF59" s="244">
        <f t="shared" si="4"/>
        <v>0</v>
      </c>
      <c r="BG59" s="244">
        <f t="shared" si="4"/>
        <v>0</v>
      </c>
      <c r="BH59" s="244">
        <f t="shared" si="4"/>
        <v>0</v>
      </c>
      <c r="BI59" s="244">
        <f t="shared" si="4"/>
        <v>0</v>
      </c>
    </row>
    <row r="60" spans="1:61" x14ac:dyDescent="0.25">
      <c r="A60" s="1" t="s">
        <v>109</v>
      </c>
      <c r="B60" s="244">
        <f>SUM(B12:B23,B43:B44)-B27</f>
        <v>0</v>
      </c>
      <c r="C60" s="244">
        <f t="shared" ref="C60:BI60" si="5">SUM(C12:C23,C43:C44)-C27</f>
        <v>0</v>
      </c>
      <c r="D60" s="244">
        <f t="shared" si="5"/>
        <v>0</v>
      </c>
      <c r="E60" s="244">
        <f t="shared" si="5"/>
        <v>0</v>
      </c>
      <c r="F60" s="244">
        <f t="shared" si="5"/>
        <v>0</v>
      </c>
      <c r="G60" s="244">
        <f t="shared" si="5"/>
        <v>0</v>
      </c>
      <c r="H60" s="244">
        <f t="shared" si="5"/>
        <v>0</v>
      </c>
      <c r="I60" s="244">
        <f t="shared" si="5"/>
        <v>0</v>
      </c>
      <c r="J60" s="244">
        <f t="shared" si="5"/>
        <v>0</v>
      </c>
      <c r="K60" s="244">
        <f t="shared" si="5"/>
        <v>0</v>
      </c>
      <c r="L60" s="244">
        <f t="shared" si="5"/>
        <v>0</v>
      </c>
      <c r="M60" s="244">
        <f t="shared" si="5"/>
        <v>0</v>
      </c>
      <c r="N60" s="244">
        <f t="shared" si="5"/>
        <v>0</v>
      </c>
      <c r="O60" s="244">
        <f t="shared" si="5"/>
        <v>0</v>
      </c>
      <c r="P60" s="244">
        <f t="shared" si="5"/>
        <v>0</v>
      </c>
      <c r="Q60" s="244">
        <f t="shared" si="5"/>
        <v>0</v>
      </c>
      <c r="R60" s="244">
        <f t="shared" si="5"/>
        <v>0</v>
      </c>
      <c r="S60" s="244">
        <f t="shared" si="5"/>
        <v>0</v>
      </c>
      <c r="T60" s="244">
        <f t="shared" si="5"/>
        <v>0</v>
      </c>
      <c r="U60" s="244">
        <f t="shared" si="5"/>
        <v>0</v>
      </c>
      <c r="V60" s="244">
        <f t="shared" si="5"/>
        <v>0</v>
      </c>
      <c r="W60" s="244">
        <f t="shared" si="5"/>
        <v>0</v>
      </c>
      <c r="X60" s="244">
        <f t="shared" si="5"/>
        <v>-8.7707618945387367E-15</v>
      </c>
      <c r="Y60" s="244">
        <f t="shared" si="5"/>
        <v>0</v>
      </c>
      <c r="Z60" s="244">
        <f t="shared" si="5"/>
        <v>0</v>
      </c>
      <c r="AA60" s="244">
        <f t="shared" si="5"/>
        <v>0</v>
      </c>
      <c r="AB60" s="244">
        <f t="shared" si="5"/>
        <v>0</v>
      </c>
      <c r="AC60" s="244">
        <f t="shared" si="5"/>
        <v>0</v>
      </c>
      <c r="AD60" s="244">
        <f t="shared" si="5"/>
        <v>0</v>
      </c>
      <c r="AE60" s="244">
        <f t="shared" si="5"/>
        <v>0</v>
      </c>
      <c r="AF60" s="244">
        <f t="shared" si="5"/>
        <v>0</v>
      </c>
      <c r="AG60" s="244">
        <f t="shared" si="5"/>
        <v>0</v>
      </c>
      <c r="AH60" s="244">
        <f t="shared" si="5"/>
        <v>0</v>
      </c>
      <c r="AI60" s="244">
        <f t="shared" si="5"/>
        <v>0</v>
      </c>
      <c r="AJ60" s="244">
        <f t="shared" si="5"/>
        <v>0</v>
      </c>
      <c r="AK60" s="244">
        <f t="shared" si="5"/>
        <v>0</v>
      </c>
      <c r="AL60" s="244">
        <f t="shared" si="5"/>
        <v>0</v>
      </c>
      <c r="AM60" s="244">
        <f t="shared" si="5"/>
        <v>0</v>
      </c>
      <c r="AN60" s="244">
        <f t="shared" si="5"/>
        <v>0</v>
      </c>
      <c r="AO60" s="244">
        <f t="shared" si="5"/>
        <v>0</v>
      </c>
      <c r="AP60" s="244">
        <f t="shared" si="5"/>
        <v>0</v>
      </c>
      <c r="AQ60" s="244">
        <f t="shared" si="5"/>
        <v>0</v>
      </c>
      <c r="AR60" s="244">
        <f t="shared" si="5"/>
        <v>0</v>
      </c>
      <c r="AS60" s="244">
        <f t="shared" si="5"/>
        <v>0</v>
      </c>
      <c r="AT60" s="244">
        <f t="shared" si="5"/>
        <v>0</v>
      </c>
      <c r="AU60" s="244">
        <f t="shared" si="5"/>
        <v>0</v>
      </c>
      <c r="AV60" s="244">
        <f t="shared" si="5"/>
        <v>0</v>
      </c>
      <c r="AW60" s="244">
        <f t="shared" si="5"/>
        <v>0</v>
      </c>
      <c r="AX60" s="244">
        <f t="shared" si="5"/>
        <v>0</v>
      </c>
      <c r="AY60" s="244">
        <f t="shared" si="5"/>
        <v>0</v>
      </c>
      <c r="AZ60" s="244">
        <f t="shared" si="5"/>
        <v>0</v>
      </c>
      <c r="BA60" s="244">
        <f t="shared" si="5"/>
        <v>0</v>
      </c>
      <c r="BB60" s="244">
        <f t="shared" si="5"/>
        <v>0</v>
      </c>
      <c r="BC60" s="244">
        <f t="shared" si="5"/>
        <v>0</v>
      </c>
      <c r="BD60" s="244">
        <f t="shared" si="5"/>
        <v>0</v>
      </c>
      <c r="BE60" s="244">
        <f t="shared" si="5"/>
        <v>0</v>
      </c>
      <c r="BF60" s="244">
        <f t="shared" si="5"/>
        <v>0</v>
      </c>
      <c r="BG60" s="244">
        <f t="shared" si="5"/>
        <v>0</v>
      </c>
      <c r="BH60" s="244">
        <f t="shared" si="5"/>
        <v>0</v>
      </c>
      <c r="BI60" s="244">
        <f t="shared" si="5"/>
        <v>0</v>
      </c>
    </row>
    <row r="61" spans="1:61" x14ac:dyDescent="0.25">
      <c r="A61" s="1" t="s">
        <v>110</v>
      </c>
      <c r="B61" s="244">
        <f>SUM(B12:B23,B43:B44,B52)-B54</f>
        <v>0</v>
      </c>
      <c r="C61" s="244">
        <f t="shared" ref="C61:BI61" si="6">SUM(C12:C23,C43:C44,C52)-C54</f>
        <v>0</v>
      </c>
      <c r="D61" s="244">
        <f t="shared" si="6"/>
        <v>0</v>
      </c>
      <c r="E61" s="244">
        <f t="shared" si="6"/>
        <v>0</v>
      </c>
      <c r="F61" s="244">
        <f t="shared" si="6"/>
        <v>0</v>
      </c>
      <c r="G61" s="244">
        <f t="shared" si="6"/>
        <v>0</v>
      </c>
      <c r="H61" s="244">
        <f t="shared" si="6"/>
        <v>0</v>
      </c>
      <c r="I61" s="244">
        <f t="shared" si="6"/>
        <v>0</v>
      </c>
      <c r="J61" s="244">
        <f t="shared" si="6"/>
        <v>0</v>
      </c>
      <c r="K61" s="244">
        <f t="shared" si="6"/>
        <v>0</v>
      </c>
      <c r="L61" s="244">
        <f t="shared" si="6"/>
        <v>0</v>
      </c>
      <c r="M61" s="244">
        <f t="shared" si="6"/>
        <v>0</v>
      </c>
      <c r="N61" s="244">
        <f t="shared" si="6"/>
        <v>0</v>
      </c>
      <c r="O61" s="244">
        <f t="shared" si="6"/>
        <v>0</v>
      </c>
      <c r="P61" s="244">
        <f t="shared" si="6"/>
        <v>0</v>
      </c>
      <c r="Q61" s="244">
        <f t="shared" si="6"/>
        <v>0</v>
      </c>
      <c r="R61" s="244">
        <f t="shared" si="6"/>
        <v>0</v>
      </c>
      <c r="S61" s="244">
        <f t="shared" si="6"/>
        <v>0</v>
      </c>
      <c r="T61" s="244">
        <f t="shared" si="6"/>
        <v>0</v>
      </c>
      <c r="U61" s="244">
        <f t="shared" si="6"/>
        <v>0</v>
      </c>
      <c r="V61" s="244">
        <f t="shared" si="6"/>
        <v>0</v>
      </c>
      <c r="W61" s="244">
        <f t="shared" si="6"/>
        <v>0</v>
      </c>
      <c r="X61" s="244">
        <f t="shared" si="6"/>
        <v>-8.1046280797636427E-15</v>
      </c>
      <c r="Y61" s="244">
        <f t="shared" si="6"/>
        <v>0</v>
      </c>
      <c r="Z61" s="244">
        <f t="shared" si="6"/>
        <v>0</v>
      </c>
      <c r="AA61" s="244">
        <f t="shared" si="6"/>
        <v>0</v>
      </c>
      <c r="AB61" s="244">
        <f t="shared" si="6"/>
        <v>0</v>
      </c>
      <c r="AC61" s="244">
        <f t="shared" si="6"/>
        <v>0</v>
      </c>
      <c r="AD61" s="244">
        <f t="shared" si="6"/>
        <v>0</v>
      </c>
      <c r="AE61" s="244">
        <f t="shared" si="6"/>
        <v>0</v>
      </c>
      <c r="AF61" s="244">
        <f t="shared" si="6"/>
        <v>0</v>
      </c>
      <c r="AG61" s="244">
        <f t="shared" si="6"/>
        <v>0</v>
      </c>
      <c r="AH61" s="244">
        <f t="shared" si="6"/>
        <v>0</v>
      </c>
      <c r="AI61" s="244">
        <f t="shared" si="6"/>
        <v>0</v>
      </c>
      <c r="AJ61" s="244">
        <f t="shared" si="6"/>
        <v>0</v>
      </c>
      <c r="AK61" s="244">
        <f t="shared" si="6"/>
        <v>0</v>
      </c>
      <c r="AL61" s="244">
        <f t="shared" si="6"/>
        <v>0</v>
      </c>
      <c r="AM61" s="244">
        <f t="shared" si="6"/>
        <v>0</v>
      </c>
      <c r="AN61" s="244">
        <f t="shared" si="6"/>
        <v>0</v>
      </c>
      <c r="AO61" s="244">
        <f t="shared" si="6"/>
        <v>0</v>
      </c>
      <c r="AP61" s="244">
        <f t="shared" si="6"/>
        <v>0</v>
      </c>
      <c r="AQ61" s="244">
        <f t="shared" si="6"/>
        <v>0</v>
      </c>
      <c r="AR61" s="244">
        <f t="shared" si="6"/>
        <v>0</v>
      </c>
      <c r="AS61" s="244">
        <f t="shared" si="6"/>
        <v>0</v>
      </c>
      <c r="AT61" s="244">
        <f t="shared" si="6"/>
        <v>0</v>
      </c>
      <c r="AU61" s="244">
        <f t="shared" si="6"/>
        <v>0</v>
      </c>
      <c r="AV61" s="244">
        <f t="shared" si="6"/>
        <v>0</v>
      </c>
      <c r="AW61" s="244">
        <f t="shared" si="6"/>
        <v>0</v>
      </c>
      <c r="AX61" s="244">
        <f t="shared" si="6"/>
        <v>0</v>
      </c>
      <c r="AY61" s="244">
        <f t="shared" si="6"/>
        <v>0</v>
      </c>
      <c r="AZ61" s="244">
        <f t="shared" si="6"/>
        <v>0</v>
      </c>
      <c r="BA61" s="244">
        <f t="shared" si="6"/>
        <v>0</v>
      </c>
      <c r="BB61" s="244">
        <f t="shared" si="6"/>
        <v>0</v>
      </c>
      <c r="BC61" s="244">
        <f t="shared" si="6"/>
        <v>0</v>
      </c>
      <c r="BD61" s="244">
        <f t="shared" si="6"/>
        <v>0</v>
      </c>
      <c r="BE61" s="244">
        <f t="shared" si="6"/>
        <v>0</v>
      </c>
      <c r="BF61" s="244">
        <f t="shared" si="6"/>
        <v>0</v>
      </c>
      <c r="BG61" s="244">
        <f t="shared" si="6"/>
        <v>0</v>
      </c>
      <c r="BH61" s="244">
        <f t="shared" si="6"/>
        <v>0</v>
      </c>
      <c r="BI61" s="244">
        <f t="shared" si="6"/>
        <v>0</v>
      </c>
    </row>
    <row r="62" spans="1:61" x14ac:dyDescent="0.25">
      <c r="A62" s="1" t="s">
        <v>111</v>
      </c>
      <c r="B62" s="244">
        <f t="shared" ref="B62:AG62" si="7">SUM(B12:B23)-B28</f>
        <v>0</v>
      </c>
      <c r="C62" s="244">
        <f t="shared" si="7"/>
        <v>0</v>
      </c>
      <c r="D62" s="244">
        <f t="shared" si="7"/>
        <v>0</v>
      </c>
      <c r="E62" s="244">
        <f t="shared" si="7"/>
        <v>0</v>
      </c>
      <c r="F62" s="244">
        <f t="shared" si="7"/>
        <v>0</v>
      </c>
      <c r="G62" s="244">
        <f t="shared" si="7"/>
        <v>0</v>
      </c>
      <c r="H62" s="244">
        <f t="shared" si="7"/>
        <v>0</v>
      </c>
      <c r="I62" s="244">
        <f t="shared" si="7"/>
        <v>0</v>
      </c>
      <c r="J62" s="244">
        <f t="shared" si="7"/>
        <v>0</v>
      </c>
      <c r="K62" s="244">
        <f t="shared" si="7"/>
        <v>0</v>
      </c>
      <c r="L62" s="244">
        <f t="shared" si="7"/>
        <v>0</v>
      </c>
      <c r="M62" s="244">
        <f t="shared" si="7"/>
        <v>0</v>
      </c>
      <c r="N62" s="244">
        <f t="shared" si="7"/>
        <v>0</v>
      </c>
      <c r="O62" s="244">
        <f t="shared" si="7"/>
        <v>0</v>
      </c>
      <c r="P62" s="244">
        <f t="shared" si="7"/>
        <v>0</v>
      </c>
      <c r="Q62" s="244">
        <f t="shared" si="7"/>
        <v>0</v>
      </c>
      <c r="R62" s="244">
        <f t="shared" si="7"/>
        <v>0</v>
      </c>
      <c r="S62" s="244">
        <f t="shared" si="7"/>
        <v>0</v>
      </c>
      <c r="T62" s="244">
        <f t="shared" si="7"/>
        <v>0</v>
      </c>
      <c r="U62" s="244">
        <f t="shared" si="7"/>
        <v>0</v>
      </c>
      <c r="V62" s="244">
        <f t="shared" si="7"/>
        <v>0</v>
      </c>
      <c r="W62" s="244">
        <f t="shared" si="7"/>
        <v>0</v>
      </c>
      <c r="X62" s="244">
        <f t="shared" si="7"/>
        <v>-8.4376949871511897E-15</v>
      </c>
      <c r="Y62" s="244">
        <f t="shared" si="7"/>
        <v>0</v>
      </c>
      <c r="Z62" s="244">
        <f t="shared" si="7"/>
        <v>0</v>
      </c>
      <c r="AA62" s="244">
        <f t="shared" si="7"/>
        <v>0</v>
      </c>
      <c r="AB62" s="244">
        <f t="shared" si="7"/>
        <v>0</v>
      </c>
      <c r="AC62" s="244">
        <f t="shared" si="7"/>
        <v>0</v>
      </c>
      <c r="AD62" s="244">
        <f t="shared" si="7"/>
        <v>0</v>
      </c>
      <c r="AE62" s="244">
        <f t="shared" si="7"/>
        <v>0</v>
      </c>
      <c r="AF62" s="244">
        <f t="shared" si="7"/>
        <v>0</v>
      </c>
      <c r="AG62" s="244">
        <f t="shared" si="7"/>
        <v>0</v>
      </c>
      <c r="AH62" s="244">
        <f t="shared" ref="AH62:BI62" si="8">SUM(AH12:AH23)-AH28</f>
        <v>0</v>
      </c>
      <c r="AI62" s="244">
        <f t="shared" si="8"/>
        <v>0</v>
      </c>
      <c r="AJ62" s="244">
        <f t="shared" si="8"/>
        <v>0</v>
      </c>
      <c r="AK62" s="244">
        <f t="shared" si="8"/>
        <v>0</v>
      </c>
      <c r="AL62" s="244">
        <f t="shared" si="8"/>
        <v>0</v>
      </c>
      <c r="AM62" s="244">
        <f t="shared" si="8"/>
        <v>0</v>
      </c>
      <c r="AN62" s="244">
        <f t="shared" si="8"/>
        <v>0</v>
      </c>
      <c r="AO62" s="244">
        <f t="shared" si="8"/>
        <v>0</v>
      </c>
      <c r="AP62" s="244">
        <f t="shared" si="8"/>
        <v>0</v>
      </c>
      <c r="AQ62" s="244">
        <f t="shared" si="8"/>
        <v>0</v>
      </c>
      <c r="AR62" s="244">
        <f t="shared" si="8"/>
        <v>0</v>
      </c>
      <c r="AS62" s="244">
        <f t="shared" si="8"/>
        <v>0</v>
      </c>
      <c r="AT62" s="244">
        <f t="shared" si="8"/>
        <v>0</v>
      </c>
      <c r="AU62" s="244">
        <f t="shared" si="8"/>
        <v>0</v>
      </c>
      <c r="AV62" s="244">
        <f t="shared" si="8"/>
        <v>0</v>
      </c>
      <c r="AW62" s="244">
        <f t="shared" si="8"/>
        <v>0</v>
      </c>
      <c r="AX62" s="244">
        <f t="shared" si="8"/>
        <v>0</v>
      </c>
      <c r="AY62" s="244">
        <f t="shared" si="8"/>
        <v>0</v>
      </c>
      <c r="AZ62" s="244">
        <f t="shared" si="8"/>
        <v>0</v>
      </c>
      <c r="BA62" s="244">
        <f t="shared" si="8"/>
        <v>0</v>
      </c>
      <c r="BB62" s="244">
        <f t="shared" si="8"/>
        <v>0</v>
      </c>
      <c r="BC62" s="244">
        <f t="shared" si="8"/>
        <v>0</v>
      </c>
      <c r="BD62" s="244">
        <f t="shared" si="8"/>
        <v>0</v>
      </c>
      <c r="BE62" s="244">
        <f t="shared" si="8"/>
        <v>0</v>
      </c>
      <c r="BF62" s="244">
        <f t="shared" si="8"/>
        <v>0</v>
      </c>
      <c r="BG62" s="244">
        <f t="shared" si="8"/>
        <v>0</v>
      </c>
      <c r="BH62" s="244">
        <f t="shared" si="8"/>
        <v>0</v>
      </c>
      <c r="BI62" s="244">
        <f t="shared" si="8"/>
        <v>0</v>
      </c>
    </row>
    <row r="63" spans="1:61" x14ac:dyDescent="0.25">
      <c r="A63" s="1" t="s">
        <v>122</v>
      </c>
      <c r="B63" s="244">
        <f t="shared" ref="B63:AG63" si="9">SUM(B12:B23,B43)-B51</f>
        <v>0</v>
      </c>
      <c r="C63" s="244">
        <f t="shared" si="9"/>
        <v>0</v>
      </c>
      <c r="D63" s="244">
        <f t="shared" si="9"/>
        <v>0</v>
      </c>
      <c r="E63" s="244">
        <f t="shared" si="9"/>
        <v>0</v>
      </c>
      <c r="F63" s="244">
        <f t="shared" si="9"/>
        <v>0</v>
      </c>
      <c r="G63" s="244">
        <f t="shared" si="9"/>
        <v>0</v>
      </c>
      <c r="H63" s="244">
        <f t="shared" si="9"/>
        <v>0</v>
      </c>
      <c r="I63" s="244">
        <f t="shared" si="9"/>
        <v>0</v>
      </c>
      <c r="J63" s="244">
        <f t="shared" si="9"/>
        <v>0</v>
      </c>
      <c r="K63" s="244">
        <f t="shared" si="9"/>
        <v>0</v>
      </c>
      <c r="L63" s="244">
        <f t="shared" si="9"/>
        <v>0</v>
      </c>
      <c r="M63" s="244">
        <f t="shared" si="9"/>
        <v>0</v>
      </c>
      <c r="N63" s="244">
        <f t="shared" si="9"/>
        <v>0</v>
      </c>
      <c r="O63" s="244">
        <f t="shared" si="9"/>
        <v>0</v>
      </c>
      <c r="P63" s="244">
        <f t="shared" si="9"/>
        <v>0</v>
      </c>
      <c r="Q63" s="244">
        <f t="shared" si="9"/>
        <v>0</v>
      </c>
      <c r="R63" s="244">
        <f t="shared" si="9"/>
        <v>0</v>
      </c>
      <c r="S63" s="244">
        <f t="shared" si="9"/>
        <v>0</v>
      </c>
      <c r="T63" s="244">
        <f t="shared" si="9"/>
        <v>0</v>
      </c>
      <c r="U63" s="244">
        <f t="shared" si="9"/>
        <v>0</v>
      </c>
      <c r="V63" s="244">
        <f t="shared" si="9"/>
        <v>0</v>
      </c>
      <c r="W63" s="244">
        <f t="shared" si="9"/>
        <v>0</v>
      </c>
      <c r="X63" s="244">
        <f t="shared" si="9"/>
        <v>-8.4376949871511897E-15</v>
      </c>
      <c r="Y63" s="244">
        <f t="shared" si="9"/>
        <v>0</v>
      </c>
      <c r="Z63" s="244">
        <f t="shared" si="9"/>
        <v>0</v>
      </c>
      <c r="AA63" s="244">
        <f t="shared" si="9"/>
        <v>0</v>
      </c>
      <c r="AB63" s="244">
        <f t="shared" si="9"/>
        <v>0</v>
      </c>
      <c r="AC63" s="244">
        <f t="shared" si="9"/>
        <v>0</v>
      </c>
      <c r="AD63" s="244">
        <f t="shared" si="9"/>
        <v>0</v>
      </c>
      <c r="AE63" s="244">
        <f t="shared" si="9"/>
        <v>0</v>
      </c>
      <c r="AF63" s="244">
        <f t="shared" si="9"/>
        <v>0</v>
      </c>
      <c r="AG63" s="244">
        <f t="shared" si="9"/>
        <v>0</v>
      </c>
      <c r="AH63" s="244">
        <f t="shared" ref="AH63:BI63" si="10">SUM(AH12:AH23,AH43)-AH51</f>
        <v>0</v>
      </c>
      <c r="AI63" s="244">
        <f t="shared" si="10"/>
        <v>0</v>
      </c>
      <c r="AJ63" s="244">
        <f t="shared" si="10"/>
        <v>0</v>
      </c>
      <c r="AK63" s="244">
        <f t="shared" si="10"/>
        <v>0</v>
      </c>
      <c r="AL63" s="244">
        <f t="shared" si="10"/>
        <v>0</v>
      </c>
      <c r="AM63" s="244">
        <f t="shared" si="10"/>
        <v>0</v>
      </c>
      <c r="AN63" s="244">
        <f t="shared" si="10"/>
        <v>0</v>
      </c>
      <c r="AO63" s="244">
        <f t="shared" si="10"/>
        <v>0</v>
      </c>
      <c r="AP63" s="244">
        <f t="shared" si="10"/>
        <v>0</v>
      </c>
      <c r="AQ63" s="244">
        <f t="shared" si="10"/>
        <v>0</v>
      </c>
      <c r="AR63" s="244">
        <f t="shared" si="10"/>
        <v>0</v>
      </c>
      <c r="AS63" s="244">
        <f t="shared" si="10"/>
        <v>0</v>
      </c>
      <c r="AT63" s="244">
        <f t="shared" si="10"/>
        <v>0</v>
      </c>
      <c r="AU63" s="244">
        <f t="shared" si="10"/>
        <v>0</v>
      </c>
      <c r="AV63" s="244">
        <f t="shared" si="10"/>
        <v>0</v>
      </c>
      <c r="AW63" s="244">
        <f t="shared" si="10"/>
        <v>0</v>
      </c>
      <c r="AX63" s="244">
        <f t="shared" si="10"/>
        <v>0</v>
      </c>
      <c r="AY63" s="244">
        <f t="shared" si="10"/>
        <v>0</v>
      </c>
      <c r="AZ63" s="244">
        <f t="shared" si="10"/>
        <v>0</v>
      </c>
      <c r="BA63" s="244">
        <f t="shared" si="10"/>
        <v>0</v>
      </c>
      <c r="BB63" s="244">
        <f t="shared" si="10"/>
        <v>0</v>
      </c>
      <c r="BC63" s="244">
        <f t="shared" si="10"/>
        <v>0</v>
      </c>
      <c r="BD63" s="244">
        <f t="shared" si="10"/>
        <v>0</v>
      </c>
      <c r="BE63" s="244">
        <f t="shared" si="10"/>
        <v>0</v>
      </c>
      <c r="BF63" s="244">
        <f t="shared" si="10"/>
        <v>0</v>
      </c>
      <c r="BG63" s="244">
        <f t="shared" si="10"/>
        <v>0</v>
      </c>
      <c r="BH63" s="244">
        <f t="shared" si="10"/>
        <v>0</v>
      </c>
      <c r="BI63" s="244">
        <f t="shared" si="10"/>
        <v>0</v>
      </c>
    </row>
    <row r="64" spans="1:61" x14ac:dyDescent="0.25">
      <c r="A64" s="1" t="s">
        <v>122</v>
      </c>
      <c r="B64" s="7">
        <f>SUM(B12:B23,B43)-B51</f>
        <v>0</v>
      </c>
      <c r="C64" s="7">
        <f t="shared" ref="C64:BI64" si="11">SUM(C12:C23,C43)-C51</f>
        <v>0</v>
      </c>
      <c r="D64" s="7">
        <f t="shared" si="11"/>
        <v>0</v>
      </c>
      <c r="E64" s="7">
        <f t="shared" si="11"/>
        <v>0</v>
      </c>
      <c r="F64" s="7">
        <f t="shared" si="11"/>
        <v>0</v>
      </c>
      <c r="G64" s="7">
        <f t="shared" si="11"/>
        <v>0</v>
      </c>
      <c r="H64" s="7">
        <f t="shared" si="11"/>
        <v>0</v>
      </c>
      <c r="I64" s="7">
        <f t="shared" si="11"/>
        <v>0</v>
      </c>
      <c r="J64" s="7">
        <f t="shared" si="11"/>
        <v>0</v>
      </c>
      <c r="K64" s="7">
        <f t="shared" si="11"/>
        <v>0</v>
      </c>
      <c r="L64" s="7">
        <f t="shared" si="11"/>
        <v>0</v>
      </c>
      <c r="M64" s="7">
        <f t="shared" si="11"/>
        <v>0</v>
      </c>
      <c r="N64" s="7">
        <f t="shared" si="11"/>
        <v>0</v>
      </c>
      <c r="O64" s="7">
        <f t="shared" si="11"/>
        <v>0</v>
      </c>
      <c r="P64" s="7">
        <f t="shared" si="11"/>
        <v>0</v>
      </c>
      <c r="Q64" s="7">
        <f t="shared" si="11"/>
        <v>0</v>
      </c>
      <c r="R64" s="7">
        <f t="shared" si="11"/>
        <v>0</v>
      </c>
      <c r="S64" s="7">
        <f t="shared" si="11"/>
        <v>0</v>
      </c>
      <c r="T64" s="7">
        <f t="shared" si="11"/>
        <v>0</v>
      </c>
      <c r="U64" s="7">
        <f t="shared" si="11"/>
        <v>0</v>
      </c>
      <c r="V64" s="7">
        <f t="shared" si="11"/>
        <v>0</v>
      </c>
      <c r="W64" s="7">
        <f t="shared" si="11"/>
        <v>0</v>
      </c>
      <c r="X64" s="7">
        <f t="shared" si="11"/>
        <v>-8.4376949871511897E-15</v>
      </c>
      <c r="Y64" s="7">
        <f t="shared" si="11"/>
        <v>0</v>
      </c>
      <c r="Z64" s="7">
        <f t="shared" si="11"/>
        <v>0</v>
      </c>
      <c r="AA64" s="7">
        <f t="shared" si="11"/>
        <v>0</v>
      </c>
      <c r="AB64" s="7">
        <f t="shared" si="11"/>
        <v>0</v>
      </c>
      <c r="AC64" s="7">
        <f t="shared" si="11"/>
        <v>0</v>
      </c>
      <c r="AD64" s="7">
        <f t="shared" si="11"/>
        <v>0</v>
      </c>
      <c r="AE64" s="7">
        <f t="shared" si="11"/>
        <v>0</v>
      </c>
      <c r="AF64" s="7">
        <f t="shared" si="11"/>
        <v>0</v>
      </c>
      <c r="AG64" s="7">
        <f t="shared" si="11"/>
        <v>0</v>
      </c>
      <c r="AH64" s="7">
        <f t="shared" si="11"/>
        <v>0</v>
      </c>
      <c r="AI64" s="7">
        <f t="shared" si="11"/>
        <v>0</v>
      </c>
      <c r="AJ64" s="7">
        <f t="shared" si="11"/>
        <v>0</v>
      </c>
      <c r="AK64" s="7">
        <f t="shared" si="11"/>
        <v>0</v>
      </c>
      <c r="AL64" s="7">
        <f t="shared" si="11"/>
        <v>0</v>
      </c>
      <c r="AM64" s="7">
        <f t="shared" si="11"/>
        <v>0</v>
      </c>
      <c r="AN64" s="7">
        <f t="shared" si="11"/>
        <v>0</v>
      </c>
      <c r="AO64" s="7">
        <f t="shared" si="11"/>
        <v>0</v>
      </c>
      <c r="AP64" s="7">
        <f t="shared" si="11"/>
        <v>0</v>
      </c>
      <c r="AQ64" s="7">
        <f t="shared" si="11"/>
        <v>0</v>
      </c>
      <c r="AR64" s="7">
        <f t="shared" si="11"/>
        <v>0</v>
      </c>
      <c r="AS64" s="7">
        <f t="shared" si="11"/>
        <v>0</v>
      </c>
      <c r="AT64" s="7">
        <f t="shared" si="11"/>
        <v>0</v>
      </c>
      <c r="AU64" s="7">
        <f t="shared" si="11"/>
        <v>0</v>
      </c>
      <c r="AV64" s="7">
        <f t="shared" si="11"/>
        <v>0</v>
      </c>
      <c r="AW64" s="7">
        <f t="shared" si="11"/>
        <v>0</v>
      </c>
      <c r="AX64" s="7">
        <f t="shared" si="11"/>
        <v>0</v>
      </c>
      <c r="AY64" s="7">
        <f t="shared" si="11"/>
        <v>0</v>
      </c>
      <c r="AZ64" s="7">
        <f t="shared" si="11"/>
        <v>0</v>
      </c>
      <c r="BA64" s="7">
        <f t="shared" si="11"/>
        <v>0</v>
      </c>
      <c r="BB64" s="7">
        <f t="shared" si="11"/>
        <v>0</v>
      </c>
      <c r="BC64" s="7">
        <f t="shared" si="11"/>
        <v>0</v>
      </c>
      <c r="BD64" s="7">
        <f t="shared" si="11"/>
        <v>0</v>
      </c>
      <c r="BE64" s="7">
        <f t="shared" si="11"/>
        <v>0</v>
      </c>
      <c r="BF64" s="7">
        <f t="shared" si="11"/>
        <v>0</v>
      </c>
      <c r="BG64" s="7">
        <f t="shared" si="11"/>
        <v>0</v>
      </c>
      <c r="BH64" s="7">
        <f t="shared" si="11"/>
        <v>0</v>
      </c>
      <c r="BI64" s="7">
        <f t="shared" si="11"/>
        <v>0</v>
      </c>
    </row>
    <row r="65" spans="1:61" x14ac:dyDescent="0.2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x14ac:dyDescent="0.25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x14ac:dyDescent="0.25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Mtd Dashboard</vt:lpstr>
      <vt:lpstr>Monthly Dashboard</vt:lpstr>
      <vt:lpstr>P&amp;L</vt:lpstr>
      <vt:lpstr>Sales</vt:lpstr>
      <vt:lpstr>Preparação</vt:lpstr>
      <vt:lpstr>Comparativo</vt:lpstr>
      <vt:lpstr>Total Sales</vt:lpstr>
      <vt:lpstr>Gross Profit 1</vt:lpstr>
      <vt:lpstr>Var+OCOS</vt:lpstr>
      <vt:lpstr>Gross Profit 2</vt:lpstr>
      <vt:lpstr>Total OPEX</vt:lpstr>
      <vt:lpstr>EBIT</vt:lpstr>
      <vt:lpstr>Total Sales Brazil</vt:lpstr>
      <vt:lpstr>'Monthly Dashboard'!Print_Area</vt:lpstr>
      <vt:lpstr>'Mtd Dashboard'!Print_Area</vt:lpstr>
    </vt:vector>
  </TitlesOfParts>
  <Company>Leica Geosystems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Leite</dc:creator>
  <cp:lastModifiedBy>LEITE Celso</cp:lastModifiedBy>
  <cp:lastPrinted>2017-02-23T17:46:53Z</cp:lastPrinted>
  <dcterms:created xsi:type="dcterms:W3CDTF">2015-10-09T18:43:30Z</dcterms:created>
  <dcterms:modified xsi:type="dcterms:W3CDTF">2019-08-12T13:23:22Z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