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4700" tabRatio="500"/>
  </bookViews>
  <sheets>
    <sheet name="Pauly 1980&amp;fishbas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1" i="1" l="1"/>
  <c r="R71" i="1"/>
  <c r="P56" i="1"/>
  <c r="Q56" i="1"/>
  <c r="Q71" i="1"/>
  <c r="Q72" i="1"/>
  <c r="L71" i="1"/>
  <c r="R60" i="1"/>
  <c r="R59" i="1"/>
  <c r="M71" i="1"/>
  <c r="O71" i="1"/>
  <c r="P71" i="1"/>
  <c r="L72" i="1"/>
  <c r="M72" i="1"/>
  <c r="O72" i="1"/>
  <c r="P72" i="1"/>
  <c r="R72" i="1"/>
  <c r="L73" i="1"/>
  <c r="M73" i="1"/>
  <c r="O73" i="1"/>
  <c r="P73" i="1"/>
  <c r="Q73" i="1"/>
  <c r="R73" i="1"/>
  <c r="L74" i="1"/>
  <c r="M74" i="1"/>
  <c r="O74" i="1"/>
  <c r="P74" i="1"/>
  <c r="Q74" i="1"/>
  <c r="R74" i="1"/>
  <c r="K74" i="1"/>
  <c r="K73" i="1"/>
  <c r="K72" i="1"/>
  <c r="K71" i="1"/>
  <c r="R63" i="1"/>
  <c r="R62" i="1"/>
  <c r="R61" i="1"/>
  <c r="R58" i="1"/>
  <c r="R57" i="1"/>
  <c r="R54" i="1"/>
  <c r="R50" i="1"/>
  <c r="R51" i="1"/>
  <c r="R52" i="1"/>
  <c r="R53" i="1"/>
  <c r="R49" i="1"/>
  <c r="R48" i="1"/>
  <c r="R47" i="1"/>
  <c r="R46" i="1"/>
  <c r="R45" i="1"/>
  <c r="R30" i="1"/>
  <c r="R31" i="1"/>
  <c r="R32" i="1"/>
  <c r="R33" i="1"/>
  <c r="R34" i="1"/>
  <c r="R35" i="1"/>
  <c r="R36" i="1"/>
  <c r="R37" i="1"/>
  <c r="R38" i="1"/>
  <c r="R40" i="1"/>
  <c r="R42" i="1"/>
  <c r="R43" i="1"/>
  <c r="R44" i="1"/>
  <c r="R29" i="1"/>
  <c r="R28" i="1"/>
  <c r="R26" i="1"/>
  <c r="R27" i="1"/>
  <c r="R25" i="1"/>
  <c r="R24" i="1"/>
  <c r="R22" i="1"/>
  <c r="R23" i="1"/>
  <c r="R21" i="1"/>
  <c r="R20" i="1"/>
  <c r="R19" i="1"/>
  <c r="R18" i="1"/>
  <c r="R17" i="1"/>
  <c r="R16" i="1"/>
  <c r="R15" i="1"/>
  <c r="R12" i="1"/>
  <c r="R4" i="1"/>
  <c r="R5" i="1"/>
  <c r="R6" i="1"/>
  <c r="R7" i="1"/>
  <c r="R8" i="1"/>
  <c r="R9" i="1"/>
  <c r="R10" i="1"/>
  <c r="R11" i="1"/>
  <c r="R3" i="1"/>
  <c r="Q3" i="1"/>
  <c r="Q63" i="1"/>
  <c r="Q60" i="1"/>
  <c r="Q59" i="1"/>
  <c r="Q57" i="1"/>
  <c r="Q58" i="1"/>
  <c r="Q54" i="1"/>
  <c r="Q50" i="1"/>
  <c r="Q51" i="1"/>
  <c r="Q52" i="1"/>
  <c r="Q53" i="1"/>
  <c r="Q49" i="1"/>
  <c r="Q48" i="1"/>
  <c r="Q47" i="1"/>
  <c r="Q46" i="1"/>
  <c r="Q45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29" i="1"/>
  <c r="Q28" i="1"/>
  <c r="Q26" i="1"/>
  <c r="Q27" i="1"/>
  <c r="Q25" i="1"/>
  <c r="Q24" i="1"/>
  <c r="Q20" i="1"/>
  <c r="Q21" i="1"/>
  <c r="Q22" i="1"/>
  <c r="Q23" i="1"/>
  <c r="Q19" i="1"/>
  <c r="Q18" i="1"/>
  <c r="Q17" i="1"/>
  <c r="Q16" i="1"/>
  <c r="Q15" i="1"/>
  <c r="Q12" i="1"/>
  <c r="Q4" i="1"/>
  <c r="Q5" i="1"/>
  <c r="Q6" i="1"/>
  <c r="Q7" i="1"/>
  <c r="Q8" i="1"/>
  <c r="Q9" i="1"/>
  <c r="Q10" i="1"/>
  <c r="Q11" i="1"/>
  <c r="P63" i="1"/>
  <c r="P59" i="1"/>
  <c r="P54" i="1"/>
  <c r="P48" i="1"/>
  <c r="P45" i="1"/>
  <c r="P28" i="1"/>
  <c r="P24" i="1"/>
  <c r="P17" i="1"/>
  <c r="P12" i="1"/>
  <c r="P15" i="1"/>
  <c r="P16" i="1"/>
  <c r="P18" i="1"/>
  <c r="P19" i="1"/>
  <c r="P20" i="1"/>
  <c r="P21" i="1"/>
  <c r="P22" i="1"/>
  <c r="P23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6" i="1"/>
  <c r="P47" i="1"/>
  <c r="P49" i="1"/>
  <c r="P50" i="1"/>
  <c r="P51" i="1"/>
  <c r="P52" i="1"/>
  <c r="P53" i="1"/>
  <c r="P57" i="1"/>
  <c r="P58" i="1"/>
  <c r="P60" i="1"/>
  <c r="P61" i="1"/>
  <c r="P62" i="1"/>
  <c r="P4" i="1"/>
  <c r="P5" i="1"/>
  <c r="P6" i="1"/>
  <c r="P7" i="1"/>
  <c r="P8" i="1"/>
  <c r="P9" i="1"/>
  <c r="P10" i="1"/>
  <c r="P11" i="1"/>
  <c r="P3" i="1"/>
  <c r="O63" i="1"/>
  <c r="O59" i="1"/>
  <c r="O56" i="1"/>
  <c r="O57" i="1"/>
  <c r="O54" i="1"/>
  <c r="O48" i="1"/>
  <c r="O45" i="1"/>
  <c r="O28" i="1"/>
  <c r="O24" i="1"/>
  <c r="O19" i="1"/>
  <c r="O18" i="1"/>
  <c r="O17" i="1"/>
  <c r="O12" i="1"/>
  <c r="O3" i="1"/>
  <c r="O4" i="1"/>
  <c r="O5" i="1"/>
  <c r="O6" i="1"/>
  <c r="O7" i="1"/>
  <c r="O8" i="1"/>
  <c r="O9" i="1"/>
  <c r="O10" i="1"/>
  <c r="O11" i="1"/>
  <c r="O15" i="1"/>
  <c r="O16" i="1"/>
  <c r="O20" i="1"/>
  <c r="O21" i="1"/>
  <c r="O22" i="1"/>
  <c r="O23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6" i="1"/>
  <c r="O47" i="1"/>
  <c r="O49" i="1"/>
  <c r="O50" i="1"/>
  <c r="O51" i="1"/>
  <c r="O52" i="1"/>
  <c r="O53" i="1"/>
  <c r="O58" i="1"/>
  <c r="O60" i="1"/>
  <c r="O61" i="1"/>
  <c r="O62" i="1"/>
  <c r="O64" i="1"/>
  <c r="L63" i="1"/>
  <c r="M63" i="1"/>
  <c r="K63" i="1"/>
  <c r="K62" i="1"/>
  <c r="K61" i="1"/>
  <c r="K60" i="1"/>
  <c r="L59" i="1"/>
  <c r="M59" i="1"/>
  <c r="K59" i="1"/>
  <c r="K58" i="1"/>
  <c r="K57" i="1"/>
  <c r="L54" i="1"/>
  <c r="M54" i="1"/>
  <c r="K54" i="1"/>
  <c r="K50" i="1"/>
  <c r="K51" i="1"/>
  <c r="K52" i="1"/>
  <c r="K53" i="1"/>
  <c r="K49" i="1"/>
  <c r="L48" i="1"/>
  <c r="M48" i="1"/>
  <c r="K48" i="1"/>
  <c r="K47" i="1"/>
  <c r="K46" i="1"/>
  <c r="L45" i="1"/>
  <c r="M45" i="1"/>
  <c r="K45" i="1"/>
  <c r="K30" i="1"/>
  <c r="K31" i="1"/>
  <c r="K32" i="1"/>
  <c r="K33" i="1"/>
  <c r="K34" i="1"/>
  <c r="K35" i="1"/>
  <c r="K36" i="1"/>
  <c r="K37" i="1"/>
  <c r="K38" i="1"/>
  <c r="K40" i="1"/>
  <c r="K42" i="1"/>
  <c r="K43" i="1"/>
  <c r="K44" i="1"/>
  <c r="K29" i="1"/>
  <c r="L28" i="1"/>
  <c r="M28" i="1"/>
  <c r="K28" i="1"/>
  <c r="K26" i="1"/>
  <c r="K27" i="1"/>
  <c r="K25" i="1"/>
  <c r="L24" i="1"/>
  <c r="M24" i="1"/>
  <c r="K20" i="1"/>
  <c r="K21" i="1"/>
  <c r="K22" i="1"/>
  <c r="K23" i="1"/>
  <c r="K24" i="1"/>
  <c r="K19" i="1"/>
  <c r="K16" i="1"/>
  <c r="K18" i="1"/>
  <c r="K15" i="1"/>
  <c r="L17" i="1"/>
  <c r="M17" i="1"/>
  <c r="K17" i="1"/>
  <c r="L12" i="1"/>
  <c r="M12" i="1"/>
  <c r="K3" i="1"/>
  <c r="K4" i="1"/>
  <c r="K5" i="1"/>
  <c r="K6" i="1"/>
  <c r="K7" i="1"/>
  <c r="K8" i="1"/>
  <c r="K9" i="1"/>
  <c r="K10" i="1"/>
  <c r="K11" i="1"/>
  <c r="K12" i="1"/>
  <c r="D12" i="1"/>
  <c r="D24" i="1"/>
  <c r="D45" i="1"/>
  <c r="D63" i="1"/>
  <c r="D72" i="1"/>
  <c r="I72" i="1"/>
  <c r="D17" i="1"/>
  <c r="D28" i="1"/>
  <c r="D48" i="1"/>
  <c r="D54" i="1"/>
  <c r="D59" i="1"/>
  <c r="D71" i="1"/>
  <c r="H71" i="1"/>
  <c r="D73" i="1"/>
  <c r="H73" i="1"/>
  <c r="H72" i="1"/>
  <c r="I73" i="1"/>
  <c r="D74" i="1"/>
  <c r="I74" i="1"/>
  <c r="H74" i="1"/>
  <c r="C72" i="1"/>
  <c r="G12" i="1"/>
  <c r="G24" i="1"/>
  <c r="G45" i="1"/>
  <c r="G63" i="1"/>
  <c r="G72" i="1"/>
  <c r="C73" i="1"/>
  <c r="C74" i="1"/>
  <c r="C71" i="1"/>
  <c r="E12" i="1"/>
  <c r="E24" i="1"/>
  <c r="E45" i="1"/>
  <c r="E63" i="1"/>
  <c r="E74" i="1"/>
  <c r="F12" i="1"/>
  <c r="F24" i="1"/>
  <c r="F45" i="1"/>
  <c r="F63" i="1"/>
  <c r="F74" i="1"/>
  <c r="G74" i="1"/>
  <c r="E17" i="1"/>
  <c r="E28" i="1"/>
  <c r="E48" i="1"/>
  <c r="E54" i="1"/>
  <c r="E59" i="1"/>
  <c r="E73" i="1"/>
  <c r="F17" i="1"/>
  <c r="F28" i="1"/>
  <c r="F48" i="1"/>
  <c r="F54" i="1"/>
  <c r="F59" i="1"/>
  <c r="F73" i="1"/>
  <c r="G17" i="1"/>
  <c r="G28" i="1"/>
  <c r="G48" i="1"/>
  <c r="G54" i="1"/>
  <c r="G59" i="1"/>
  <c r="G73" i="1"/>
  <c r="E72" i="1"/>
  <c r="F72" i="1"/>
  <c r="E71" i="1"/>
  <c r="F71" i="1"/>
  <c r="G71" i="1"/>
  <c r="E69" i="1"/>
  <c r="F69" i="1"/>
  <c r="G69" i="1"/>
  <c r="D69" i="1"/>
  <c r="E68" i="1"/>
  <c r="F68" i="1"/>
  <c r="G68" i="1"/>
  <c r="D68" i="1"/>
  <c r="E66" i="1"/>
  <c r="E67" i="1"/>
  <c r="F66" i="1"/>
  <c r="F67" i="1"/>
  <c r="G66" i="1"/>
  <c r="G67" i="1"/>
  <c r="D66" i="1"/>
  <c r="D67" i="1"/>
  <c r="H63" i="1"/>
  <c r="H17" i="1"/>
</calcChain>
</file>

<file path=xl/comments1.xml><?xml version="1.0" encoding="utf-8"?>
<comments xmlns="http://schemas.openxmlformats.org/spreadsheetml/2006/main">
  <authors>
    <author>Susa Niiranen</author>
  </authors>
  <commentList>
    <comment ref="K71" authorId="0">
      <text>
        <r>
          <rPr>
            <b/>
            <sz val="9"/>
            <color indexed="81"/>
            <rFont val="Calibri"/>
            <family val="2"/>
          </rPr>
          <t>Susa Niiranen:</t>
        </r>
        <r>
          <rPr>
            <sz val="9"/>
            <color indexed="81"/>
            <rFont val="Calibri"/>
            <family val="2"/>
          </rPr>
          <t xml:space="preserve">
weigth(inf, g) calculated from length; planktivores</t>
        </r>
      </text>
    </comment>
    <comment ref="R71" authorId="0">
      <text>
        <r>
          <rPr>
            <b/>
            <sz val="9"/>
            <color indexed="81"/>
            <rFont val="Calibri"/>
            <family val="2"/>
          </rPr>
          <t>Susa Niiranen:</t>
        </r>
        <r>
          <rPr>
            <sz val="9"/>
            <color indexed="81"/>
            <rFont val="Calibri"/>
            <family val="2"/>
          </rPr>
          <t xml:space="preserve">
weight (maturity, g) calculated using Loo (eq. From froese et al. 2000), piscivores</t>
        </r>
      </text>
    </comment>
    <comment ref="K72" authorId="0">
      <text>
        <r>
          <rPr>
            <b/>
            <sz val="9"/>
            <color indexed="81"/>
            <rFont val="Calibri"/>
            <family val="2"/>
          </rPr>
          <t>Susa Niiranen:</t>
        </r>
        <r>
          <rPr>
            <sz val="9"/>
            <color indexed="81"/>
            <rFont val="Calibri"/>
            <family val="2"/>
          </rPr>
          <t xml:space="preserve">
weigth(inf, g) calculated from length; piscivores</t>
        </r>
      </text>
    </comment>
    <comment ref="R72" authorId="0">
      <text>
        <r>
          <rPr>
            <b/>
            <sz val="9"/>
            <color indexed="81"/>
            <rFont val="Calibri"/>
            <family val="2"/>
          </rPr>
          <t>Susa Niiranen:</t>
        </r>
        <r>
          <rPr>
            <sz val="9"/>
            <color indexed="81"/>
            <rFont val="Calibri"/>
            <family val="2"/>
          </rPr>
          <t xml:space="preserve">
weight (maturity, g) calculated using Loo (eq. From froese et al. 2000), planktivores</t>
        </r>
      </text>
    </comment>
    <comment ref="J89" authorId="0">
      <text>
        <r>
          <rPr>
            <b/>
            <sz val="9"/>
            <color indexed="81"/>
            <rFont val="Calibri"/>
            <family val="2"/>
          </rPr>
          <t>Susa Niiranen:</t>
        </r>
        <r>
          <rPr>
            <sz val="9"/>
            <color indexed="81"/>
            <rFont val="Calibri"/>
            <family val="2"/>
          </rPr>
          <t xml:space="preserve">
calculated something wrong.
</t>
        </r>
      </text>
    </comment>
  </commentList>
</comments>
</file>

<file path=xl/sharedStrings.xml><?xml version="1.0" encoding="utf-8"?>
<sst xmlns="http://schemas.openxmlformats.org/spreadsheetml/2006/main" count="344" uniqueCount="119">
  <si>
    <t>species</t>
  </si>
  <si>
    <t>lat.name</t>
  </si>
  <si>
    <t>habitat</t>
  </si>
  <si>
    <t>Alaska pollock</t>
  </si>
  <si>
    <t>Theragra/Gadus chalcogramma</t>
  </si>
  <si>
    <t>demersal</t>
  </si>
  <si>
    <t>Atlantic cod</t>
  </si>
  <si>
    <t>Gadus morhua</t>
  </si>
  <si>
    <t>Largehead hairtail</t>
  </si>
  <si>
    <t>Trichiurus lepturusa</t>
  </si>
  <si>
    <t>Micromesistius poutassou</t>
  </si>
  <si>
    <t>Blue whiting</t>
  </si>
  <si>
    <t>sandeels</t>
  </si>
  <si>
    <t>Ammodytes</t>
  </si>
  <si>
    <t>haddock</t>
  </si>
  <si>
    <t>Melanogramus aeglefinus</t>
  </si>
  <si>
    <t>saithe</t>
  </si>
  <si>
    <t>Pollachius virens</t>
  </si>
  <si>
    <t>cape hakes</t>
  </si>
  <si>
    <t>Atlantic redfish</t>
  </si>
  <si>
    <t>Sebastes marinus</t>
  </si>
  <si>
    <t>flatfishes</t>
  </si>
  <si>
    <t>Pleuronectidae, Soleidae…</t>
  </si>
  <si>
    <t>anchoveta</t>
  </si>
  <si>
    <t>Engraulis ringens</t>
  </si>
  <si>
    <t>pelagic</t>
  </si>
  <si>
    <t>Atlantic herring</t>
  </si>
  <si>
    <t>Clupea harengus</t>
  </si>
  <si>
    <t>Chub mackerel</t>
  </si>
  <si>
    <t>Scomber japonicus</t>
  </si>
  <si>
    <t>Japanese pichard</t>
  </si>
  <si>
    <t>Sardinops melanopticus</t>
  </si>
  <si>
    <t>South american pichard</t>
  </si>
  <si>
    <t>Sardinops sagax</t>
  </si>
  <si>
    <t>capelin</t>
  </si>
  <si>
    <t>Mallotus villotus</t>
  </si>
  <si>
    <t>skipjack tuna</t>
  </si>
  <si>
    <t>European pichard</t>
  </si>
  <si>
    <t>Sardina pilchardus</t>
  </si>
  <si>
    <t>Japanese anchovy</t>
  </si>
  <si>
    <t>Engraulis japonicus</t>
  </si>
  <si>
    <t>Linf (cm)</t>
  </si>
  <si>
    <t>Winf (g)</t>
  </si>
  <si>
    <t>K</t>
  </si>
  <si>
    <t>M</t>
  </si>
  <si>
    <t>no in Pauly</t>
  </si>
  <si>
    <t>no</t>
  </si>
  <si>
    <t>Ammodytes marinus</t>
  </si>
  <si>
    <t>Ammodytes tobianus</t>
  </si>
  <si>
    <t>Merlucisus gayi</t>
  </si>
  <si>
    <t>Merlucisus merluccius</t>
  </si>
  <si>
    <t>Merlucisus productus</t>
  </si>
  <si>
    <t>note</t>
  </si>
  <si>
    <t>other hakes</t>
  </si>
  <si>
    <t>S. alutus</t>
  </si>
  <si>
    <t>Eopsetta jordani</t>
  </si>
  <si>
    <t>Hippoglossoides platessoides</t>
  </si>
  <si>
    <t>Limanda ferruginea</t>
  </si>
  <si>
    <t>Platichthys flesus</t>
  </si>
  <si>
    <t>Pseudopleuronectes americanus</t>
  </si>
  <si>
    <t>Pleuronectes platessa</t>
  </si>
  <si>
    <t>Solea vulgaris</t>
  </si>
  <si>
    <t>Atlantic cod av</t>
  </si>
  <si>
    <t>54-62</t>
  </si>
  <si>
    <t>sandeels av</t>
  </si>
  <si>
    <t>Merlucisus</t>
  </si>
  <si>
    <t>69-73</t>
  </si>
  <si>
    <t>Sebastes</t>
  </si>
  <si>
    <t>138-139</t>
  </si>
  <si>
    <t>158-173</t>
  </si>
  <si>
    <t>cape hakes av</t>
  </si>
  <si>
    <t>Atlantic redfish av</t>
  </si>
  <si>
    <t>flatfishes av</t>
  </si>
  <si>
    <t>anchoveta av</t>
  </si>
  <si>
    <t>29-30</t>
  </si>
  <si>
    <t>Atlantic herring av</t>
  </si>
  <si>
    <t>8-12</t>
  </si>
  <si>
    <t>South american pichard av</t>
  </si>
  <si>
    <t>17-18</t>
  </si>
  <si>
    <t>skipjack tuna av</t>
  </si>
  <si>
    <t>demersal av</t>
  </si>
  <si>
    <t>pelagic av</t>
  </si>
  <si>
    <t>demersal max</t>
  </si>
  <si>
    <t>pelagic max</t>
  </si>
  <si>
    <t>diet</t>
  </si>
  <si>
    <t>-</t>
  </si>
  <si>
    <t>pisc, b</t>
  </si>
  <si>
    <t>pl</t>
  </si>
  <si>
    <t>Katsuwonus pelamis</t>
  </si>
  <si>
    <t>pisc</t>
  </si>
  <si>
    <t>Lmax (cm)</t>
  </si>
  <si>
    <t>log()Lmat</t>
  </si>
  <si>
    <t>b</t>
  </si>
  <si>
    <t>a</t>
  </si>
  <si>
    <t>Log(Linf)</t>
  </si>
  <si>
    <t>Winf calc</t>
  </si>
  <si>
    <t>peruvian</t>
  </si>
  <si>
    <t>alutus</t>
  </si>
  <si>
    <t>Solea solea</t>
  </si>
  <si>
    <t>Lmax</t>
  </si>
  <si>
    <t>Log(Lmat)</t>
  </si>
  <si>
    <t>Lmat</t>
  </si>
  <si>
    <t>Wmat</t>
  </si>
  <si>
    <t>comments</t>
  </si>
  <si>
    <t>Wmat(g)</t>
  </si>
  <si>
    <t>Winf(g) calc</t>
  </si>
  <si>
    <t>planktivores averages</t>
  </si>
  <si>
    <t>piscivores averages</t>
  </si>
  <si>
    <t>planktivores max</t>
  </si>
  <si>
    <t>piscivores max</t>
  </si>
  <si>
    <t>Linf (cm, Pauly 1980)</t>
  </si>
  <si>
    <t>Winf (g, Pauly 1980)</t>
  </si>
  <si>
    <t>K (Pauly 1980)</t>
  </si>
  <si>
    <t>M (Pauly 1980)</t>
  </si>
  <si>
    <t>a (fishbase)</t>
  </si>
  <si>
    <t>b (fishbase)</t>
  </si>
  <si>
    <t>Log(Lmat, Froese et al. 2000)</t>
  </si>
  <si>
    <t>weight(in g) = a * Length (in cm) ^ b</t>
  </si>
  <si>
    <t>log(Lmat) = 0.8979*LOG(Linf)-0.0782 (Froese et al. 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</si>
</sst>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0" tint="-0.249977111117893"/>
      <name val="Calibri"/>
      <scheme val="minor"/>
    </font>
    <font>
      <b/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Fill="1" applyBorder="1"/>
    <xf numFmtId="0" fontId="1" fillId="0" borderId="0" xfId="0" quotePrefix="1" applyFont="1"/>
    <xf numFmtId="0" fontId="10" fillId="0" borderId="0" xfId="0" applyFont="1"/>
    <xf numFmtId="0" fontId="11" fillId="0" borderId="0" xfId="0" applyFont="1"/>
    <xf numFmtId="0" fontId="6" fillId="0" borderId="0" xfId="0" applyFont="1" applyFill="1" applyBorder="1"/>
    <xf numFmtId="0" fontId="6" fillId="0" borderId="0" xfId="0" applyFont="1" applyBorder="1"/>
    <xf numFmtId="0" fontId="1" fillId="0" borderId="1" xfId="0" applyFont="1" applyFill="1" applyBorder="1"/>
    <xf numFmtId="0" fontId="1" fillId="0" borderId="2" xfId="0" applyFont="1" applyFill="1" applyBorder="1"/>
    <xf numFmtId="0" fontId="6" fillId="0" borderId="5" xfId="0" applyFont="1" applyBorder="1"/>
    <xf numFmtId="0" fontId="1" fillId="0" borderId="7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5" fillId="0" borderId="0" xfId="0" applyFont="1" applyFill="1" applyBorder="1"/>
    <xf numFmtId="0" fontId="0" fillId="0" borderId="0" xfId="0" applyFill="1" applyBorder="1"/>
    <xf numFmtId="0" fontId="9" fillId="0" borderId="0" xfId="0" applyFont="1" applyFill="1" applyBorder="1"/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9"/>
  <sheetViews>
    <sheetView tabSelected="1" topLeftCell="D51" workbookViewId="0">
      <selection activeCell="K78" sqref="K78"/>
    </sheetView>
  </sheetViews>
  <sheetFormatPr baseColWidth="10" defaultRowHeight="15" x14ac:dyDescent="0"/>
  <cols>
    <col min="1" max="1" width="22.83203125" bestFit="1" customWidth="1"/>
    <col min="2" max="2" width="26.83203125" bestFit="1" customWidth="1"/>
    <col min="9" max="9" width="27.6640625" style="26" bestFit="1" customWidth="1"/>
    <col min="10" max="19" width="10.83203125" style="26"/>
  </cols>
  <sheetData>
    <row r="1" spans="1:18" customFormat="1">
      <c r="A1" s="1" t="s">
        <v>0</v>
      </c>
      <c r="B1" s="1" t="s">
        <v>1</v>
      </c>
      <c r="C1" s="1" t="s">
        <v>2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45</v>
      </c>
      <c r="I1" s="1" t="s">
        <v>52</v>
      </c>
      <c r="J1" s="1" t="s">
        <v>84</v>
      </c>
      <c r="K1" s="1" t="s">
        <v>95</v>
      </c>
      <c r="L1" s="1" t="s">
        <v>114</v>
      </c>
      <c r="M1" s="1" t="s">
        <v>115</v>
      </c>
      <c r="O1" s="1" t="s">
        <v>99</v>
      </c>
      <c r="P1" s="1" t="s">
        <v>116</v>
      </c>
      <c r="Q1" s="1" t="s">
        <v>101</v>
      </c>
      <c r="R1" s="1" t="s">
        <v>102</v>
      </c>
    </row>
    <row r="2" spans="1:18" s="1" customFormat="1">
      <c r="A2" s="1" t="s">
        <v>3</v>
      </c>
      <c r="B2" s="1" t="s">
        <v>4</v>
      </c>
      <c r="C2" s="1" t="s">
        <v>5</v>
      </c>
      <c r="H2" s="1" t="s">
        <v>46</v>
      </c>
      <c r="J2" s="1" t="s">
        <v>85</v>
      </c>
      <c r="L2" s="1">
        <v>1.35E-2</v>
      </c>
      <c r="M2" s="1">
        <v>2.82</v>
      </c>
      <c r="O2" s="2"/>
    </row>
    <row r="3" spans="1:18" customFormat="1">
      <c r="A3" s="3" t="s">
        <v>6</v>
      </c>
      <c r="B3" s="3" t="s">
        <v>7</v>
      </c>
      <c r="C3" s="3" t="s">
        <v>5</v>
      </c>
      <c r="D3" s="3">
        <v>134</v>
      </c>
      <c r="E3" s="3">
        <v>24000</v>
      </c>
      <c r="F3" s="3">
        <v>0.1</v>
      </c>
      <c r="G3" s="3">
        <v>0.1</v>
      </c>
      <c r="H3" s="3">
        <v>54</v>
      </c>
      <c r="J3" t="s">
        <v>86</v>
      </c>
      <c r="K3">
        <f>L3*D3^M3</f>
        <v>24282.686127645266</v>
      </c>
      <c r="L3">
        <v>7.9000000000000008E-3</v>
      </c>
      <c r="M3">
        <v>3.05</v>
      </c>
      <c r="O3" s="2">
        <f t="shared" ref="O3:O64" si="0">D3*0.95</f>
        <v>127.3</v>
      </c>
      <c r="P3">
        <f>0.8979*LOG(D3, 10)-0.0782</f>
        <v>1.8317273984517604</v>
      </c>
      <c r="Q3">
        <f>10^P3</f>
        <v>67.877743824255262</v>
      </c>
      <c r="R3">
        <f>L3*Q3^M3</f>
        <v>3050.6729875200899</v>
      </c>
    </row>
    <row r="4" spans="1:18" customFormat="1">
      <c r="A4" s="3" t="s">
        <v>6</v>
      </c>
      <c r="B4" s="3" t="s">
        <v>7</v>
      </c>
      <c r="C4" s="3" t="s">
        <v>5</v>
      </c>
      <c r="D4" s="3">
        <v>115</v>
      </c>
      <c r="E4" s="3">
        <v>15000</v>
      </c>
      <c r="F4" s="3">
        <v>0.1</v>
      </c>
      <c r="G4" s="3">
        <v>0.1</v>
      </c>
      <c r="H4" s="3">
        <v>55</v>
      </c>
      <c r="J4" t="s">
        <v>86</v>
      </c>
      <c r="K4">
        <f t="shared" ref="K4:K11" si="1">L4*D4^M4</f>
        <v>15231.94996246874</v>
      </c>
      <c r="L4">
        <v>7.9000000000000008E-3</v>
      </c>
      <c r="M4">
        <v>3.05</v>
      </c>
      <c r="O4" s="2">
        <f t="shared" si="0"/>
        <v>109.25</v>
      </c>
      <c r="P4">
        <f t="shared" ref="P4:P64" si="2">0.8979*LOG(D4, 10)-0.0782</f>
        <v>1.7721005908535077</v>
      </c>
      <c r="Q4">
        <f t="shared" ref="Q4:Q11" si="3">10^P4</f>
        <v>59.169866695857444</v>
      </c>
      <c r="R4">
        <f t="shared" ref="R4:R11" si="4">L4*Q4^M4</f>
        <v>2006.9377101882055</v>
      </c>
    </row>
    <row r="5" spans="1:18" customFormat="1">
      <c r="A5" s="3" t="s">
        <v>6</v>
      </c>
      <c r="B5" s="3" t="s">
        <v>7</v>
      </c>
      <c r="C5" s="3" t="s">
        <v>5</v>
      </c>
      <c r="D5" s="3">
        <v>103</v>
      </c>
      <c r="E5" s="3">
        <v>11000</v>
      </c>
      <c r="F5" s="3">
        <v>0.15</v>
      </c>
      <c r="G5" s="3">
        <v>0.33</v>
      </c>
      <c r="H5" s="3">
        <v>56</v>
      </c>
      <c r="J5" t="s">
        <v>86</v>
      </c>
      <c r="K5">
        <f t="shared" si="1"/>
        <v>10883.801855188818</v>
      </c>
      <c r="L5">
        <v>7.9000000000000008E-3</v>
      </c>
      <c r="M5">
        <v>3.05</v>
      </c>
      <c r="O5" s="2">
        <f t="shared" si="0"/>
        <v>97.85</v>
      </c>
      <c r="P5">
        <f t="shared" si="2"/>
        <v>1.7291265440627739</v>
      </c>
      <c r="Q5">
        <f t="shared" si="3"/>
        <v>53.59527998721618</v>
      </c>
      <c r="R5">
        <f t="shared" si="4"/>
        <v>1484.0996090581264</v>
      </c>
    </row>
    <row r="6" spans="1:18" customFormat="1">
      <c r="A6" s="3" t="s">
        <v>6</v>
      </c>
      <c r="B6" s="3" t="s">
        <v>7</v>
      </c>
      <c r="C6" s="3" t="s">
        <v>5</v>
      </c>
      <c r="D6" s="3">
        <v>115</v>
      </c>
      <c r="E6" s="3">
        <v>16350</v>
      </c>
      <c r="F6" s="3">
        <v>0.19</v>
      </c>
      <c r="G6" s="3">
        <v>0.17</v>
      </c>
      <c r="H6" s="3">
        <v>57</v>
      </c>
      <c r="J6" t="s">
        <v>86</v>
      </c>
      <c r="K6">
        <f t="shared" si="1"/>
        <v>15231.94996246874</v>
      </c>
      <c r="L6">
        <v>7.9000000000000008E-3</v>
      </c>
      <c r="M6">
        <v>3.05</v>
      </c>
      <c r="O6" s="2">
        <f t="shared" si="0"/>
        <v>109.25</v>
      </c>
      <c r="P6">
        <f t="shared" si="2"/>
        <v>1.7721005908535077</v>
      </c>
      <c r="Q6">
        <f t="shared" si="3"/>
        <v>59.169866695857444</v>
      </c>
      <c r="R6">
        <f t="shared" si="4"/>
        <v>2006.9377101882055</v>
      </c>
    </row>
    <row r="7" spans="1:18" customFormat="1">
      <c r="A7" s="3" t="s">
        <v>6</v>
      </c>
      <c r="B7" s="3" t="s">
        <v>7</v>
      </c>
      <c r="C7" s="3" t="s">
        <v>5</v>
      </c>
      <c r="D7" s="3">
        <v>116</v>
      </c>
      <c r="E7" s="3">
        <v>11720</v>
      </c>
      <c r="F7" s="3">
        <v>0.114</v>
      </c>
      <c r="G7" s="3">
        <v>0.2</v>
      </c>
      <c r="H7" s="3">
        <v>58</v>
      </c>
      <c r="J7" t="s">
        <v>86</v>
      </c>
      <c r="K7">
        <f t="shared" si="1"/>
        <v>15639.539397302005</v>
      </c>
      <c r="L7">
        <v>7.9000000000000008E-3</v>
      </c>
      <c r="M7">
        <v>3.05</v>
      </c>
      <c r="O7" s="2">
        <f t="shared" si="0"/>
        <v>110.19999999999999</v>
      </c>
      <c r="P7">
        <f t="shared" si="2"/>
        <v>1.7754768285268498</v>
      </c>
      <c r="Q7">
        <f t="shared" si="3"/>
        <v>59.631650294252047</v>
      </c>
      <c r="R7">
        <f t="shared" si="4"/>
        <v>2055.0927081623722</v>
      </c>
    </row>
    <row r="8" spans="1:18" customFormat="1">
      <c r="A8" s="3" t="s">
        <v>6</v>
      </c>
      <c r="B8" s="3" t="s">
        <v>7</v>
      </c>
      <c r="C8" s="3" t="s">
        <v>5</v>
      </c>
      <c r="D8" s="3">
        <v>67</v>
      </c>
      <c r="E8" s="3">
        <v>3000</v>
      </c>
      <c r="F8" s="3">
        <v>0.28000000000000003</v>
      </c>
      <c r="G8" s="3">
        <v>0.18</v>
      </c>
      <c r="H8" s="3">
        <v>59</v>
      </c>
      <c r="J8" t="s">
        <v>86</v>
      </c>
      <c r="K8">
        <f t="shared" si="1"/>
        <v>2931.94108682149</v>
      </c>
      <c r="L8">
        <v>7.9000000000000008E-3</v>
      </c>
      <c r="M8">
        <v>3.05</v>
      </c>
      <c r="O8" s="2">
        <f t="shared" si="0"/>
        <v>63.65</v>
      </c>
      <c r="P8">
        <f t="shared" si="2"/>
        <v>1.5614325653450718</v>
      </c>
      <c r="Q8">
        <f t="shared" si="3"/>
        <v>36.427768281261521</v>
      </c>
      <c r="R8">
        <f t="shared" si="4"/>
        <v>457.08441709771387</v>
      </c>
    </row>
    <row r="9" spans="1:18" customFormat="1">
      <c r="A9" s="3" t="s">
        <v>6</v>
      </c>
      <c r="B9" s="3" t="s">
        <v>7</v>
      </c>
      <c r="C9" s="3" t="s">
        <v>5</v>
      </c>
      <c r="D9" s="3">
        <v>132</v>
      </c>
      <c r="E9" s="3">
        <v>20000</v>
      </c>
      <c r="F9" s="3">
        <v>0.2</v>
      </c>
      <c r="G9" s="3">
        <v>0.2</v>
      </c>
      <c r="H9" s="3">
        <v>60</v>
      </c>
      <c r="J9" t="s">
        <v>86</v>
      </c>
      <c r="K9">
        <f t="shared" si="1"/>
        <v>23194.103001596308</v>
      </c>
      <c r="L9">
        <v>7.9000000000000008E-3</v>
      </c>
      <c r="M9">
        <v>3.05</v>
      </c>
      <c r="O9" s="2">
        <f t="shared" si="0"/>
        <v>125.39999999999999</v>
      </c>
      <c r="P9">
        <f t="shared" si="2"/>
        <v>1.8258633328297325</v>
      </c>
      <c r="Q9">
        <f t="shared" si="3"/>
        <v>66.967383807525422</v>
      </c>
      <c r="R9">
        <f t="shared" si="4"/>
        <v>2927.5900093454334</v>
      </c>
    </row>
    <row r="10" spans="1:18" customFormat="1">
      <c r="A10" s="3" t="s">
        <v>6</v>
      </c>
      <c r="B10" s="3" t="s">
        <v>7</v>
      </c>
      <c r="C10" s="3" t="s">
        <v>5</v>
      </c>
      <c r="D10" s="3">
        <v>112</v>
      </c>
      <c r="E10" s="3">
        <v>10834</v>
      </c>
      <c r="F10" s="3">
        <v>0.154</v>
      </c>
      <c r="G10" s="3">
        <v>0.31</v>
      </c>
      <c r="H10" s="3">
        <v>61</v>
      </c>
      <c r="J10" t="s">
        <v>86</v>
      </c>
      <c r="K10">
        <f t="shared" si="1"/>
        <v>14052.126813621282</v>
      </c>
      <c r="L10">
        <v>7.9000000000000008E-3</v>
      </c>
      <c r="M10">
        <v>3.05</v>
      </c>
      <c r="O10" s="2">
        <f t="shared" si="0"/>
        <v>106.39999999999999</v>
      </c>
      <c r="P10">
        <f t="shared" si="2"/>
        <v>1.7617928625555557</v>
      </c>
      <c r="Q10">
        <f t="shared" si="3"/>
        <v>57.782038931871462</v>
      </c>
      <c r="R10">
        <f t="shared" si="4"/>
        <v>1866.7893822683411</v>
      </c>
    </row>
    <row r="11" spans="1:18" customFormat="1">
      <c r="A11" s="3" t="s">
        <v>6</v>
      </c>
      <c r="B11" s="3" t="s">
        <v>7</v>
      </c>
      <c r="C11" s="3" t="s">
        <v>5</v>
      </c>
      <c r="D11" s="3">
        <v>100</v>
      </c>
      <c r="E11" s="3">
        <v>8158</v>
      </c>
      <c r="F11" s="3">
        <v>0.2</v>
      </c>
      <c r="G11" s="3">
        <v>0.44</v>
      </c>
      <c r="H11" s="3">
        <v>62</v>
      </c>
      <c r="J11" t="s">
        <v>86</v>
      </c>
      <c r="K11">
        <f t="shared" si="1"/>
        <v>9945.5107531739268</v>
      </c>
      <c r="L11">
        <v>7.9000000000000008E-3</v>
      </c>
      <c r="M11">
        <v>3.05</v>
      </c>
      <c r="O11" s="2">
        <f t="shared" si="0"/>
        <v>95</v>
      </c>
      <c r="P11">
        <f t="shared" si="2"/>
        <v>1.7176</v>
      </c>
      <c r="Q11">
        <f t="shared" si="3"/>
        <v>52.191526583544849</v>
      </c>
      <c r="R11">
        <f t="shared" si="4"/>
        <v>1368.6962938934485</v>
      </c>
    </row>
    <row r="12" spans="1:18" s="1" customFormat="1">
      <c r="A12" s="1" t="s">
        <v>62</v>
      </c>
      <c r="B12" s="1" t="s">
        <v>7</v>
      </c>
      <c r="C12" s="1" t="s">
        <v>5</v>
      </c>
      <c r="D12" s="1">
        <f>AVERAGE(D3:D11)</f>
        <v>110.44444444444444</v>
      </c>
      <c r="E12" s="1">
        <f t="shared" ref="E12:G12" si="5">AVERAGE(E3:E11)</f>
        <v>13340.222222222223</v>
      </c>
      <c r="F12" s="1">
        <f t="shared" si="5"/>
        <v>0.16533333333333333</v>
      </c>
      <c r="G12" s="1">
        <f t="shared" si="5"/>
        <v>0.22555555555555559</v>
      </c>
      <c r="H12" s="17" t="s">
        <v>63</v>
      </c>
      <c r="J12" s="1" t="s">
        <v>86</v>
      </c>
      <c r="K12" s="1">
        <f>AVERAGE(K3:K11)</f>
        <v>14599.289884476289</v>
      </c>
      <c r="L12" s="1">
        <f t="shared" ref="L12:M12" si="6">AVERAGE(L3:L11)</f>
        <v>7.9000000000000025E-3</v>
      </c>
      <c r="M12" s="1">
        <f t="shared" si="6"/>
        <v>3.0500000000000003</v>
      </c>
      <c r="O12" s="1">
        <f t="shared" ref="O12:R12" si="7">AVERAGE(O3:O11)</f>
        <v>104.9222222222222</v>
      </c>
      <c r="P12" s="1">
        <f t="shared" si="7"/>
        <v>1.7496911903865286</v>
      </c>
      <c r="Q12" s="1">
        <f t="shared" si="7"/>
        <v>56.979236122404622</v>
      </c>
      <c r="R12" s="1">
        <f t="shared" si="7"/>
        <v>1913.7667586357707</v>
      </c>
    </row>
    <row r="13" spans="1:18" s="1" customFormat="1">
      <c r="A13" s="1" t="s">
        <v>8</v>
      </c>
      <c r="B13" s="1" t="s">
        <v>9</v>
      </c>
      <c r="C13" s="1" t="s">
        <v>5</v>
      </c>
      <c r="H13" s="1" t="s">
        <v>46</v>
      </c>
      <c r="J13" s="1" t="s">
        <v>85</v>
      </c>
      <c r="L13" s="1">
        <v>4.0000000000000002E-4</v>
      </c>
      <c r="M13" s="1">
        <v>3.14</v>
      </c>
      <c r="O13" s="2"/>
      <c r="P13"/>
    </row>
    <row r="14" spans="1:18" s="1" customFormat="1">
      <c r="A14" s="1" t="s">
        <v>11</v>
      </c>
      <c r="B14" s="1" t="s">
        <v>10</v>
      </c>
      <c r="C14" s="1" t="s">
        <v>5</v>
      </c>
      <c r="H14" s="1" t="s">
        <v>46</v>
      </c>
      <c r="J14" s="1" t="s">
        <v>85</v>
      </c>
      <c r="L14" s="1">
        <v>4.1000000000000003E-3</v>
      </c>
      <c r="M14" s="1">
        <v>3.15</v>
      </c>
      <c r="O14" s="2"/>
      <c r="P14"/>
    </row>
    <row r="15" spans="1:18" customFormat="1">
      <c r="A15" s="3" t="s">
        <v>12</v>
      </c>
      <c r="B15" s="3" t="s">
        <v>47</v>
      </c>
      <c r="C15" s="3" t="s">
        <v>5</v>
      </c>
      <c r="D15" s="3">
        <v>21.8</v>
      </c>
      <c r="E15" s="3">
        <v>32.1</v>
      </c>
      <c r="F15" s="3">
        <v>0.89</v>
      </c>
      <c r="G15" s="3">
        <v>1.24</v>
      </c>
      <c r="H15" s="3">
        <v>133</v>
      </c>
      <c r="J15" t="s">
        <v>87</v>
      </c>
      <c r="K15">
        <f>L15*D15^M15</f>
        <v>33.642965160857273</v>
      </c>
      <c r="L15">
        <v>1.6999999999999999E-3</v>
      </c>
      <c r="M15">
        <v>3.21</v>
      </c>
      <c r="O15" s="2">
        <f t="shared" si="0"/>
        <v>20.71</v>
      </c>
      <c r="P15">
        <f t="shared" si="2"/>
        <v>1.1236000856075747</v>
      </c>
      <c r="Q15">
        <f>10^P15</f>
        <v>13.292298503317516</v>
      </c>
      <c r="R15">
        <f t="shared" ref="R15:R53" si="8">L15*Q15^M15</f>
        <v>6.8739314395493789</v>
      </c>
    </row>
    <row r="16" spans="1:18" customFormat="1">
      <c r="A16" s="3" t="s">
        <v>12</v>
      </c>
      <c r="B16" s="3" t="s">
        <v>48</v>
      </c>
      <c r="C16" s="3" t="s">
        <v>5</v>
      </c>
      <c r="D16" s="3">
        <v>16.600000000000001</v>
      </c>
      <c r="E16" s="3">
        <v>15</v>
      </c>
      <c r="F16" s="3">
        <v>0.77</v>
      </c>
      <c r="G16" s="3">
        <v>1.29</v>
      </c>
      <c r="H16" s="3">
        <v>134</v>
      </c>
      <c r="J16" t="s">
        <v>87</v>
      </c>
      <c r="K16">
        <f>L16*D16^M16</f>
        <v>11.722722272588724</v>
      </c>
      <c r="L16">
        <v>3.3E-3</v>
      </c>
      <c r="M16">
        <v>2.91</v>
      </c>
      <c r="O16" s="2">
        <f t="shared" si="0"/>
        <v>15.770000000000001</v>
      </c>
      <c r="P16">
        <f t="shared" si="2"/>
        <v>1.0173350522511653</v>
      </c>
      <c r="Q16">
        <f>10^P16</f>
        <v>10.407227595649877</v>
      </c>
      <c r="R16">
        <f t="shared" si="8"/>
        <v>3.0127211889565677</v>
      </c>
    </row>
    <row r="17" spans="1:18" s="1" customFormat="1">
      <c r="A17" s="1" t="s">
        <v>64</v>
      </c>
      <c r="B17" s="1" t="s">
        <v>13</v>
      </c>
      <c r="C17" s="1" t="s">
        <v>5</v>
      </c>
      <c r="D17" s="1">
        <f>AVERAGE(D15:D16)</f>
        <v>19.200000000000003</v>
      </c>
      <c r="E17" s="1">
        <f t="shared" ref="E17:H17" si="9">AVERAGE(E15:E16)</f>
        <v>23.55</v>
      </c>
      <c r="F17" s="1">
        <f t="shared" si="9"/>
        <v>0.83000000000000007</v>
      </c>
      <c r="G17" s="1">
        <f t="shared" si="9"/>
        <v>1.2650000000000001</v>
      </c>
      <c r="H17" s="1">
        <f t="shared" si="9"/>
        <v>133.5</v>
      </c>
      <c r="J17" s="1" t="s">
        <v>87</v>
      </c>
      <c r="K17" s="1">
        <f>AVERAGE(K15:K16)</f>
        <v>22.682843716722999</v>
      </c>
      <c r="L17" s="1">
        <f t="shared" ref="L17:M17" si="10">AVERAGE(L15:L16)</f>
        <v>2.5000000000000001E-3</v>
      </c>
      <c r="M17" s="1">
        <f t="shared" si="10"/>
        <v>3.06</v>
      </c>
      <c r="O17" s="1">
        <f t="shared" ref="O17:R19" si="11">AVERAGE(O15:O16)</f>
        <v>18.240000000000002</v>
      </c>
      <c r="P17" s="1">
        <f t="shared" si="11"/>
        <v>1.0704675689293701</v>
      </c>
      <c r="Q17" s="1">
        <f t="shared" si="11"/>
        <v>11.849763049483697</v>
      </c>
      <c r="R17" s="1">
        <f t="shared" si="11"/>
        <v>4.9433263142529729</v>
      </c>
    </row>
    <row r="18" spans="1:18" s="1" customFormat="1">
      <c r="A18" s="1" t="s">
        <v>14</v>
      </c>
      <c r="B18" s="1" t="s">
        <v>15</v>
      </c>
      <c r="C18" s="1" t="s">
        <v>5</v>
      </c>
      <c r="D18" s="1">
        <v>73</v>
      </c>
      <c r="E18" s="1">
        <v>2150</v>
      </c>
      <c r="F18" s="1">
        <v>0.28000000000000003</v>
      </c>
      <c r="G18" s="1">
        <v>0.2</v>
      </c>
      <c r="H18" s="1">
        <v>63</v>
      </c>
      <c r="J18" s="1" t="s">
        <v>86</v>
      </c>
      <c r="K18" s="1">
        <f>L18*D18^M18</f>
        <v>3723.9142474901005</v>
      </c>
      <c r="L18" s="1">
        <v>7.4000000000000003E-3</v>
      </c>
      <c r="M18" s="1">
        <v>3.06</v>
      </c>
      <c r="O18" s="1">
        <f t="shared" si="0"/>
        <v>69.349999999999994</v>
      </c>
      <c r="P18" s="1">
        <f t="shared" si="2"/>
        <v>1.5948775961021571</v>
      </c>
      <c r="Q18" s="1">
        <f>10^P18</f>
        <v>39.34391708107961</v>
      </c>
      <c r="R18" s="1">
        <f t="shared" si="8"/>
        <v>561.76821596241928</v>
      </c>
    </row>
    <row r="19" spans="1:18" s="1" customFormat="1">
      <c r="A19" s="1" t="s">
        <v>16</v>
      </c>
      <c r="B19" s="1" t="s">
        <v>17</v>
      </c>
      <c r="C19" s="1" t="s">
        <v>5</v>
      </c>
      <c r="D19" s="1">
        <v>128</v>
      </c>
      <c r="E19" s="1">
        <v>20077</v>
      </c>
      <c r="F19" s="1">
        <v>0.13</v>
      </c>
      <c r="G19" s="1">
        <v>0.3</v>
      </c>
      <c r="H19" s="1">
        <v>64</v>
      </c>
      <c r="J19" s="1" t="s">
        <v>86</v>
      </c>
      <c r="K19" s="1">
        <f>L19*D19^M19</f>
        <v>18979.353487301491</v>
      </c>
      <c r="L19" s="1">
        <v>9.4999999999999998E-3</v>
      </c>
      <c r="M19" s="1">
        <v>2.99</v>
      </c>
      <c r="O19" s="1">
        <f>D19*0.95</f>
        <v>121.6</v>
      </c>
      <c r="P19" s="1">
        <f t="shared" si="2"/>
        <v>1.8138638317468205</v>
      </c>
      <c r="Q19" s="1">
        <f>10^P19</f>
        <v>65.14241151787428</v>
      </c>
      <c r="R19" s="1">
        <f t="shared" si="8"/>
        <v>2518.7001162377078</v>
      </c>
    </row>
    <row r="20" spans="1:18" customFormat="1">
      <c r="A20" s="3" t="s">
        <v>18</v>
      </c>
      <c r="B20" s="3" t="s">
        <v>49</v>
      </c>
      <c r="C20" s="3" t="s">
        <v>5</v>
      </c>
      <c r="D20" s="3">
        <v>102</v>
      </c>
      <c r="E20" s="3">
        <v>5830</v>
      </c>
      <c r="F20" s="3">
        <v>0.12</v>
      </c>
      <c r="G20" s="3">
        <v>0.37</v>
      </c>
      <c r="H20" s="3">
        <v>70</v>
      </c>
      <c r="I20" s="3" t="s">
        <v>53</v>
      </c>
      <c r="J20" t="s">
        <v>86</v>
      </c>
      <c r="K20">
        <f>L20*D20^M20</f>
        <v>8277.4223999999995</v>
      </c>
      <c r="L20" s="3">
        <v>7.7999999999999996E-3</v>
      </c>
      <c r="M20" s="2">
        <v>3</v>
      </c>
      <c r="N20" t="s">
        <v>96</v>
      </c>
      <c r="O20" s="2">
        <f t="shared" si="0"/>
        <v>96.899999999999991</v>
      </c>
      <c r="P20">
        <f t="shared" si="2"/>
        <v>1.7253220942250254</v>
      </c>
      <c r="Q20">
        <f t="shared" ref="Q20:Q53" si="12">10^P20</f>
        <v>53.127832038080463</v>
      </c>
      <c r="R20">
        <f t="shared" si="8"/>
        <v>1169.6633590010836</v>
      </c>
    </row>
    <row r="21" spans="1:18" customFormat="1">
      <c r="A21" s="3" t="s">
        <v>18</v>
      </c>
      <c r="B21" s="3" t="s">
        <v>50</v>
      </c>
      <c r="C21" s="3" t="s">
        <v>5</v>
      </c>
      <c r="D21" s="3">
        <v>60</v>
      </c>
      <c r="E21" s="3">
        <v>1577</v>
      </c>
      <c r="F21" s="3">
        <v>0.1</v>
      </c>
      <c r="G21" s="3">
        <v>0.5</v>
      </c>
      <c r="H21" s="3">
        <v>71</v>
      </c>
      <c r="I21" s="3" t="s">
        <v>53</v>
      </c>
      <c r="J21" t="s">
        <v>86</v>
      </c>
      <c r="K21">
        <f t="shared" ref="K21:K22" si="13">L21*D21^M21</f>
        <v>1624.0138656481627</v>
      </c>
      <c r="L21" s="2">
        <v>4.5999999999999999E-3</v>
      </c>
      <c r="M21" s="2">
        <v>3.12</v>
      </c>
      <c r="O21" s="2">
        <f t="shared" si="0"/>
        <v>57</v>
      </c>
      <c r="P21">
        <f t="shared" si="2"/>
        <v>1.5184020077194735</v>
      </c>
      <c r="Q21">
        <f t="shared" si="12"/>
        <v>32.991495896402625</v>
      </c>
      <c r="R21">
        <f t="shared" si="8"/>
        <v>251.28820017952864</v>
      </c>
    </row>
    <row r="22" spans="1:18" customFormat="1">
      <c r="A22" s="3" t="s">
        <v>18</v>
      </c>
      <c r="B22" s="3" t="s">
        <v>50</v>
      </c>
      <c r="C22" s="3" t="s">
        <v>5</v>
      </c>
      <c r="D22" s="3">
        <v>44</v>
      </c>
      <c r="E22" s="3">
        <v>622</v>
      </c>
      <c r="F22" s="3">
        <v>0.13</v>
      </c>
      <c r="G22" s="3">
        <v>0.6</v>
      </c>
      <c r="H22" s="3">
        <v>72</v>
      </c>
      <c r="I22" s="3" t="s">
        <v>53</v>
      </c>
      <c r="J22" t="s">
        <v>86</v>
      </c>
      <c r="K22">
        <f t="shared" si="13"/>
        <v>617.0639605678208</v>
      </c>
      <c r="L22" s="2">
        <v>4.5999999999999999E-3</v>
      </c>
      <c r="M22" s="2">
        <v>3.12</v>
      </c>
      <c r="O22" s="2">
        <f t="shared" si="0"/>
        <v>41.8</v>
      </c>
      <c r="P22">
        <f t="shared" si="2"/>
        <v>1.3974561582169476</v>
      </c>
      <c r="Q22">
        <f t="shared" si="12"/>
        <v>24.97216283853723</v>
      </c>
      <c r="R22">
        <f t="shared" si="8"/>
        <v>105.39525169336653</v>
      </c>
    </row>
    <row r="23" spans="1:18" customFormat="1">
      <c r="A23" s="3" t="s">
        <v>18</v>
      </c>
      <c r="B23" s="3" t="s">
        <v>51</v>
      </c>
      <c r="C23" s="3" t="s">
        <v>5</v>
      </c>
      <c r="D23" s="3">
        <v>61</v>
      </c>
      <c r="E23" s="3">
        <v>1272</v>
      </c>
      <c r="F23" s="3">
        <v>0.3</v>
      </c>
      <c r="G23" s="3">
        <v>0.56000000000000005</v>
      </c>
      <c r="H23" s="3">
        <v>73</v>
      </c>
      <c r="I23" s="3" t="s">
        <v>53</v>
      </c>
      <c r="J23" t="s">
        <v>86</v>
      </c>
      <c r="K23">
        <f>L23*D23^M23</f>
        <v>1406.5094378679701</v>
      </c>
      <c r="L23">
        <v>1.41E-2</v>
      </c>
      <c r="M23" s="2">
        <v>2.8</v>
      </c>
      <c r="O23" s="2">
        <f t="shared" si="0"/>
        <v>57.949999999999996</v>
      </c>
      <c r="P23">
        <f t="shared" si="2"/>
        <v>1.5248476588561677</v>
      </c>
      <c r="Q23">
        <f t="shared" si="12"/>
        <v>33.484796110692429</v>
      </c>
      <c r="R23">
        <f t="shared" si="8"/>
        <v>262.29653739074155</v>
      </c>
    </row>
    <row r="24" spans="1:18" s="1" customFormat="1">
      <c r="A24" s="1" t="s">
        <v>70</v>
      </c>
      <c r="B24" s="1" t="s">
        <v>65</v>
      </c>
      <c r="C24" s="1" t="s">
        <v>5</v>
      </c>
      <c r="D24" s="1">
        <f>AVERAGE(D20:D23)</f>
        <v>66.75</v>
      </c>
      <c r="E24" s="1">
        <f>AVERAGE(E20:E23)</f>
        <v>2325.25</v>
      </c>
      <c r="F24" s="1">
        <f>AVERAGE(F20:F23)</f>
        <v>0.16249999999999998</v>
      </c>
      <c r="G24" s="1">
        <f>AVERAGE(G20:G23)</f>
        <v>0.50750000000000006</v>
      </c>
      <c r="H24" s="17" t="s">
        <v>66</v>
      </c>
      <c r="J24" s="1" t="s">
        <v>86</v>
      </c>
      <c r="K24" s="1">
        <f>AVERAGE(K20:K23)</f>
        <v>2981.2524160209882</v>
      </c>
      <c r="L24" s="1">
        <f t="shared" ref="L24:M24" si="14">AVERAGE(L20:L23)</f>
        <v>7.7750000000000007E-3</v>
      </c>
      <c r="M24" s="1">
        <f t="shared" si="14"/>
        <v>3.01</v>
      </c>
      <c r="O24" s="1">
        <f t="shared" ref="O24:R24" si="15">AVERAGE(O20:O23)</f>
        <v>63.412499999999994</v>
      </c>
      <c r="P24" s="1">
        <f t="shared" si="15"/>
        <v>1.5415069797544034</v>
      </c>
      <c r="Q24" s="1">
        <f t="shared" si="15"/>
        <v>36.144071720928189</v>
      </c>
      <c r="R24" s="1">
        <f t="shared" si="15"/>
        <v>447.16083706618008</v>
      </c>
    </row>
    <row r="25" spans="1:18" customFormat="1">
      <c r="A25" s="3" t="s">
        <v>19</v>
      </c>
      <c r="B25" s="3" t="s">
        <v>20</v>
      </c>
      <c r="C25" s="3" t="s">
        <v>5</v>
      </c>
      <c r="D25" s="3">
        <v>50</v>
      </c>
      <c r="E25" s="3">
        <v>1358</v>
      </c>
      <c r="F25" s="3">
        <v>0.11899999999999999</v>
      </c>
      <c r="G25" s="3">
        <v>0.22700000000000001</v>
      </c>
      <c r="H25" s="3">
        <v>138</v>
      </c>
      <c r="I25" s="3" t="s">
        <v>54</v>
      </c>
      <c r="J25" t="s">
        <v>87</v>
      </c>
      <c r="K25">
        <f>L25*D25^M25</f>
        <v>1753.2753072857649</v>
      </c>
      <c r="L25">
        <v>7.7999999999999996E-3</v>
      </c>
      <c r="M25" s="2">
        <v>3.15</v>
      </c>
      <c r="N25" t="s">
        <v>97</v>
      </c>
      <c r="O25" s="2">
        <f t="shared" si="0"/>
        <v>47.5</v>
      </c>
      <c r="P25">
        <f t="shared" si="2"/>
        <v>1.447305166893311</v>
      </c>
      <c r="Q25">
        <f t="shared" si="12"/>
        <v>28.009487786647579</v>
      </c>
      <c r="R25">
        <f t="shared" si="8"/>
        <v>282.55687477610064</v>
      </c>
    </row>
    <row r="26" spans="1:18" customFormat="1">
      <c r="A26" s="3" t="s">
        <v>19</v>
      </c>
      <c r="B26" s="3" t="s">
        <v>20</v>
      </c>
      <c r="C26" s="3" t="s">
        <v>5</v>
      </c>
      <c r="D26" s="3">
        <v>46</v>
      </c>
      <c r="E26" s="3">
        <v>1081</v>
      </c>
      <c r="F26" s="3">
        <v>0.13400000000000001</v>
      </c>
      <c r="G26" s="3">
        <v>0.27100000000000002</v>
      </c>
      <c r="H26" s="3">
        <v>139</v>
      </c>
      <c r="I26" s="3" t="s">
        <v>54</v>
      </c>
      <c r="J26" t="s">
        <v>87</v>
      </c>
      <c r="K26">
        <f t="shared" ref="K26:K27" si="16">L26*D26^M26</f>
        <v>1348.2852159904683</v>
      </c>
      <c r="L26">
        <v>7.7999999999999996E-3</v>
      </c>
      <c r="M26" s="2">
        <v>3.15</v>
      </c>
      <c r="O26" s="2">
        <f t="shared" si="0"/>
        <v>43.699999999999996</v>
      </c>
      <c r="P26">
        <f t="shared" si="2"/>
        <v>1.4147902570668851</v>
      </c>
      <c r="Q26">
        <f t="shared" si="12"/>
        <v>25.989041168150038</v>
      </c>
      <c r="R26">
        <f t="shared" si="8"/>
        <v>223.19471791349147</v>
      </c>
    </row>
    <row r="27" spans="1:18" customFormat="1">
      <c r="A27" s="3" t="s">
        <v>19</v>
      </c>
      <c r="B27" s="3" t="s">
        <v>20</v>
      </c>
      <c r="C27" s="3" t="s">
        <v>5</v>
      </c>
      <c r="D27" s="3">
        <v>40</v>
      </c>
      <c r="E27" s="3">
        <v>800</v>
      </c>
      <c r="F27" s="3">
        <v>0.14199999999999999</v>
      </c>
      <c r="G27" s="3">
        <v>0.193</v>
      </c>
      <c r="H27" s="3">
        <v>140</v>
      </c>
      <c r="I27" s="3" t="s">
        <v>54</v>
      </c>
      <c r="J27" t="s">
        <v>87</v>
      </c>
      <c r="K27">
        <f t="shared" si="16"/>
        <v>868.12762318576256</v>
      </c>
      <c r="L27">
        <v>7.7999999999999996E-3</v>
      </c>
      <c r="M27" s="2">
        <v>3.15</v>
      </c>
      <c r="O27" s="2">
        <f t="shared" si="0"/>
        <v>38</v>
      </c>
      <c r="P27">
        <f t="shared" si="2"/>
        <v>1.3602896662133774</v>
      </c>
      <c r="Q27">
        <f t="shared" si="12"/>
        <v>22.923961278812673</v>
      </c>
      <c r="R27">
        <f t="shared" si="8"/>
        <v>150.31663714998163</v>
      </c>
    </row>
    <row r="28" spans="1:18" s="1" customFormat="1">
      <c r="A28" s="1" t="s">
        <v>71</v>
      </c>
      <c r="B28" s="1" t="s">
        <v>67</v>
      </c>
      <c r="C28" s="1" t="s">
        <v>5</v>
      </c>
      <c r="D28" s="1">
        <f>AVERAGE(D25:D27)</f>
        <v>45.333333333333336</v>
      </c>
      <c r="E28" s="1">
        <f t="shared" ref="E28:G28" si="17">AVERAGE(E25:E27)</f>
        <v>1079.6666666666667</v>
      </c>
      <c r="F28" s="1">
        <f t="shared" si="17"/>
        <v>0.13166666666666668</v>
      </c>
      <c r="G28" s="1">
        <f t="shared" si="17"/>
        <v>0.23033333333333336</v>
      </c>
      <c r="H28" s="17" t="s">
        <v>68</v>
      </c>
      <c r="J28" s="1" t="s">
        <v>87</v>
      </c>
      <c r="K28" s="1">
        <f>AVERAGE(K25:K27)</f>
        <v>1323.2293821539986</v>
      </c>
      <c r="L28" s="1">
        <f t="shared" ref="L28:M28" si="18">AVERAGE(L25:L27)</f>
        <v>7.7999999999999988E-3</v>
      </c>
      <c r="M28" s="1">
        <f t="shared" si="18"/>
        <v>3.15</v>
      </c>
      <c r="O28" s="1">
        <f t="shared" ref="O28:R28" si="19">AVERAGE(O25:O27)</f>
        <v>43.066666666666663</v>
      </c>
      <c r="P28" s="1">
        <f t="shared" si="19"/>
        <v>1.4074616967245246</v>
      </c>
      <c r="Q28" s="1">
        <f t="shared" si="19"/>
        <v>25.640830077870095</v>
      </c>
      <c r="R28" s="1">
        <f t="shared" si="19"/>
        <v>218.68940994652459</v>
      </c>
    </row>
    <row r="29" spans="1:18" customFormat="1">
      <c r="A29" s="3" t="s">
        <v>21</v>
      </c>
      <c r="B29" s="3" t="s">
        <v>22</v>
      </c>
      <c r="C29" s="3" t="s">
        <v>5</v>
      </c>
      <c r="D29" s="3">
        <v>58.6</v>
      </c>
      <c r="E29" s="3">
        <v>3970</v>
      </c>
      <c r="F29" s="3">
        <v>0.16700000000000001</v>
      </c>
      <c r="G29" s="3">
        <v>0.2</v>
      </c>
      <c r="H29" s="3">
        <v>158</v>
      </c>
      <c r="I29" s="3" t="s">
        <v>55</v>
      </c>
      <c r="J29" t="s">
        <v>86</v>
      </c>
      <c r="K29">
        <f>L29*D29^M29</f>
        <v>2171.3601296628672</v>
      </c>
      <c r="L29">
        <v>3.8999999999999998E-3</v>
      </c>
      <c r="M29" s="2">
        <v>3.25</v>
      </c>
      <c r="O29" s="2">
        <f t="shared" si="0"/>
        <v>55.67</v>
      </c>
      <c r="P29">
        <f t="shared" si="2"/>
        <v>1.5091952694226436</v>
      </c>
      <c r="Q29">
        <f t="shared" si="12"/>
        <v>32.299460580327853</v>
      </c>
      <c r="R29">
        <f t="shared" si="8"/>
        <v>313.29194767060346</v>
      </c>
    </row>
    <row r="30" spans="1:18" customFormat="1">
      <c r="A30" s="3" t="s">
        <v>21</v>
      </c>
      <c r="B30" s="3" t="s">
        <v>22</v>
      </c>
      <c r="C30" s="3" t="s">
        <v>5</v>
      </c>
      <c r="D30" s="3">
        <v>49</v>
      </c>
      <c r="E30" s="3">
        <v>4566</v>
      </c>
      <c r="F30" s="3">
        <v>0.16</v>
      </c>
      <c r="G30" s="3">
        <v>0.25</v>
      </c>
      <c r="H30" s="3">
        <v>159</v>
      </c>
      <c r="I30" s="3" t="s">
        <v>55</v>
      </c>
      <c r="J30" t="s">
        <v>86</v>
      </c>
      <c r="K30">
        <f t="shared" ref="K30:K44" si="20">L30*D30^M30</f>
        <v>1213.9529843822081</v>
      </c>
      <c r="L30">
        <v>3.8999999999999998E-3</v>
      </c>
      <c r="M30" s="2">
        <v>3.25</v>
      </c>
      <c r="O30" s="2">
        <f t="shared" si="0"/>
        <v>46.55</v>
      </c>
      <c r="P30">
        <f t="shared" si="2"/>
        <v>1.4394270602576023</v>
      </c>
      <c r="Q30">
        <f t="shared" si="12"/>
        <v>27.505976034276927</v>
      </c>
      <c r="R30">
        <f t="shared" si="8"/>
        <v>185.8671128270876</v>
      </c>
    </row>
    <row r="31" spans="1:18" customFormat="1">
      <c r="A31" s="3" t="s">
        <v>21</v>
      </c>
      <c r="B31" s="3" t="s">
        <v>22</v>
      </c>
      <c r="C31" s="3" t="s">
        <v>5</v>
      </c>
      <c r="D31" s="3">
        <v>59</v>
      </c>
      <c r="E31" s="3">
        <v>2058</v>
      </c>
      <c r="F31" s="3">
        <v>0.08</v>
      </c>
      <c r="G31" s="3">
        <v>0.22</v>
      </c>
      <c r="H31" s="3">
        <v>160</v>
      </c>
      <c r="I31" s="3" t="s">
        <v>56</v>
      </c>
      <c r="J31" t="s">
        <v>86</v>
      </c>
      <c r="K31">
        <f t="shared" si="20"/>
        <v>1482.236715300802</v>
      </c>
      <c r="L31">
        <v>2.5000000000000001E-3</v>
      </c>
      <c r="M31" s="2">
        <v>3.26</v>
      </c>
      <c r="O31" s="2">
        <f t="shared" si="0"/>
        <v>56.05</v>
      </c>
      <c r="P31">
        <f t="shared" si="2"/>
        <v>1.5118480212534813</v>
      </c>
      <c r="Q31">
        <f t="shared" si="12"/>
        <v>32.497355494038175</v>
      </c>
      <c r="R31">
        <f t="shared" si="8"/>
        <v>212.11166740583809</v>
      </c>
    </row>
    <row r="32" spans="1:18" customFormat="1">
      <c r="A32" s="3" t="s">
        <v>21</v>
      </c>
      <c r="B32" s="3" t="s">
        <v>22</v>
      </c>
      <c r="C32" s="3" t="s">
        <v>5</v>
      </c>
      <c r="D32" s="3">
        <v>42.6</v>
      </c>
      <c r="E32" s="3">
        <v>692</v>
      </c>
      <c r="F32" s="3">
        <v>0.1</v>
      </c>
      <c r="G32" s="3">
        <v>0.3</v>
      </c>
      <c r="H32" s="3">
        <v>161</v>
      </c>
      <c r="I32" s="3" t="s">
        <v>56</v>
      </c>
      <c r="J32" t="s">
        <v>86</v>
      </c>
      <c r="K32">
        <f t="shared" si="20"/>
        <v>512.64331890856067</v>
      </c>
      <c r="L32">
        <v>2.5000000000000001E-3</v>
      </c>
      <c r="M32" s="2">
        <v>3.26</v>
      </c>
      <c r="O32" s="2">
        <f t="shared" si="0"/>
        <v>40.47</v>
      </c>
      <c r="P32">
        <f t="shared" si="2"/>
        <v>1.3848468790343313</v>
      </c>
      <c r="Q32">
        <f t="shared" si="12"/>
        <v>24.257546861325675</v>
      </c>
      <c r="R32">
        <f t="shared" si="8"/>
        <v>81.75999087569447</v>
      </c>
    </row>
    <row r="33" spans="1:18" customFormat="1">
      <c r="A33" s="3" t="s">
        <v>21</v>
      </c>
      <c r="B33" s="3" t="s">
        <v>22</v>
      </c>
      <c r="C33" s="3" t="s">
        <v>5</v>
      </c>
      <c r="D33" s="3">
        <v>65</v>
      </c>
      <c r="E33" s="3">
        <v>2846</v>
      </c>
      <c r="F33" s="3">
        <v>0.09</v>
      </c>
      <c r="G33" s="3">
        <v>0.23</v>
      </c>
      <c r="H33" s="3">
        <v>162</v>
      </c>
      <c r="I33" s="3" t="s">
        <v>56</v>
      </c>
      <c r="J33" t="s">
        <v>86</v>
      </c>
      <c r="K33">
        <f t="shared" si="20"/>
        <v>2032.5327465416678</v>
      </c>
      <c r="L33">
        <v>2.5000000000000001E-3</v>
      </c>
      <c r="M33" s="2">
        <v>3.26</v>
      </c>
      <c r="O33" s="2">
        <f t="shared" si="0"/>
        <v>61.75</v>
      </c>
      <c r="P33">
        <f t="shared" si="2"/>
        <v>1.5496149029296198</v>
      </c>
      <c r="Q33">
        <f t="shared" si="12"/>
        <v>35.449890898858698</v>
      </c>
      <c r="R33">
        <f t="shared" si="8"/>
        <v>281.63368146002244</v>
      </c>
    </row>
    <row r="34" spans="1:18" customFormat="1">
      <c r="A34" s="3" t="s">
        <v>21</v>
      </c>
      <c r="B34" s="3" t="s">
        <v>22</v>
      </c>
      <c r="C34" s="3" t="s">
        <v>5</v>
      </c>
      <c r="D34" s="3">
        <v>55.3</v>
      </c>
      <c r="E34" s="3">
        <v>1.657</v>
      </c>
      <c r="F34" s="3">
        <v>0.1</v>
      </c>
      <c r="G34" s="3">
        <v>0.25</v>
      </c>
      <c r="H34" s="3">
        <v>163</v>
      </c>
      <c r="I34" s="3" t="s">
        <v>56</v>
      </c>
      <c r="J34" t="s">
        <v>86</v>
      </c>
      <c r="K34">
        <f t="shared" si="20"/>
        <v>1200.117964499573</v>
      </c>
      <c r="L34">
        <v>2.5000000000000001E-3</v>
      </c>
      <c r="M34" s="2">
        <v>3.26</v>
      </c>
      <c r="O34" s="2">
        <f t="shared" si="0"/>
        <v>52.534999999999997</v>
      </c>
      <c r="P34">
        <f t="shared" si="2"/>
        <v>1.4865928953984884</v>
      </c>
      <c r="Q34">
        <f t="shared" si="12"/>
        <v>30.661464566653191</v>
      </c>
      <c r="R34">
        <f t="shared" si="8"/>
        <v>175.48210997667007</v>
      </c>
    </row>
    <row r="35" spans="1:18" customFormat="1">
      <c r="A35" s="3" t="s">
        <v>21</v>
      </c>
      <c r="B35" s="3" t="s">
        <v>22</v>
      </c>
      <c r="C35" s="3" t="s">
        <v>5</v>
      </c>
      <c r="D35" s="3">
        <v>60</v>
      </c>
      <c r="E35" s="3">
        <v>2177</v>
      </c>
      <c r="F35" s="3">
        <v>7.0000000000000007E-2</v>
      </c>
      <c r="G35" s="3">
        <v>0.18</v>
      </c>
      <c r="H35" s="3">
        <v>164</v>
      </c>
      <c r="I35" s="3" t="s">
        <v>56</v>
      </c>
      <c r="J35" t="s">
        <v>86</v>
      </c>
      <c r="K35">
        <f t="shared" si="20"/>
        <v>1565.7163435172829</v>
      </c>
      <c r="L35">
        <v>2.5000000000000001E-3</v>
      </c>
      <c r="M35" s="2">
        <v>3.26</v>
      </c>
      <c r="O35" s="2">
        <f t="shared" si="0"/>
        <v>57</v>
      </c>
      <c r="P35">
        <f t="shared" si="2"/>
        <v>1.5184020077194735</v>
      </c>
      <c r="Q35">
        <f t="shared" si="12"/>
        <v>32.991495896402625</v>
      </c>
      <c r="R35">
        <f t="shared" si="8"/>
        <v>222.80788382800608</v>
      </c>
    </row>
    <row r="36" spans="1:18" customFormat="1">
      <c r="A36" s="3" t="s">
        <v>21</v>
      </c>
      <c r="B36" s="3" t="s">
        <v>22</v>
      </c>
      <c r="C36" s="3" t="s">
        <v>5</v>
      </c>
      <c r="D36" s="3">
        <v>50</v>
      </c>
      <c r="E36" s="3">
        <v>1241</v>
      </c>
      <c r="F36" s="3">
        <v>0.09</v>
      </c>
      <c r="G36" s="3">
        <v>0.27</v>
      </c>
      <c r="H36" s="3">
        <v>165</v>
      </c>
      <c r="I36" s="3" t="s">
        <v>56</v>
      </c>
      <c r="J36" t="s">
        <v>86</v>
      </c>
      <c r="K36">
        <f t="shared" si="20"/>
        <v>864.13624780274711</v>
      </c>
      <c r="L36">
        <v>2.5000000000000001E-3</v>
      </c>
      <c r="M36" s="2">
        <v>3.26</v>
      </c>
      <c r="O36" s="2">
        <f t="shared" si="0"/>
        <v>47.5</v>
      </c>
      <c r="P36">
        <f t="shared" si="2"/>
        <v>1.447305166893311</v>
      </c>
      <c r="Q36">
        <f t="shared" si="12"/>
        <v>28.009487786647579</v>
      </c>
      <c r="R36">
        <f t="shared" si="8"/>
        <v>130.66367015809976</v>
      </c>
    </row>
    <row r="37" spans="1:18" customFormat="1">
      <c r="A37" s="3" t="s">
        <v>21</v>
      </c>
      <c r="B37" s="3" t="s">
        <v>22</v>
      </c>
      <c r="C37" s="3" t="s">
        <v>5</v>
      </c>
      <c r="D37" s="3">
        <v>71</v>
      </c>
      <c r="E37" s="3">
        <v>3823</v>
      </c>
      <c r="F37" s="3">
        <v>0.1</v>
      </c>
      <c r="G37" s="3">
        <v>0.18</v>
      </c>
      <c r="H37" s="3">
        <v>166</v>
      </c>
      <c r="I37" s="3" t="s">
        <v>56</v>
      </c>
      <c r="J37" t="s">
        <v>86</v>
      </c>
      <c r="K37">
        <f t="shared" si="20"/>
        <v>2710.4551506662351</v>
      </c>
      <c r="L37">
        <v>2.5000000000000001E-3</v>
      </c>
      <c r="M37" s="2">
        <v>3.26</v>
      </c>
      <c r="O37" s="2">
        <f t="shared" si="0"/>
        <v>67.45</v>
      </c>
      <c r="P37">
        <f t="shared" si="2"/>
        <v>1.5840448713148574</v>
      </c>
      <c r="Q37">
        <f t="shared" si="12"/>
        <v>38.37468921809365</v>
      </c>
      <c r="R37">
        <f t="shared" si="8"/>
        <v>364.69204413848826</v>
      </c>
    </row>
    <row r="38" spans="1:18" customFormat="1">
      <c r="A38" s="3" t="s">
        <v>21</v>
      </c>
      <c r="B38" s="3" t="s">
        <v>22</v>
      </c>
      <c r="C38" s="3" t="s">
        <v>5</v>
      </c>
      <c r="D38" s="3">
        <v>58.8</v>
      </c>
      <c r="E38" s="3">
        <v>2035</v>
      </c>
      <c r="F38" s="3">
        <v>0.12</v>
      </c>
      <c r="G38" s="3">
        <v>0.26</v>
      </c>
      <c r="H38" s="3">
        <v>167</v>
      </c>
      <c r="I38" s="3" t="s">
        <v>56</v>
      </c>
      <c r="J38" t="s">
        <v>86</v>
      </c>
      <c r="K38">
        <f t="shared" si="20"/>
        <v>1465.9193977746411</v>
      </c>
      <c r="L38">
        <v>2.5000000000000001E-3</v>
      </c>
      <c r="M38" s="2">
        <v>3.26</v>
      </c>
      <c r="O38" s="2">
        <f t="shared" si="0"/>
        <v>55.859999999999992</v>
      </c>
      <c r="P38">
        <f t="shared" si="2"/>
        <v>1.5105239010837646</v>
      </c>
      <c r="Q38">
        <f t="shared" si="12"/>
        <v>32.398425218400199</v>
      </c>
      <c r="R38">
        <f t="shared" si="8"/>
        <v>210.01384500010883</v>
      </c>
    </row>
    <row r="39" spans="1:18" customFormat="1">
      <c r="A39" s="3" t="s">
        <v>21</v>
      </c>
      <c r="B39" s="3" t="s">
        <v>22</v>
      </c>
      <c r="C39" s="3" t="s">
        <v>5</v>
      </c>
      <c r="D39" s="3">
        <v>50</v>
      </c>
      <c r="E39" s="3">
        <v>1183</v>
      </c>
      <c r="F39" s="3">
        <v>0.33500000000000002</v>
      </c>
      <c r="G39" s="3">
        <v>0.15</v>
      </c>
      <c r="H39" s="3">
        <v>168</v>
      </c>
      <c r="I39" s="3" t="s">
        <v>57</v>
      </c>
      <c r="J39" t="s">
        <v>86</v>
      </c>
      <c r="L39" t="s">
        <v>85</v>
      </c>
      <c r="M39" t="s">
        <v>85</v>
      </c>
      <c r="O39" s="2">
        <f t="shared" si="0"/>
        <v>47.5</v>
      </c>
      <c r="P39">
        <f t="shared" si="2"/>
        <v>1.447305166893311</v>
      </c>
      <c r="Q39">
        <f t="shared" si="12"/>
        <v>28.009487786647579</v>
      </c>
    </row>
    <row r="40" spans="1:18" customFormat="1">
      <c r="A40" s="3" t="s">
        <v>21</v>
      </c>
      <c r="B40" s="3" t="s">
        <v>22</v>
      </c>
      <c r="C40" s="3" t="s">
        <v>5</v>
      </c>
      <c r="D40" s="3">
        <v>42.6</v>
      </c>
      <c r="E40" s="3">
        <v>1040</v>
      </c>
      <c r="F40" s="3">
        <v>0.34</v>
      </c>
      <c r="G40" s="3">
        <v>0.18</v>
      </c>
      <c r="H40" s="3">
        <v>169</v>
      </c>
      <c r="I40" s="3" t="s">
        <v>58</v>
      </c>
      <c r="J40" t="s">
        <v>86</v>
      </c>
      <c r="K40">
        <f t="shared" si="20"/>
        <v>867.32572100972391</v>
      </c>
      <c r="L40">
        <v>9.2999999999999992E-3</v>
      </c>
      <c r="M40">
        <v>3.05</v>
      </c>
      <c r="O40" s="2">
        <f t="shared" si="0"/>
        <v>40.47</v>
      </c>
      <c r="P40">
        <f t="shared" si="2"/>
        <v>1.3848468790343313</v>
      </c>
      <c r="Q40">
        <f t="shared" si="12"/>
        <v>24.257546861325675</v>
      </c>
      <c r="R40">
        <f t="shared" si="8"/>
        <v>155.69186808787885</v>
      </c>
    </row>
    <row r="41" spans="1:18" customFormat="1">
      <c r="A41" s="3" t="s">
        <v>21</v>
      </c>
      <c r="B41" s="3" t="s">
        <v>22</v>
      </c>
      <c r="C41" s="3" t="s">
        <v>5</v>
      </c>
      <c r="D41" s="3">
        <v>44</v>
      </c>
      <c r="E41" s="3">
        <v>1380</v>
      </c>
      <c r="F41" s="3">
        <v>0.4</v>
      </c>
      <c r="G41" s="3">
        <v>0.4</v>
      </c>
      <c r="H41" s="3">
        <v>170</v>
      </c>
      <c r="I41" s="3" t="s">
        <v>59</v>
      </c>
      <c r="J41" t="s">
        <v>86</v>
      </c>
      <c r="L41" t="s">
        <v>85</v>
      </c>
      <c r="M41" t="s">
        <v>85</v>
      </c>
      <c r="O41" s="2">
        <f t="shared" si="0"/>
        <v>41.8</v>
      </c>
      <c r="P41">
        <f t="shared" si="2"/>
        <v>1.3974561582169476</v>
      </c>
      <c r="Q41">
        <f t="shared" si="12"/>
        <v>24.97216283853723</v>
      </c>
    </row>
    <row r="42" spans="1:18" customFormat="1">
      <c r="A42" s="3" t="s">
        <v>21</v>
      </c>
      <c r="B42" s="3" t="s">
        <v>22</v>
      </c>
      <c r="C42" s="3" t="s">
        <v>5</v>
      </c>
      <c r="D42" s="3">
        <v>70</v>
      </c>
      <c r="E42" s="3">
        <v>3430</v>
      </c>
      <c r="F42" s="3">
        <v>0.08</v>
      </c>
      <c r="G42" s="3">
        <v>0.12</v>
      </c>
      <c r="H42" s="3">
        <v>171</v>
      </c>
      <c r="I42" s="3" t="s">
        <v>60</v>
      </c>
      <c r="J42" t="s">
        <v>86</v>
      </c>
      <c r="K42">
        <f t="shared" si="20"/>
        <v>3623.514552140362</v>
      </c>
      <c r="L42">
        <v>9.2999999999999992E-3</v>
      </c>
      <c r="M42">
        <v>3.03</v>
      </c>
      <c r="O42" s="2">
        <f t="shared" si="0"/>
        <v>66.5</v>
      </c>
      <c r="P42">
        <f t="shared" si="2"/>
        <v>1.5785135301288014</v>
      </c>
      <c r="Q42">
        <f t="shared" si="12"/>
        <v>37.889033761753709</v>
      </c>
      <c r="R42">
        <f t="shared" si="8"/>
        <v>564.12967403687503</v>
      </c>
    </row>
    <row r="43" spans="1:18" customFormat="1">
      <c r="A43" s="3" t="s">
        <v>21</v>
      </c>
      <c r="B43" s="3" t="s">
        <v>22</v>
      </c>
      <c r="C43" s="3" t="s">
        <v>5</v>
      </c>
      <c r="D43" s="3">
        <v>45</v>
      </c>
      <c r="E43" s="3">
        <v>910</v>
      </c>
      <c r="F43" s="3">
        <v>0.15</v>
      </c>
      <c r="G43" s="3">
        <v>0.22</v>
      </c>
      <c r="H43" s="3">
        <v>172</v>
      </c>
      <c r="I43" s="3" t="s">
        <v>60</v>
      </c>
      <c r="J43" t="s">
        <v>86</v>
      </c>
      <c r="K43">
        <f t="shared" si="20"/>
        <v>949.98525667163028</v>
      </c>
      <c r="L43">
        <v>9.2999999999999992E-3</v>
      </c>
      <c r="M43">
        <v>3.03</v>
      </c>
      <c r="O43" s="2">
        <f t="shared" si="0"/>
        <v>42.75</v>
      </c>
      <c r="P43">
        <f t="shared" si="2"/>
        <v>1.4062195161188809</v>
      </c>
      <c r="Q43">
        <f t="shared" si="12"/>
        <v>25.481178848988659</v>
      </c>
      <c r="R43">
        <f t="shared" si="8"/>
        <v>169.56182505689787</v>
      </c>
    </row>
    <row r="44" spans="1:18" customFormat="1">
      <c r="A44" s="3" t="s">
        <v>21</v>
      </c>
      <c r="B44" s="3" t="s">
        <v>22</v>
      </c>
      <c r="C44" s="3" t="s">
        <v>5</v>
      </c>
      <c r="D44" s="3">
        <v>37.700000000000003</v>
      </c>
      <c r="E44" s="3">
        <v>482</v>
      </c>
      <c r="F44" s="3">
        <v>0.42</v>
      </c>
      <c r="G44" s="3">
        <v>0.25</v>
      </c>
      <c r="H44" s="3">
        <v>173</v>
      </c>
      <c r="I44" s="3" t="s">
        <v>61</v>
      </c>
      <c r="J44" t="s">
        <v>86</v>
      </c>
      <c r="K44">
        <f t="shared" si="20"/>
        <v>532.5251405181732</v>
      </c>
      <c r="L44">
        <v>6.1999999999999998E-3</v>
      </c>
      <c r="M44">
        <v>3.13</v>
      </c>
      <c r="N44" t="s">
        <v>98</v>
      </c>
      <c r="O44" s="2">
        <f t="shared" si="0"/>
        <v>35.814999999999998</v>
      </c>
      <c r="P44">
        <f t="shared" si="2"/>
        <v>1.3371968983497811</v>
      </c>
      <c r="Q44">
        <f t="shared" si="12"/>
        <v>21.736864510383157</v>
      </c>
      <c r="R44">
        <f t="shared" si="8"/>
        <v>95.020646586155081</v>
      </c>
    </row>
    <row r="45" spans="1:18" s="1" customFormat="1">
      <c r="A45" s="1" t="s">
        <v>72</v>
      </c>
      <c r="B45" s="1" t="s">
        <v>22</v>
      </c>
      <c r="C45" s="1" t="s">
        <v>5</v>
      </c>
      <c r="D45" s="1">
        <f>AVERAGE(D29:D44)</f>
        <v>53.662500000000001</v>
      </c>
      <c r="E45" s="1">
        <f t="shared" ref="E45:G45" si="21">AVERAGE(E29:E44)</f>
        <v>1989.6660625</v>
      </c>
      <c r="F45" s="1">
        <f t="shared" si="21"/>
        <v>0.175125</v>
      </c>
      <c r="G45" s="1">
        <f t="shared" si="21"/>
        <v>0.22875000000000001</v>
      </c>
      <c r="H45" s="17" t="s">
        <v>69</v>
      </c>
      <c r="J45" s="1" t="s">
        <v>86</v>
      </c>
      <c r="K45" s="1">
        <f>AVERAGE(K29:K44)</f>
        <v>1513.744404956891</v>
      </c>
      <c r="L45" s="1">
        <f t="shared" ref="L45:M45" si="22">AVERAGE(L29:L44)</f>
        <v>4.4214285714285709E-3</v>
      </c>
      <c r="M45" s="1">
        <f t="shared" si="22"/>
        <v>3.2014285714285711</v>
      </c>
      <c r="O45" s="1">
        <f t="shared" ref="O45:R45" si="23">AVERAGE(O29:O44)</f>
        <v>50.97937499999999</v>
      </c>
      <c r="P45" s="1">
        <f t="shared" si="23"/>
        <v>1.4683336952531016</v>
      </c>
      <c r="Q45" s="1">
        <f t="shared" si="23"/>
        <v>29.799504197666288</v>
      </c>
      <c r="R45" s="1">
        <f t="shared" si="23"/>
        <v>225.9091405077447</v>
      </c>
    </row>
    <row r="46" spans="1:18" s="3" customFormat="1">
      <c r="A46" s="3" t="s">
        <v>23</v>
      </c>
      <c r="B46" s="3" t="s">
        <v>24</v>
      </c>
      <c r="C46" s="3" t="s">
        <v>25</v>
      </c>
      <c r="D46" s="3">
        <v>17</v>
      </c>
      <c r="E46" s="3">
        <v>37</v>
      </c>
      <c r="F46" s="3">
        <v>1.4</v>
      </c>
      <c r="G46" s="3">
        <v>1</v>
      </c>
      <c r="H46" s="3">
        <v>29</v>
      </c>
      <c r="J46" s="3" t="s">
        <v>87</v>
      </c>
      <c r="K46" s="3">
        <f>L46*D46^M46</f>
        <v>32.756409519944924</v>
      </c>
      <c r="L46" s="3">
        <v>6.3E-3</v>
      </c>
      <c r="M46" s="3">
        <v>3.02</v>
      </c>
      <c r="O46" s="2">
        <f t="shared" si="0"/>
        <v>16.149999999999999</v>
      </c>
      <c r="P46">
        <f t="shared" si="2"/>
        <v>1.0266200865055521</v>
      </c>
      <c r="Q46">
        <f t="shared" si="12"/>
        <v>10.63212530890566</v>
      </c>
      <c r="R46">
        <f t="shared" si="8"/>
        <v>7.9384042471435796</v>
      </c>
    </row>
    <row r="47" spans="1:18" s="3" customFormat="1">
      <c r="A47" s="3" t="s">
        <v>23</v>
      </c>
      <c r="B47" s="3" t="s">
        <v>24</v>
      </c>
      <c r="C47" s="3" t="s">
        <v>25</v>
      </c>
      <c r="D47" s="3">
        <v>15</v>
      </c>
      <c r="E47" s="3">
        <v>24</v>
      </c>
      <c r="F47" s="3">
        <v>1.7</v>
      </c>
      <c r="G47" s="3">
        <v>1.52</v>
      </c>
      <c r="H47" s="3">
        <v>30</v>
      </c>
      <c r="J47" s="3" t="s">
        <v>87</v>
      </c>
      <c r="K47" s="3">
        <f>L47*D47^M47</f>
        <v>22.445854935336794</v>
      </c>
      <c r="L47" s="3">
        <v>6.3E-3</v>
      </c>
      <c r="M47" s="3">
        <v>3.02</v>
      </c>
      <c r="O47" s="2">
        <f t="shared" si="0"/>
        <v>14.25</v>
      </c>
      <c r="P47">
        <f t="shared" si="2"/>
        <v>0.97781234150609597</v>
      </c>
      <c r="Q47">
        <f t="shared" si="12"/>
        <v>9.5019412638803029</v>
      </c>
      <c r="R47">
        <f t="shared" si="8"/>
        <v>5.6537138100324187</v>
      </c>
    </row>
    <row r="48" spans="1:18" s="1" customFormat="1">
      <c r="A48" s="1" t="s">
        <v>73</v>
      </c>
      <c r="B48" s="1" t="s">
        <v>24</v>
      </c>
      <c r="C48" s="1" t="s">
        <v>25</v>
      </c>
      <c r="D48" s="1">
        <f>AVERAGE(D46:D47)</f>
        <v>16</v>
      </c>
      <c r="E48" s="1">
        <f t="shared" ref="E48:G48" si="24">AVERAGE(E46:E47)</f>
        <v>30.5</v>
      </c>
      <c r="F48" s="1">
        <f t="shared" si="24"/>
        <v>1.5499999999999998</v>
      </c>
      <c r="G48" s="1">
        <f t="shared" si="24"/>
        <v>1.26</v>
      </c>
      <c r="H48" s="17" t="s">
        <v>74</v>
      </c>
      <c r="J48" s="1" t="s">
        <v>87</v>
      </c>
      <c r="K48" s="1">
        <f>AVERAGE(K46:K47)</f>
        <v>27.601132227640861</v>
      </c>
      <c r="L48" s="1">
        <f t="shared" ref="L48:M48" si="25">AVERAGE(L46:L47)</f>
        <v>6.3E-3</v>
      </c>
      <c r="M48" s="1">
        <f t="shared" si="25"/>
        <v>3.02</v>
      </c>
      <c r="O48" s="1">
        <f t="shared" ref="O48:R48" si="26">AVERAGE(O46:O47)</f>
        <v>15.2</v>
      </c>
      <c r="P48" s="1">
        <f t="shared" si="26"/>
        <v>1.0022162140058239</v>
      </c>
      <c r="Q48" s="1">
        <f t="shared" si="26"/>
        <v>10.067033286392981</v>
      </c>
      <c r="R48" s="1">
        <f t="shared" si="26"/>
        <v>6.7960590285879992</v>
      </c>
    </row>
    <row r="49" spans="1:18" s="3" customFormat="1">
      <c r="A49" s="3" t="s">
        <v>26</v>
      </c>
      <c r="B49" s="3" t="s">
        <v>27</v>
      </c>
      <c r="C49" s="3" t="s">
        <v>25</v>
      </c>
      <c r="D49" s="3">
        <v>30</v>
      </c>
      <c r="E49" s="3">
        <v>200</v>
      </c>
      <c r="F49" s="3">
        <v>0.38</v>
      </c>
      <c r="G49" s="3">
        <v>0.25</v>
      </c>
      <c r="H49" s="3">
        <v>8</v>
      </c>
      <c r="J49" s="3" t="s">
        <v>87</v>
      </c>
      <c r="K49" s="3">
        <f>L49*D49^M49</f>
        <v>213.45075981292618</v>
      </c>
      <c r="L49" s="3">
        <v>6.8999999999999999E-3</v>
      </c>
      <c r="M49" s="3">
        <v>3.04</v>
      </c>
      <c r="O49" s="2">
        <f t="shared" si="0"/>
        <v>28.5</v>
      </c>
      <c r="P49">
        <f t="shared" si="2"/>
        <v>1.2481071746127848</v>
      </c>
      <c r="Q49">
        <f t="shared" si="12"/>
        <v>17.705458373483744</v>
      </c>
      <c r="R49">
        <f t="shared" si="8"/>
        <v>42.963029885598978</v>
      </c>
    </row>
    <row r="50" spans="1:18" s="3" customFormat="1">
      <c r="A50" s="3" t="s">
        <v>26</v>
      </c>
      <c r="B50" s="3" t="s">
        <v>27</v>
      </c>
      <c r="C50" s="3" t="s">
        <v>25</v>
      </c>
      <c r="D50" s="3">
        <v>36</v>
      </c>
      <c r="E50" s="3">
        <v>350</v>
      </c>
      <c r="F50" s="3">
        <v>0.21</v>
      </c>
      <c r="G50" s="3">
        <v>0.16</v>
      </c>
      <c r="H50" s="3">
        <v>9</v>
      </c>
      <c r="J50" s="3" t="s">
        <v>87</v>
      </c>
      <c r="K50" s="3">
        <f t="shared" ref="K50:K54" si="27">L50*D50^M50</f>
        <v>371.54266601875969</v>
      </c>
      <c r="L50" s="3">
        <v>6.8999999999999999E-3</v>
      </c>
      <c r="M50" s="3">
        <v>3.04</v>
      </c>
      <c r="O50" s="2">
        <f t="shared" si="0"/>
        <v>34.199999999999996</v>
      </c>
      <c r="P50">
        <f t="shared" si="2"/>
        <v>1.3192040154389471</v>
      </c>
      <c r="Q50">
        <f t="shared" si="12"/>
        <v>20.854703296330065</v>
      </c>
      <c r="R50">
        <f t="shared" si="8"/>
        <v>70.669057243318321</v>
      </c>
    </row>
    <row r="51" spans="1:18" s="3" customFormat="1">
      <c r="A51" s="3" t="s">
        <v>26</v>
      </c>
      <c r="B51" s="3" t="s">
        <v>27</v>
      </c>
      <c r="C51" s="3" t="s">
        <v>25</v>
      </c>
      <c r="D51" s="3">
        <v>19.399999999999999</v>
      </c>
      <c r="E51" s="3">
        <v>55</v>
      </c>
      <c r="F51" s="3">
        <v>0.4</v>
      </c>
      <c r="G51" s="3">
        <v>0.35</v>
      </c>
      <c r="H51" s="3">
        <v>10</v>
      </c>
      <c r="J51" s="3" t="s">
        <v>87</v>
      </c>
      <c r="K51" s="3">
        <f t="shared" si="27"/>
        <v>56.723934873658436</v>
      </c>
      <c r="L51" s="3">
        <v>6.8999999999999999E-3</v>
      </c>
      <c r="M51" s="3">
        <v>3.04</v>
      </c>
      <c r="O51" s="2">
        <f t="shared" si="0"/>
        <v>18.429999999999996</v>
      </c>
      <c r="P51">
        <f t="shared" si="2"/>
        <v>1.0781171733043498</v>
      </c>
      <c r="Q51">
        <f t="shared" si="12"/>
        <v>11.97063457263355</v>
      </c>
      <c r="R51">
        <f t="shared" si="8"/>
        <v>13.071496097549369</v>
      </c>
    </row>
    <row r="52" spans="1:18" s="3" customFormat="1">
      <c r="A52" s="3" t="s">
        <v>26</v>
      </c>
      <c r="B52" s="3" t="s">
        <v>27</v>
      </c>
      <c r="C52" s="3" t="s">
        <v>25</v>
      </c>
      <c r="D52" s="3">
        <v>27.7</v>
      </c>
      <c r="E52" s="3">
        <v>160</v>
      </c>
      <c r="F52" s="3">
        <v>0.48</v>
      </c>
      <c r="G52" s="3">
        <v>0.36</v>
      </c>
      <c r="H52" s="3">
        <v>11</v>
      </c>
      <c r="J52" s="3" t="s">
        <v>87</v>
      </c>
      <c r="K52" s="3">
        <f t="shared" si="27"/>
        <v>167.48950100420242</v>
      </c>
      <c r="L52" s="3">
        <v>6.8999999999999999E-3</v>
      </c>
      <c r="M52" s="3">
        <v>3.04</v>
      </c>
      <c r="O52" s="2">
        <f t="shared" si="0"/>
        <v>26.314999999999998</v>
      </c>
      <c r="P52">
        <f t="shared" si="2"/>
        <v>1.2170025846429682</v>
      </c>
      <c r="Q52">
        <f t="shared" si="12"/>
        <v>16.481722003630352</v>
      </c>
      <c r="R52">
        <f t="shared" si="8"/>
        <v>34.557072811410713</v>
      </c>
    </row>
    <row r="53" spans="1:18" s="3" customFormat="1">
      <c r="A53" s="3" t="s">
        <v>26</v>
      </c>
      <c r="B53" s="3" t="s">
        <v>27</v>
      </c>
      <c r="C53" s="3" t="s">
        <v>25</v>
      </c>
      <c r="D53" s="3">
        <v>29.5</v>
      </c>
      <c r="E53" s="3">
        <v>193</v>
      </c>
      <c r="F53" s="3">
        <v>0.39</v>
      </c>
      <c r="G53" s="3">
        <v>0.2</v>
      </c>
      <c r="H53" s="3">
        <v>12</v>
      </c>
      <c r="J53" s="3" t="s">
        <v>87</v>
      </c>
      <c r="K53" s="3">
        <f t="shared" si="27"/>
        <v>202.81871149033253</v>
      </c>
      <c r="L53" s="3">
        <v>6.8999999999999999E-3</v>
      </c>
      <c r="M53" s="3">
        <v>3.04</v>
      </c>
      <c r="O53" s="2">
        <f t="shared" si="0"/>
        <v>28.024999999999999</v>
      </c>
      <c r="P53">
        <f t="shared" si="2"/>
        <v>1.2415531881467925</v>
      </c>
      <c r="Q53">
        <f t="shared" si="12"/>
        <v>17.44026935773881</v>
      </c>
      <c r="R53">
        <f t="shared" si="8"/>
        <v>41.036544406932094</v>
      </c>
    </row>
    <row r="54" spans="1:18" s="1" customFormat="1">
      <c r="A54" s="1" t="s">
        <v>75</v>
      </c>
      <c r="B54" s="1" t="s">
        <v>27</v>
      </c>
      <c r="C54" s="1" t="s">
        <v>25</v>
      </c>
      <c r="D54" s="1">
        <f>AVERAGE(D49:D53)</f>
        <v>28.520000000000003</v>
      </c>
      <c r="E54" s="1">
        <f t="shared" ref="E54:G54" si="28">AVERAGE(E49:E53)</f>
        <v>191.6</v>
      </c>
      <c r="F54" s="1">
        <f t="shared" si="28"/>
        <v>0.372</v>
      </c>
      <c r="G54" s="1">
        <f t="shared" si="28"/>
        <v>0.26400000000000001</v>
      </c>
      <c r="H54" s="17" t="s">
        <v>76</v>
      </c>
      <c r="J54" s="18" t="s">
        <v>87</v>
      </c>
      <c r="K54" s="18">
        <f>AVERAGE(K49:K53)</f>
        <v>202.40511463997586</v>
      </c>
      <c r="L54" s="18">
        <f t="shared" ref="L54:M54" si="29">AVERAGE(L49:L53)</f>
        <v>6.9000000000000008E-3</v>
      </c>
      <c r="M54" s="18">
        <f t="shared" si="29"/>
        <v>3.04</v>
      </c>
      <c r="N54" s="18"/>
      <c r="O54" s="18">
        <f t="shared" ref="O54:R54" si="30">AVERAGE(O49:O53)</f>
        <v>27.094000000000001</v>
      </c>
      <c r="P54" s="18">
        <f t="shared" si="30"/>
        <v>1.2207968272291683</v>
      </c>
      <c r="Q54" s="18">
        <f t="shared" si="30"/>
        <v>16.890557520763306</v>
      </c>
      <c r="R54" s="18">
        <f t="shared" si="30"/>
        <v>40.459440088961898</v>
      </c>
    </row>
    <row r="55" spans="1:18" s="1" customFormat="1">
      <c r="A55" s="1" t="s">
        <v>28</v>
      </c>
      <c r="B55" s="1" t="s">
        <v>29</v>
      </c>
      <c r="C55" s="1" t="s">
        <v>25</v>
      </c>
      <c r="I55" s="1" t="s">
        <v>46</v>
      </c>
      <c r="J55" s="18" t="s">
        <v>87</v>
      </c>
      <c r="L55" s="18">
        <v>4.1999999999999997E-3</v>
      </c>
      <c r="M55" s="18">
        <v>3.27</v>
      </c>
      <c r="O55" s="2"/>
      <c r="P55"/>
    </row>
    <row r="56" spans="1:18" s="1" customFormat="1">
      <c r="A56" s="1" t="s">
        <v>30</v>
      </c>
      <c r="B56" s="1" t="s">
        <v>31</v>
      </c>
      <c r="C56" s="1" t="s">
        <v>25</v>
      </c>
      <c r="D56" s="1">
        <v>27</v>
      </c>
      <c r="E56" s="1">
        <v>209</v>
      </c>
      <c r="F56" s="1">
        <v>0.9</v>
      </c>
      <c r="G56" s="1">
        <v>0.5</v>
      </c>
      <c r="H56" s="1">
        <v>19</v>
      </c>
      <c r="J56" s="18" t="s">
        <v>87</v>
      </c>
      <c r="O56" s="1">
        <f>D56*0.95</f>
        <v>25.65</v>
      </c>
      <c r="P56" s="1">
        <f>0.8979*LOG(D56, 10)-0.0782</f>
        <v>1.2070215238383546</v>
      </c>
      <c r="Q56" s="1">
        <f>10^P56</f>
        <v>16.107254615099887</v>
      </c>
      <c r="R56"/>
    </row>
    <row r="57" spans="1:18" s="3" customFormat="1">
      <c r="A57" s="3" t="s">
        <v>32</v>
      </c>
      <c r="B57" s="3" t="s">
        <v>33</v>
      </c>
      <c r="C57" s="3" t="s">
        <v>25</v>
      </c>
      <c r="D57" s="3">
        <v>29.3</v>
      </c>
      <c r="E57" s="3">
        <v>337</v>
      </c>
      <c r="F57" s="3">
        <v>0.45</v>
      </c>
      <c r="G57" s="3">
        <v>0.4</v>
      </c>
      <c r="H57" s="3">
        <v>17</v>
      </c>
      <c r="J57" s="3" t="s">
        <v>87</v>
      </c>
      <c r="K57" s="3">
        <f>L57*D57^M57</f>
        <v>286.48234757494691</v>
      </c>
      <c r="L57" s="3">
        <v>9.2999999999999992E-3</v>
      </c>
      <c r="M57" s="3">
        <v>3.06</v>
      </c>
      <c r="O57" s="2">
        <f>D57*0.95</f>
        <v>27.835000000000001</v>
      </c>
      <c r="P57">
        <f t="shared" si="2"/>
        <v>1.2389004363159548</v>
      </c>
      <c r="Q57" s="2">
        <f t="shared" ref="Q56:Q60" si="31">10^P57</f>
        <v>17.334065620629559</v>
      </c>
      <c r="R57">
        <f t="shared" ref="R56:R62" si="32">L57*Q57^M57</f>
        <v>57.480201734631116</v>
      </c>
    </row>
    <row r="58" spans="1:18" s="3" customFormat="1">
      <c r="A58" s="3" t="s">
        <v>32</v>
      </c>
      <c r="B58" s="3" t="s">
        <v>33</v>
      </c>
      <c r="C58" s="3" t="s">
        <v>25</v>
      </c>
      <c r="D58" s="3">
        <v>30</v>
      </c>
      <c r="E58" s="3">
        <v>225</v>
      </c>
      <c r="F58" s="3">
        <v>0.35</v>
      </c>
      <c r="G58" s="3">
        <v>0.45</v>
      </c>
      <c r="H58" s="3">
        <v>18</v>
      </c>
      <c r="J58" s="3" t="s">
        <v>87</v>
      </c>
      <c r="K58" s="3">
        <f>L58*D58^M58</f>
        <v>307.94558924224793</v>
      </c>
      <c r="L58" s="3">
        <v>9.2999999999999992E-3</v>
      </c>
      <c r="M58" s="3">
        <v>3.06</v>
      </c>
      <c r="O58" s="2">
        <f t="shared" si="0"/>
        <v>28.5</v>
      </c>
      <c r="P58">
        <f t="shared" si="2"/>
        <v>1.2481071746127848</v>
      </c>
      <c r="Q58" s="2">
        <f t="shared" si="31"/>
        <v>17.705458373483744</v>
      </c>
      <c r="R58">
        <f t="shared" si="32"/>
        <v>61.33253323825614</v>
      </c>
    </row>
    <row r="59" spans="1:18" s="1" customFormat="1">
      <c r="A59" s="1" t="s">
        <v>77</v>
      </c>
      <c r="B59" s="1" t="s">
        <v>33</v>
      </c>
      <c r="C59" s="1" t="s">
        <v>25</v>
      </c>
      <c r="D59" s="1">
        <f>AVERAGE(D57:D58)</f>
        <v>29.65</v>
      </c>
      <c r="E59" s="1">
        <f t="shared" ref="E59:G59" si="33">AVERAGE(E57:E58)</f>
        <v>281</v>
      </c>
      <c r="F59" s="1">
        <f t="shared" si="33"/>
        <v>0.4</v>
      </c>
      <c r="G59" s="1">
        <f t="shared" si="33"/>
        <v>0.42500000000000004</v>
      </c>
      <c r="H59" s="17" t="s">
        <v>78</v>
      </c>
      <c r="J59" s="18" t="s">
        <v>87</v>
      </c>
      <c r="K59" s="1">
        <f>AVERAGE(K57:K58)</f>
        <v>297.21396840859745</v>
      </c>
      <c r="L59" s="1">
        <f t="shared" ref="L59:M59" si="34">AVERAGE(L57:L58)</f>
        <v>9.2999999999999992E-3</v>
      </c>
      <c r="M59" s="1">
        <f t="shared" si="34"/>
        <v>3.06</v>
      </c>
      <c r="O59" s="1">
        <f t="shared" ref="O59:R59" si="35">AVERAGE(O57:O58)</f>
        <v>28.1675</v>
      </c>
      <c r="P59" s="1">
        <f t="shared" si="35"/>
        <v>1.2435038054643699</v>
      </c>
      <c r="Q59" s="1">
        <f t="shared" si="35"/>
        <v>17.519761997056651</v>
      </c>
      <c r="R59" s="1">
        <f>AVERAGE(R57:R58)</f>
        <v>59.406367486443628</v>
      </c>
    </row>
    <row r="60" spans="1:18" s="1" customFormat="1">
      <c r="A60" s="1" t="s">
        <v>34</v>
      </c>
      <c r="B60" s="1" t="s">
        <v>35</v>
      </c>
      <c r="C60" s="1" t="s">
        <v>25</v>
      </c>
      <c r="D60" s="1">
        <v>19.5</v>
      </c>
      <c r="E60" s="1">
        <v>60</v>
      </c>
      <c r="F60" s="1">
        <v>0.48</v>
      </c>
      <c r="G60" s="1">
        <v>1.3</v>
      </c>
      <c r="H60" s="1">
        <v>43</v>
      </c>
      <c r="J60" s="18" t="s">
        <v>87</v>
      </c>
      <c r="K60" s="1">
        <f>L60*D60^M60</f>
        <v>41.582481573731712</v>
      </c>
      <c r="L60" s="18">
        <v>3.7000000000000002E-3</v>
      </c>
      <c r="M60" s="18">
        <v>3.14</v>
      </c>
      <c r="O60" s="1">
        <f t="shared" si="0"/>
        <v>18.524999999999999</v>
      </c>
      <c r="P60" s="1">
        <f t="shared" si="2"/>
        <v>1.0801220775424047</v>
      </c>
      <c r="Q60" s="1">
        <f t="shared" si="31"/>
        <v>12.026024313536238</v>
      </c>
      <c r="R60" s="1">
        <f>L60*Q60^M60</f>
        <v>9.1155955464932976</v>
      </c>
    </row>
    <row r="61" spans="1:18" s="3" customFormat="1">
      <c r="A61" s="3" t="s">
        <v>36</v>
      </c>
      <c r="B61" s="3" t="s">
        <v>88</v>
      </c>
      <c r="C61" s="3" t="s">
        <v>25</v>
      </c>
      <c r="D61" s="3">
        <v>113</v>
      </c>
      <c r="E61" s="3">
        <v>32300</v>
      </c>
      <c r="F61" s="3">
        <v>0.42</v>
      </c>
      <c r="G61" s="3">
        <v>1.68</v>
      </c>
      <c r="H61" s="3">
        <v>141</v>
      </c>
      <c r="J61" t="s">
        <v>89</v>
      </c>
      <c r="K61" s="3">
        <f>L61*D61^M61</f>
        <v>36497.86374159417</v>
      </c>
      <c r="L61" s="3">
        <v>7.4000000000000003E-3</v>
      </c>
      <c r="M61" s="3">
        <v>3.26</v>
      </c>
      <c r="O61" s="2">
        <f t="shared" si="0"/>
        <v>107.35</v>
      </c>
      <c r="P61">
        <f t="shared" si="2"/>
        <v>1.7652591344037625</v>
      </c>
      <c r="Q61" s="19">
        <v>17.705458369999999</v>
      </c>
      <c r="R61">
        <f t="shared" si="32"/>
        <v>86.708387277691273</v>
      </c>
    </row>
    <row r="62" spans="1:18" s="3" customFormat="1">
      <c r="A62" s="3" t="s">
        <v>36</v>
      </c>
      <c r="B62" s="3" t="s">
        <v>88</v>
      </c>
      <c r="C62" s="3" t="s">
        <v>25</v>
      </c>
      <c r="D62" s="3">
        <v>77</v>
      </c>
      <c r="E62" s="3">
        <v>10130</v>
      </c>
      <c r="F62" s="3">
        <v>0.57999999999999996</v>
      </c>
      <c r="G62" s="3">
        <v>0.65</v>
      </c>
      <c r="H62" s="3">
        <v>142</v>
      </c>
      <c r="J62" t="s">
        <v>89</v>
      </c>
      <c r="K62" s="3">
        <f>L62*D62^M62</f>
        <v>10451.809460005114</v>
      </c>
      <c r="L62" s="3">
        <v>7.4000000000000003E-3</v>
      </c>
      <c r="M62" s="3">
        <v>3.26</v>
      </c>
      <c r="O62" s="2">
        <f t="shared" si="0"/>
        <v>73.149999999999991</v>
      </c>
      <c r="P62">
        <f t="shared" si="2"/>
        <v>1.6156800221323715</v>
      </c>
      <c r="Q62" s="19">
        <v>17.705458369999999</v>
      </c>
      <c r="R62">
        <f>L62*Q62^M62</f>
        <v>86.708387277691273</v>
      </c>
    </row>
    <row r="63" spans="1:18" s="1" customFormat="1">
      <c r="A63" s="1" t="s">
        <v>79</v>
      </c>
      <c r="B63" s="1" t="s">
        <v>88</v>
      </c>
      <c r="C63" s="1" t="s">
        <v>25</v>
      </c>
      <c r="D63" s="1">
        <f>AVERAGE(D61:D62)</f>
        <v>95</v>
      </c>
      <c r="E63" s="1">
        <f t="shared" ref="E63:H63" si="36">AVERAGE(E61:E62)</f>
        <v>21215</v>
      </c>
      <c r="F63" s="1">
        <f t="shared" si="36"/>
        <v>0.5</v>
      </c>
      <c r="G63" s="1">
        <f t="shared" si="36"/>
        <v>1.165</v>
      </c>
      <c r="H63" s="1">
        <f t="shared" si="36"/>
        <v>141.5</v>
      </c>
      <c r="J63" s="1" t="s">
        <v>89</v>
      </c>
      <c r="K63" s="18">
        <f>AVERAGE(K61:K62)</f>
        <v>23474.836600799641</v>
      </c>
      <c r="L63" s="18">
        <f t="shared" ref="L63:M63" si="37">AVERAGE(L61:L62)</f>
        <v>7.4000000000000003E-3</v>
      </c>
      <c r="M63" s="18">
        <f t="shared" si="37"/>
        <v>3.26</v>
      </c>
      <c r="N63" s="18"/>
      <c r="O63" s="18">
        <f t="shared" ref="O63:R63" si="38">AVERAGE(O61:O62)</f>
        <v>90.25</v>
      </c>
      <c r="P63" s="18">
        <f t="shared" si="38"/>
        <v>1.690469578268067</v>
      </c>
      <c r="Q63" s="18">
        <f t="shared" si="38"/>
        <v>17.705458369999999</v>
      </c>
      <c r="R63" s="18">
        <f t="shared" si="38"/>
        <v>86.708387277691273</v>
      </c>
    </row>
    <row r="64" spans="1:18" customFormat="1">
      <c r="A64" t="s">
        <v>37</v>
      </c>
      <c r="B64" t="s">
        <v>38</v>
      </c>
      <c r="C64" t="s">
        <v>25</v>
      </c>
      <c r="I64" t="s">
        <v>46</v>
      </c>
      <c r="J64" t="s">
        <v>87</v>
      </c>
      <c r="L64" s="3">
        <v>5.4000000000000003E-3</v>
      </c>
      <c r="M64" s="3">
        <v>3.14</v>
      </c>
      <c r="O64" s="2">
        <f t="shared" si="0"/>
        <v>0</v>
      </c>
    </row>
    <row r="65" spans="1:19">
      <c r="A65" t="s">
        <v>39</v>
      </c>
      <c r="B65" t="s">
        <v>40</v>
      </c>
      <c r="C65" t="s">
        <v>25</v>
      </c>
      <c r="D65">
        <v>17.7</v>
      </c>
      <c r="E65">
        <v>36</v>
      </c>
      <c r="F65">
        <v>1.8</v>
      </c>
      <c r="G65">
        <v>1.63</v>
      </c>
      <c r="H65">
        <v>27</v>
      </c>
      <c r="I65"/>
      <c r="J65" t="s">
        <v>87</v>
      </c>
      <c r="K65"/>
      <c r="L65"/>
      <c r="M65"/>
      <c r="N65"/>
      <c r="O65"/>
      <c r="P65"/>
      <c r="Q65"/>
      <c r="R65"/>
      <c r="S65"/>
    </row>
    <row r="66" spans="1:19" s="1" customFormat="1">
      <c r="A66" s="2" t="s">
        <v>80</v>
      </c>
      <c r="B66" s="2"/>
      <c r="C66" s="2" t="s">
        <v>5</v>
      </c>
      <c r="D66" s="2">
        <f>AVERAGE(D12, D17,D18,D19,D24,D28,D45)</f>
        <v>70.912896825396828</v>
      </c>
      <c r="E66" s="2">
        <f>AVERAGE(E12, E17,E18,E19,E24,E28,E45)</f>
        <v>5855.0507073412691</v>
      </c>
      <c r="F66" s="2">
        <f>AVERAGE(F12, F17,F18,F19,F24,F28,F45)</f>
        <v>0.26780357142857147</v>
      </c>
      <c r="G66" s="2">
        <f>AVERAGE(G12, G17,G18,G19,G24,G28,G45)</f>
        <v>0.42244841269841277</v>
      </c>
    </row>
    <row r="67" spans="1:19" s="1" customFormat="1">
      <c r="A67" s="2" t="s">
        <v>81</v>
      </c>
      <c r="B67" s="2"/>
      <c r="C67" s="2" t="s">
        <v>25</v>
      </c>
      <c r="D67" s="2">
        <f>AVERAGE(D46,D49,D55,D57,D60,D61,D64,D66)</f>
        <v>46.618816137566142</v>
      </c>
      <c r="E67" s="2">
        <f t="shared" ref="E67:G67" si="39">AVERAGE(E46,E49,E55,E57,E60,E61,E64,E66)</f>
        <v>6464.8417845568774</v>
      </c>
      <c r="F67" s="2">
        <f t="shared" si="39"/>
        <v>0.56630059523809517</v>
      </c>
      <c r="G67" s="2">
        <f t="shared" si="39"/>
        <v>0.84207473544973543</v>
      </c>
    </row>
    <row r="68" spans="1:19">
      <c r="A68" s="2" t="s">
        <v>82</v>
      </c>
      <c r="B68" s="2"/>
      <c r="C68" s="2" t="s">
        <v>5</v>
      </c>
      <c r="D68" s="2">
        <f>MAX(D2:D45)</f>
        <v>134</v>
      </c>
      <c r="E68" s="2">
        <f>MAX(E2:E45)</f>
        <v>24000</v>
      </c>
      <c r="F68" s="2">
        <f>MAX(F2:F45)</f>
        <v>0.89</v>
      </c>
      <c r="G68" s="2">
        <f>MAX(G2:G45)</f>
        <v>1.29</v>
      </c>
      <c r="H68" s="1"/>
      <c r="I68"/>
      <c r="J68"/>
      <c r="K68"/>
      <c r="L68"/>
      <c r="M68"/>
      <c r="N68"/>
      <c r="O68"/>
      <c r="P68"/>
      <c r="Q68"/>
      <c r="R68"/>
      <c r="S68"/>
    </row>
    <row r="69" spans="1:19">
      <c r="A69" s="2" t="s">
        <v>83</v>
      </c>
      <c r="B69" s="2"/>
      <c r="C69" s="2" t="s">
        <v>25</v>
      </c>
      <c r="D69" s="2">
        <f>MAX(D46:D65)</f>
        <v>113</v>
      </c>
      <c r="E69" s="2">
        <f>MAX(E46:E65)</f>
        <v>32300</v>
      </c>
      <c r="F69" s="2">
        <f t="shared" ref="F69:G69" si="40">MAX(F46:F65)</f>
        <v>1.8</v>
      </c>
      <c r="G69" s="2">
        <f t="shared" si="40"/>
        <v>1.68</v>
      </c>
      <c r="H69" s="1"/>
      <c r="I69"/>
      <c r="J69"/>
      <c r="K69"/>
      <c r="L69"/>
      <c r="M69"/>
      <c r="N69"/>
      <c r="O69"/>
      <c r="P69"/>
      <c r="Q69"/>
      <c r="R69"/>
      <c r="S69"/>
    </row>
    <row r="70" spans="1:19">
      <c r="A70" s="4"/>
      <c r="B70" s="5"/>
      <c r="C70" s="5" t="s">
        <v>94</v>
      </c>
      <c r="D70" s="6" t="s">
        <v>41</v>
      </c>
      <c r="E70" s="6" t="s">
        <v>42</v>
      </c>
      <c r="F70" s="6" t="s">
        <v>43</v>
      </c>
      <c r="G70" s="7" t="s">
        <v>44</v>
      </c>
      <c r="H70" s="22" t="s">
        <v>90</v>
      </c>
      <c r="I70" s="23" t="s">
        <v>91</v>
      </c>
      <c r="J70" s="6"/>
      <c r="K70" s="6" t="s">
        <v>105</v>
      </c>
      <c r="L70" s="6" t="s">
        <v>93</v>
      </c>
      <c r="M70" s="6" t="s">
        <v>92</v>
      </c>
      <c r="N70" s="6" t="s">
        <v>103</v>
      </c>
      <c r="O70" s="6" t="s">
        <v>99</v>
      </c>
      <c r="P70" s="6" t="s">
        <v>100</v>
      </c>
      <c r="Q70" s="6" t="s">
        <v>101</v>
      </c>
      <c r="R70" s="7" t="s">
        <v>104</v>
      </c>
      <c r="S70"/>
    </row>
    <row r="71" spans="1:19">
      <c r="A71" s="8" t="s">
        <v>106</v>
      </c>
      <c r="B71" s="9"/>
      <c r="C71" s="10">
        <f>LOG(D71, 10)</f>
        <v>1.4041991947697505</v>
      </c>
      <c r="D71" s="10">
        <f>AVERAGE(D17,D28,D48,D54,D56,D59,D60,D65)</f>
        <v>25.362916666666667</v>
      </c>
      <c r="E71" s="10">
        <f>AVERAGE(E17,E28,E48,E54,E56,E59,E60,E65)</f>
        <v>238.91458333333333</v>
      </c>
      <c r="F71" s="10">
        <f>AVERAGE(F17,F28,F48,F54,F56,F59,F60,F65)</f>
        <v>0.80795833333333322</v>
      </c>
      <c r="G71" s="11">
        <f>AVERAGE(G17,G28,G48,G54,G56,G59,G60,G65)</f>
        <v>0.85929166666666668</v>
      </c>
      <c r="H71" s="8">
        <f>D71*0.95</f>
        <v>24.094770833333332</v>
      </c>
      <c r="I71" s="16">
        <f>0.8979*LOG(D71, 10)-0.0782</f>
        <v>1.1826304569837589</v>
      </c>
      <c r="J71" s="9"/>
      <c r="K71" s="20">
        <f>AVERAGE(K17,K28,K48,K54,K56,K59,K60,K65)</f>
        <v>319.11915378677793</v>
      </c>
      <c r="L71" s="10">
        <f>AVERAGE(L17,L28,L48,L54,L56,L59,L60,L65)</f>
        <v>6.083333333333333E-3</v>
      </c>
      <c r="M71" s="10">
        <f t="shared" ref="L71:R71" si="41">AVERAGE(M17,M28,M48,M54,M56,M59,M60,M65)</f>
        <v>3.0783333333333331</v>
      </c>
      <c r="N71" s="10"/>
      <c r="O71" s="10">
        <f t="shared" si="41"/>
        <v>25.134738095238095</v>
      </c>
      <c r="P71" s="10">
        <f t="shared" si="41"/>
        <v>1.1759413876762881</v>
      </c>
      <c r="Q71" s="10">
        <f>AVERAGE(Q17,Q28,Q48,Q54,Q56,Q59,Q60)</f>
        <v>15.72874640860041</v>
      </c>
      <c r="R71" s="24">
        <f>AVERAGE(R17,R28,R48,R54,R56,R59,R60,R65)</f>
        <v>56.568366401877398</v>
      </c>
      <c r="S71"/>
    </row>
    <row r="72" spans="1:19">
      <c r="A72" s="8" t="s">
        <v>107</v>
      </c>
      <c r="B72" s="9"/>
      <c r="C72" s="10">
        <f>LOG(D72, 10)</f>
        <v>1.9435414584297612</v>
      </c>
      <c r="D72" s="10">
        <f>AVERAGE(D12,D18,D19,D24,D45,D63)</f>
        <v>87.809490740740742</v>
      </c>
      <c r="E72" s="10">
        <f>AVERAGE(E12,E18,E19,E24,E45,E63)</f>
        <v>10182.856380787036</v>
      </c>
      <c r="F72" s="10">
        <f>AVERAGE(F12,F18,F19,F24,F45,F63)</f>
        <v>0.23549305555555555</v>
      </c>
      <c r="G72" s="11">
        <f>AVERAGE(G12,G18,G19,G24,G45,G63)</f>
        <v>0.4378009259259259</v>
      </c>
      <c r="H72" s="8">
        <f t="shared" ref="H72:H74" si="42">D72*0.95</f>
        <v>83.419016203703706</v>
      </c>
      <c r="I72" s="16">
        <f>0.8979*LOG(D72, 10)-0.0782</f>
        <v>1.6669058755240826</v>
      </c>
      <c r="J72" s="9"/>
      <c r="K72" s="21">
        <f>AVERAGE(K12,K18,K19,K24,K45,K63)</f>
        <v>10878.731840174232</v>
      </c>
      <c r="L72" s="10">
        <f t="shared" ref="L72:R72" si="43">AVERAGE(L12,L18,L19,L24,L45,L63)</f>
        <v>7.3994047619047624E-3</v>
      </c>
      <c r="M72" s="10">
        <f t="shared" si="43"/>
        <v>3.0952380952380949</v>
      </c>
      <c r="N72" s="10"/>
      <c r="O72" s="10">
        <f t="shared" si="43"/>
        <v>83.419016203703691</v>
      </c>
      <c r="P72" s="10">
        <f t="shared" si="43"/>
        <v>1.643123811918513</v>
      </c>
      <c r="Q72" s="10">
        <f>AVERAGE(Q12,Q18,Q19,Q24,Q45,Q63)</f>
        <v>40.852433168325497</v>
      </c>
      <c r="R72" s="24">
        <f t="shared" si="43"/>
        <v>959.0022426145855</v>
      </c>
      <c r="S72"/>
    </row>
    <row r="73" spans="1:19">
      <c r="A73" s="8" t="s">
        <v>108</v>
      </c>
      <c r="B73" s="9"/>
      <c r="C73" s="10">
        <f t="shared" ref="C73:C74" si="44">LOG(D73, 10)</f>
        <v>1.6989700043360185</v>
      </c>
      <c r="D73" s="10">
        <f>MAX(D15:D17,D25:D28,D46:D60,D65)</f>
        <v>50</v>
      </c>
      <c r="E73" s="10">
        <f>MAX(E15:E17,E25:E28,E46:E60,E65)</f>
        <v>1358</v>
      </c>
      <c r="F73" s="10">
        <f>MAX(F15:F17,F25:F28,F46:F60,F65)</f>
        <v>1.8</v>
      </c>
      <c r="G73" s="11">
        <f>MAX(G15:G17,G25:G28,G46:G60,G65)</f>
        <v>1.63</v>
      </c>
      <c r="H73" s="8">
        <f>D73*0.95</f>
        <v>47.5</v>
      </c>
      <c r="I73" s="16">
        <f t="shared" ref="I72:I74" si="45">0.8979*LOG(D73, 10)-0.0782</f>
        <v>1.447305166893311</v>
      </c>
      <c r="J73" s="9"/>
      <c r="K73" s="10">
        <f>MAX(K15:K17,K25:K28,K46:K60,K65)</f>
        <v>1753.2753072857649</v>
      </c>
      <c r="L73" s="10">
        <f t="shared" ref="L73:R73" si="46">MAX(L15:L17,L25:L28,L46:L60,L65)</f>
        <v>9.2999999999999992E-3</v>
      </c>
      <c r="M73" s="10">
        <f t="shared" si="46"/>
        <v>3.27</v>
      </c>
      <c r="N73" s="10"/>
      <c r="O73" s="10">
        <f t="shared" si="46"/>
        <v>47.5</v>
      </c>
      <c r="P73" s="10">
        <f t="shared" si="46"/>
        <v>1.447305166893311</v>
      </c>
      <c r="Q73" s="10">
        <f t="shared" si="46"/>
        <v>28.009487786647579</v>
      </c>
      <c r="R73" s="11">
        <f t="shared" si="46"/>
        <v>282.55687477610064</v>
      </c>
      <c r="S73"/>
    </row>
    <row r="74" spans="1:19">
      <c r="A74" s="12" t="s">
        <v>109</v>
      </c>
      <c r="B74" s="13"/>
      <c r="C74" s="14">
        <f t="shared" si="44"/>
        <v>2.1271047983648073</v>
      </c>
      <c r="D74" s="14">
        <f>MAX(D3:D12,D18:D24,D29:D45,D61:D63)</f>
        <v>134</v>
      </c>
      <c r="E74" s="14">
        <f>MAX(E3:E12,E18:E24,E29:E45,E61:E63)</f>
        <v>32300</v>
      </c>
      <c r="F74" s="14">
        <f>MAX(F3:F12,F18:F24,F29:F45,F61:F63)</f>
        <v>0.57999999999999996</v>
      </c>
      <c r="G74" s="15">
        <f>MAX(G3:G12,G18:G24,G29:G45,G61:G63)</f>
        <v>1.68</v>
      </c>
      <c r="H74" s="12">
        <f t="shared" si="42"/>
        <v>127.3</v>
      </c>
      <c r="I74" s="25">
        <f t="shared" si="45"/>
        <v>1.8317273984517604</v>
      </c>
      <c r="J74" s="13"/>
      <c r="K74" s="14">
        <f>MAX(K3:K12,K18:K24,K29:K45,K61:K63)</f>
        <v>36497.86374159417</v>
      </c>
      <c r="L74" s="14">
        <f t="shared" ref="L74:R74" si="47">MAX(L3:L12,L18:L24,L29:L45,L61:L63)</f>
        <v>1.41E-2</v>
      </c>
      <c r="M74" s="14">
        <f t="shared" si="47"/>
        <v>3.26</v>
      </c>
      <c r="N74" s="14"/>
      <c r="O74" s="14">
        <f t="shared" si="47"/>
        <v>127.3</v>
      </c>
      <c r="P74" s="14">
        <f t="shared" si="47"/>
        <v>1.8317273984517604</v>
      </c>
      <c r="Q74" s="14">
        <f t="shared" si="47"/>
        <v>67.877743824255262</v>
      </c>
      <c r="R74" s="15">
        <f t="shared" si="47"/>
        <v>3050.6729875200899</v>
      </c>
      <c r="S74"/>
    </row>
    <row r="75" spans="1:19">
      <c r="I75"/>
      <c r="J75"/>
      <c r="K75"/>
      <c r="L75"/>
      <c r="M75"/>
      <c r="N75"/>
      <c r="O75"/>
      <c r="P75"/>
      <c r="Q75"/>
      <c r="R75"/>
      <c r="S75"/>
    </row>
    <row r="76" spans="1:19">
      <c r="I76"/>
      <c r="J76"/>
      <c r="K76" t="s">
        <v>117</v>
      </c>
      <c r="L76"/>
      <c r="M76"/>
      <c r="N76"/>
      <c r="O76"/>
      <c r="P76"/>
      <c r="Q76"/>
      <c r="R76"/>
      <c r="S76"/>
    </row>
    <row r="77" spans="1:19">
      <c r="I77"/>
      <c r="J77"/>
      <c r="K77" t="s">
        <v>118</v>
      </c>
      <c r="L77"/>
      <c r="M77"/>
      <c r="N77"/>
      <c r="O77"/>
      <c r="P77"/>
      <c r="Q77"/>
      <c r="R77"/>
      <c r="S77"/>
    </row>
    <row r="78" spans="1:19">
      <c r="I78"/>
      <c r="J78"/>
      <c r="K78"/>
      <c r="L78"/>
      <c r="M78"/>
      <c r="N78"/>
      <c r="O78"/>
      <c r="P78"/>
      <c r="Q78"/>
      <c r="R78"/>
      <c r="S78"/>
    </row>
    <row r="88" spans="1:19">
      <c r="K88" s="16"/>
      <c r="L88" s="16"/>
      <c r="M88" s="16"/>
      <c r="N88" s="16"/>
      <c r="P88" s="16"/>
      <c r="Q88" s="16"/>
      <c r="R88" s="16"/>
    </row>
    <row r="89" spans="1:19">
      <c r="J89" s="27"/>
      <c r="K89" s="27"/>
      <c r="L89" s="27"/>
      <c r="M89" s="27"/>
      <c r="N89" s="28"/>
      <c r="P89" s="29"/>
      <c r="Q89" s="29"/>
      <c r="R89" s="29"/>
    </row>
    <row r="90" spans="1:19">
      <c r="J90" s="27"/>
      <c r="K90" s="27"/>
      <c r="L90" s="27"/>
      <c r="M90" s="27"/>
      <c r="N90" s="29"/>
      <c r="P90" s="29"/>
      <c r="Q90" s="29"/>
      <c r="R90" s="29"/>
    </row>
    <row r="91" spans="1:19" s="9" customFormat="1">
      <c r="A91"/>
      <c r="B91"/>
      <c r="C91"/>
      <c r="D91"/>
      <c r="E91"/>
      <c r="F91"/>
      <c r="G91"/>
      <c r="H91"/>
      <c r="I91" s="31"/>
      <c r="J91" s="32"/>
      <c r="K91" s="32"/>
      <c r="L91" s="32"/>
      <c r="M91" s="32"/>
      <c r="N91" s="31"/>
      <c r="O91" s="31"/>
      <c r="P91" s="31"/>
      <c r="Q91" s="31"/>
      <c r="R91" s="31"/>
      <c r="S91" s="31"/>
    </row>
    <row r="92" spans="1:19" s="9" customFormat="1">
      <c r="A92"/>
      <c r="B92"/>
      <c r="C92"/>
      <c r="D92"/>
      <c r="E92"/>
      <c r="F92"/>
      <c r="G92"/>
      <c r="H92"/>
      <c r="I92" s="31"/>
      <c r="J92" s="32"/>
      <c r="K92" s="32"/>
      <c r="L92" s="32"/>
      <c r="M92" s="32"/>
      <c r="N92" s="31"/>
      <c r="O92" s="31"/>
      <c r="P92" s="31"/>
      <c r="Q92" s="31"/>
      <c r="R92" s="31"/>
      <c r="S92" s="31"/>
    </row>
    <row r="93" spans="1:19" s="9" customFormat="1">
      <c r="A93"/>
      <c r="B93"/>
      <c r="C93"/>
      <c r="D93"/>
      <c r="E93"/>
      <c r="F93"/>
      <c r="G93"/>
      <c r="H93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</row>
    <row r="94" spans="1:19" s="9" customFormat="1">
      <c r="A94"/>
      <c r="B94"/>
      <c r="C94"/>
      <c r="D94"/>
      <c r="E94"/>
      <c r="F94"/>
      <c r="G94"/>
      <c r="H94"/>
      <c r="I94" s="31"/>
      <c r="J94" s="16"/>
      <c r="K94" s="30"/>
      <c r="L94" s="30"/>
      <c r="M94" s="30"/>
      <c r="N94" s="30"/>
      <c r="O94" s="31"/>
      <c r="P94" s="31"/>
      <c r="Q94" s="31"/>
      <c r="R94" s="31"/>
      <c r="S94" s="31"/>
    </row>
    <row r="95" spans="1:19" s="9" customFormat="1">
      <c r="A95"/>
      <c r="B95"/>
      <c r="C95"/>
      <c r="D95"/>
      <c r="E95"/>
      <c r="F95"/>
      <c r="G95"/>
      <c r="H95"/>
      <c r="I95" s="31"/>
      <c r="J95" s="16"/>
      <c r="K95" s="30"/>
      <c r="L95" s="30"/>
      <c r="M95" s="30"/>
      <c r="N95" s="30"/>
      <c r="O95" s="31"/>
      <c r="P95" s="31"/>
      <c r="Q95" s="31"/>
      <c r="R95" s="31"/>
      <c r="S95" s="31"/>
    </row>
    <row r="96" spans="1:19" s="9" customFormat="1">
      <c r="A96"/>
      <c r="B96"/>
      <c r="C96"/>
      <c r="D96"/>
      <c r="E96"/>
      <c r="F96"/>
      <c r="G96"/>
      <c r="H96"/>
      <c r="I96" s="31"/>
      <c r="J96" s="16"/>
      <c r="K96" s="31"/>
      <c r="L96" s="31"/>
      <c r="M96" s="31"/>
      <c r="N96" s="30"/>
      <c r="O96" s="31"/>
      <c r="P96" s="31"/>
      <c r="Q96" s="31"/>
      <c r="R96" s="31"/>
      <c r="S96" s="31"/>
    </row>
    <row r="97" spans="1:19" s="9" customFormat="1">
      <c r="A97"/>
      <c r="B97"/>
      <c r="C97"/>
      <c r="D97"/>
      <c r="E97"/>
      <c r="F97"/>
      <c r="G97"/>
      <c r="H97"/>
      <c r="I97" s="31"/>
      <c r="J97" s="16"/>
      <c r="K97" s="31"/>
      <c r="L97" s="31"/>
      <c r="M97" s="31"/>
      <c r="N97" s="30"/>
      <c r="O97" s="31"/>
      <c r="P97" s="31"/>
      <c r="Q97" s="31"/>
      <c r="R97" s="31"/>
      <c r="S97" s="31"/>
    </row>
    <row r="98" spans="1:19" s="9" customFormat="1">
      <c r="A98"/>
      <c r="B98"/>
      <c r="C98"/>
      <c r="D98"/>
      <c r="E98"/>
      <c r="F98"/>
      <c r="G98"/>
      <c r="H98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</row>
    <row r="99" spans="1:19" s="9" customFormat="1">
      <c r="A99"/>
      <c r="B99"/>
      <c r="C99"/>
      <c r="D99"/>
      <c r="E99"/>
      <c r="F99"/>
      <c r="G99"/>
      <c r="H99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Pauly 1980&amp;fishbase</vt:lpstr>
    </vt:vector>
  </TitlesOfParts>
  <Company>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 Niiranen</dc:creator>
  <cp:lastModifiedBy>Susa Niiranen</cp:lastModifiedBy>
  <dcterms:created xsi:type="dcterms:W3CDTF">2015-06-30T07:00:59Z</dcterms:created>
  <dcterms:modified xsi:type="dcterms:W3CDTF">2015-07-13T13:16:57Z</dcterms:modified>
</cp:coreProperties>
</file>